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189E7AFE-5D0D-4A01-B9E5-BCAC4EFF032F}" xr6:coauthVersionLast="47" xr6:coauthVersionMax="47" xr10:uidLastSave="{00000000-0000-0000-0000-000000000000}"/>
  <bookViews>
    <workbookView xWindow="-98" yWindow="-98" windowWidth="21795" windowHeight="12975" xr2:uid="{00000000-000D-0000-FFFF-FFFF00000000}"/>
  </bookViews>
  <sheets>
    <sheet name="Описание" sheetId="1" r:id="rId1"/>
    <sheet name="Исходные данные" sheetId="2" r:id="rId2"/>
    <sheet name="Разработка" sheetId="3" r:id="rId3"/>
    <sheet name="Результаты" sheetId="4" r:id="rId4"/>
    <sheet name="ModelRiskDSN" sheetId="5" state="hidden" r:id="rId5"/>
    <sheet name="ModelRiskSYS1" sheetId="6" state="hidden" r:id="rId6"/>
    <sheet name="ModelRiskCharts" sheetId="7" state="hidden" r:id="rId7"/>
  </sheets>
  <definedNames>
    <definedName name="ApprovalDate">'Разработка'!$D$22</definedName>
    <definedName name="AxO_1">'Разработка'!$D$102</definedName>
    <definedName name="AxO_2">'Разработка'!$D$103</definedName>
    <definedName name="AxO_3">'Разработка'!$D$104</definedName>
    <definedName name="AxO_4">'Разработка'!$D$105</definedName>
    <definedName name="B_P2">'Разработка'!$D$61</definedName>
    <definedName name="B_P3">'Разработка'!$D$62</definedName>
    <definedName name="B_Rev">'Разработка'!$D$63</definedName>
    <definedName name="B_Yr_P2">'Разработка'!$D$64</definedName>
    <definedName name="B_Yr_P3">'Разработка'!$D$65</definedName>
    <definedName name="B_Yr_Rev">'Разработка'!$D$66</definedName>
    <definedName name="Checks">'Разработка'!$D$113:$D$116</definedName>
    <definedName name="Cost_P2">'Исходные данные'!$D$12</definedName>
    <definedName name="Cost_P2_Hi">'Исходные данные'!$H$12</definedName>
    <definedName name="Cost_P2_Lo">'Исходные данные'!$F$12</definedName>
    <definedName name="Cost_P2_Mean">'Исходные данные'!$I$12</definedName>
    <definedName name="Cost_P2_ML">'Исходные данные'!$G$12</definedName>
    <definedName name="Cost_P3">'Исходные данные'!$D$15</definedName>
    <definedName name="Cost_P3_Hi">'Исходные данные'!$H$15</definedName>
    <definedName name="Cost_P3_Lo">'Исходные данные'!$F$15</definedName>
    <definedName name="Cost_P3_Mean">'Исходные данные'!$I$15</definedName>
    <definedName name="Cost_P3_ML">'Исходные данные'!$G$15</definedName>
    <definedName name="Cost_Rev">'Исходные данные'!$D$18</definedName>
    <definedName name="Cost_Rev_Hi">'Исходные данные'!$H$18</definedName>
    <definedName name="Cost_Rev_Lo">'Исходные данные'!$F$18</definedName>
    <definedName name="Cost_Rev_Mean">'Исходные данные'!$I$18</definedName>
    <definedName name="Cost_Rev_ML">'Исходные данные'!$G$18</definedName>
    <definedName name="Disc">'Исходные данные'!$D$43</definedName>
    <definedName name="Dur_P2">'Исходные данные'!$D$11</definedName>
    <definedName name="Dur_P2_Hi">'Исходные данные'!$H$11</definedName>
    <definedName name="Dur_P2_Lo">'Исходные данные'!$F$11</definedName>
    <definedName name="Dur_P2_Mean">'Исходные данные'!$I$11</definedName>
    <definedName name="Dur_P2_ML">'Исходные данные'!$G$11</definedName>
    <definedName name="Dur_P3">'Исходные данные'!$D$14</definedName>
    <definedName name="Dur_P3_Hi">'Исходные данные'!$H$14</definedName>
    <definedName name="Dur_P3_Lo">'Исходные данные'!$F$14</definedName>
    <definedName name="Dur_P3_Mean">'Исходные данные'!$I$14</definedName>
    <definedName name="Dur_P3_ML">'Исходные данные'!$G$14</definedName>
    <definedName name="Dur_Rev">'Исходные данные'!$D$17</definedName>
    <definedName name="Dur_Rev_Hi">'Исходные данные'!$H$17</definedName>
    <definedName name="Dur_Rev_Lo">'Исходные данные'!$F$17</definedName>
    <definedName name="Dur_Rev_Mean">'Исходные данные'!$I$17</definedName>
    <definedName name="Dur_Rev_ML">'Исходные данные'!$G$17</definedName>
    <definedName name="End_P2">'Разработка'!$D$16</definedName>
    <definedName name="End_P3">'Разработка'!$D$17</definedName>
    <definedName name="End_Rev">'Разработка'!$D$18</definedName>
    <definedName name="Ero_1">'Исходные данные'!$D$26</definedName>
    <definedName name="Ero_2">'Исходные данные'!$D$27</definedName>
    <definedName name="Ero_3">'Исходные данные'!$D$28</definedName>
    <definedName name="Ero_Tail">'Исходные данные'!$D$29</definedName>
    <definedName name="ExclYears">'Разработка'!$D$23</definedName>
    <definedName name="Expiry">'Исходные данные'!$D$25</definedName>
    <definedName name="FirstYear">'Исходные данные'!$D$44</definedName>
    <definedName name="InputMeans">'Исходные данные'!$I$11:$I$23</definedName>
    <definedName name="Is_1">'Разработка'!$D$98</definedName>
    <definedName name="Is_2">'Разработка'!$D$99</definedName>
    <definedName name="Is_3">'Разработка'!$D$100</definedName>
    <definedName name="Is_4">'Разработка'!$D$101</definedName>
    <definedName name="LaunchCost">'Исходные данные'!$D$31</definedName>
    <definedName name="Launched">'Разработка'!$D$14</definedName>
    <definedName name="LicBetter">'Разработка'!$D$97</definedName>
    <definedName name="LxO_1">'Разработка'!$D$106</definedName>
    <definedName name="LxO_2">'Разработка'!$D$107</definedName>
    <definedName name="LxO_3">'Разработка'!$D$108</definedName>
    <definedName name="LxO_4">'Разработка'!$D$109</definedName>
    <definedName name="Margin">'Исходные данные'!$D$30</definedName>
    <definedName name="Mile_Appr">'Исходные данные'!$D$38</definedName>
    <definedName name="Mile_P3">'Исходные данные'!$D$37</definedName>
    <definedName name="NPV_A">'Разработка'!$D$95</definedName>
    <definedName name="NPV_L">'Разработка'!$D$96</definedName>
    <definedName name="Outcome">'Разработка'!$D$15</definedName>
    <definedName name="Pass_P2">'Разработка'!$D$11</definedName>
    <definedName name="Pass_P3">'Разработка'!$D$12</definedName>
    <definedName name="Pass_Rev">'Разработка'!$D$13</definedName>
    <definedName name="Peak">'Исходные данные'!$D$23</definedName>
    <definedName name="Peak_Hi">'Исходные данные'!$H$23</definedName>
    <definedName name="Peak_Lo">'Исходные данные'!$F$23</definedName>
    <definedName name="Peak_Mean">'Исходные данные'!$I$23</definedName>
    <definedName name="PeakMean">'Разработка'!$D$60</definedName>
    <definedName name="_xlnm.Print_Area" localSheetId="3">'Результаты'!$A$1:$R$66</definedName>
    <definedName name="_xlnm.Print_Titles" localSheetId="2">'Разработка'!$6:$7,'Разработка'!$A:$D</definedName>
    <definedName name="_xlnm.Print_Titles" localSheetId="1">'Исходные данные'!$1:$4</definedName>
    <definedName name="_xlnm.Print_Titles" localSheetId="3">'Результаты'!$1:$4</definedName>
    <definedName name="Prob_P2">'Исходные данные'!$D$13</definedName>
    <definedName name="Prob_P3">'Исходные данные'!$D$16</definedName>
    <definedName name="Prob_Rev">'Исходные данные'!$D$19</definedName>
    <definedName name="PV_Mkt">'Разработка'!$F$83</definedName>
    <definedName name="PV_P2">'Разработка'!$F$80</definedName>
    <definedName name="PV_P3">'Разработка'!$F$81</definedName>
    <definedName name="PV_Rev">'Разработка'!$F$82</definedName>
    <definedName name="rNPV_A">'Разработка'!$F$84</definedName>
    <definedName name="rNPV_L">'Разработка'!$F$89</definedName>
    <definedName name="Royalty">'Исходные данные'!$D$39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nrisked">'Разработка'!$D$90</definedName>
    <definedName name="Upfront">'Исходные данные'!$D$36</definedName>
    <definedName name="YearsToPeak">'Исходные данные'!$D$24</definedName>
    <definedName name="Yr_P2">'Разработка'!$D$19</definedName>
    <definedName name="Yr_P3">'Разработка'!$D$20</definedName>
    <definedName name="Yr_Rev">'Разработка'!$D$21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1" i="4" l="1"/>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D115" i="3"/>
  <c r="D114" i="3"/>
  <c r="D113" i="3"/>
  <c r="D88" i="3"/>
  <c r="D87" i="3"/>
  <c r="D86" i="3"/>
  <c r="D85" i="3"/>
  <c r="D83" i="3"/>
  <c r="D82" i="3"/>
  <c r="D81" i="3"/>
  <c r="D80" i="3"/>
  <c r="D61" i="3"/>
  <c r="F46" i="3"/>
  <c r="F37" i="3"/>
  <c r="F38" i="3" s="1"/>
  <c r="F7" i="3"/>
  <c r="G6" i="3"/>
  <c r="G37" i="3"/>
  <c r="G38" i="3"/>
  <c r="G7" i="3"/>
  <c r="D11" i="3" a="1"/>
  <c r="D12" i="3" a="1"/>
  <c r="D13" i="3" a="1"/>
  <c r="D15" i="2" a="1"/>
  <c r="I17" i="2" a="1"/>
  <c r="D17" i="2" a="1"/>
  <c r="I11" i="2" a="1"/>
  <c r="D18" i="2" a="1"/>
  <c r="I15" i="2" a="1"/>
  <c r="I12" i="2" a="1"/>
  <c r="D23" i="2" a="1"/>
  <c r="D14" i="2" a="1"/>
  <c r="D12" i="2" a="1"/>
  <c r="D11" i="2" a="1"/>
  <c r="I18" i="2" a="1"/>
  <c r="I14" i="2" a="1"/>
  <c r="I23" i="2" a="1"/>
  <c r="D13" i="3" l="1"/>
  <c r="D12" i="3"/>
  <c r="D11" i="3"/>
  <c r="D64" i="3"/>
  <c r="D62" i="3"/>
  <c r="F68" i="3"/>
  <c r="F71" i="3" s="1"/>
  <c r="G46" i="3"/>
  <c r="G68" i="3"/>
  <c r="G71" i="3" s="1"/>
  <c r="H6" i="3"/>
  <c r="I23" i="2"/>
  <c r="D60" i="3" s="1"/>
  <c r="I14" i="2"/>
  <c r="I18" i="2"/>
  <c r="D11" i="2"/>
  <c r="D16" i="3" s="1"/>
  <c r="D12" i="2"/>
  <c r="D14" i="2"/>
  <c r="D23" i="2"/>
  <c r="I12" i="2"/>
  <c r="I15" i="2"/>
  <c r="D18" i="2"/>
  <c r="I11" i="2"/>
  <c r="D17" i="2"/>
  <c r="I17" i="2"/>
  <c r="D15" i="2"/>
  <c r="D19" i="3" l="1"/>
  <c r="F27" i="3"/>
  <c r="F30" i="3" s="1"/>
  <c r="D17" i="3"/>
  <c r="D65" i="3"/>
  <c r="D63" i="3"/>
  <c r="H70" i="3" s="1"/>
  <c r="H73" i="3" s="1"/>
  <c r="F69" i="3"/>
  <c r="F72" i="3" s="1"/>
  <c r="G69" i="3"/>
  <c r="G72" i="3" s="1"/>
  <c r="G27" i="3"/>
  <c r="G30" i="3" s="1"/>
  <c r="C86" i="3" a="1"/>
  <c r="C86" i="3" s="1"/>
  <c r="F86" i="3" s="1"/>
  <c r="H69" i="3"/>
  <c r="H72" i="3" s="1"/>
  <c r="H46" i="3"/>
  <c r="I6" i="3"/>
  <c r="H51" i="3"/>
  <c r="H37" i="3"/>
  <c r="H38" i="3" s="1"/>
  <c r="H7" i="3"/>
  <c r="H68" i="3"/>
  <c r="H71" i="3" s="1"/>
  <c r="H27" i="3"/>
  <c r="H30" i="3" s="1"/>
  <c r="D14" i="3"/>
  <c r="D15" i="3"/>
  <c r="H74" i="3" l="1"/>
  <c r="H75" i="3" s="1"/>
  <c r="H50" i="3"/>
  <c r="G50" i="3"/>
  <c r="F50" i="3"/>
  <c r="F28" i="3"/>
  <c r="F31" i="3" s="1"/>
  <c r="D20" i="3"/>
  <c r="I52" i="3" s="1"/>
  <c r="D18" i="3"/>
  <c r="I29" i="3" s="1"/>
  <c r="I32" i="3" s="1"/>
  <c r="G28" i="3"/>
  <c r="G31" i="3" s="1"/>
  <c r="F51" i="3"/>
  <c r="G51" i="3"/>
  <c r="D66" i="3"/>
  <c r="F70" i="3"/>
  <c r="F73" i="3" s="1"/>
  <c r="F74" i="3"/>
  <c r="F75" i="3" s="1"/>
  <c r="G74" i="3"/>
  <c r="G75" i="3" s="1"/>
  <c r="G70" i="3"/>
  <c r="G73" i="3" s="1"/>
  <c r="J6" i="3"/>
  <c r="I37" i="3"/>
  <c r="I38" i="3" s="1"/>
  <c r="I70" i="3"/>
  <c r="I73" i="3" s="1"/>
  <c r="I69" i="3"/>
  <c r="I72" i="3" s="1"/>
  <c r="I68" i="3"/>
  <c r="I71" i="3" s="1"/>
  <c r="I46" i="3"/>
  <c r="I7" i="3"/>
  <c r="I27" i="3"/>
  <c r="I30" i="3" s="1"/>
  <c r="I51" i="3"/>
  <c r="I74" i="3"/>
  <c r="I28" i="3"/>
  <c r="I31" i="3" s="1"/>
  <c r="D99" i="3" a="1"/>
  <c r="D99" i="3" s="1"/>
  <c r="D98" i="3" a="1"/>
  <c r="D98" i="3" s="1"/>
  <c r="D100" i="3" a="1"/>
  <c r="D100" i="3" s="1"/>
  <c r="D101" i="3" a="1"/>
  <c r="D101" i="3" s="1"/>
  <c r="H28" i="3"/>
  <c r="H31" i="3" s="1"/>
  <c r="C30" i="4" a="1"/>
  <c r="C31" i="4" a="1"/>
  <c r="C29" i="4" a="1"/>
  <c r="C32" i="4" a="1"/>
  <c r="I36" i="3" l="1"/>
  <c r="I39" i="3" s="1"/>
  <c r="I44" i="3" s="1"/>
  <c r="C32" i="4"/>
  <c r="C29" i="4"/>
  <c r="C31" i="4"/>
  <c r="C30" i="4"/>
  <c r="I54" i="3"/>
  <c r="I75" i="3"/>
  <c r="I76" i="3" s="1"/>
  <c r="F36" i="3"/>
  <c r="F39" i="3" s="1"/>
  <c r="D23" i="3"/>
  <c r="D22" i="3"/>
  <c r="D21" i="3"/>
  <c r="J43" i="3" s="1"/>
  <c r="F29" i="3"/>
  <c r="F32" i="3" s="1"/>
  <c r="G29" i="3"/>
  <c r="G32" i="3" s="1"/>
  <c r="G42" i="3" s="1"/>
  <c r="G36" i="3"/>
  <c r="G39" i="3" s="1"/>
  <c r="H36" i="3"/>
  <c r="H39" i="3" s="1"/>
  <c r="H29" i="3"/>
  <c r="H32" i="3" s="1"/>
  <c r="H42" i="3" s="1"/>
  <c r="G76" i="3"/>
  <c r="F52" i="3"/>
  <c r="G52" i="3"/>
  <c r="H52" i="3"/>
  <c r="I42" i="3"/>
  <c r="I50" i="3"/>
  <c r="J51" i="3"/>
  <c r="J74" i="3"/>
  <c r="K6" i="3"/>
  <c r="J69" i="3"/>
  <c r="J72" i="3" s="1"/>
  <c r="J7" i="3"/>
  <c r="J46" i="3"/>
  <c r="C87" i="3" s="1" a="1"/>
  <c r="C87" i="3" s="1"/>
  <c r="F87" i="3" s="1"/>
  <c r="J68" i="3"/>
  <c r="J71" i="3" s="1"/>
  <c r="J27" i="3"/>
  <c r="J30" i="3" s="1"/>
  <c r="J28" i="3"/>
  <c r="J31" i="3" s="1"/>
  <c r="J37" i="3"/>
  <c r="J38" i="3" s="1"/>
  <c r="J52" i="3"/>
  <c r="J70" i="3"/>
  <c r="J73" i="3" s="1"/>
  <c r="J29" i="3"/>
  <c r="J32" i="3" s="1"/>
  <c r="J36" i="3"/>
  <c r="H76" i="3"/>
  <c r="F76" i="3"/>
  <c r="J75" i="3" l="1"/>
  <c r="J76" i="3" s="1"/>
  <c r="J39" i="3"/>
  <c r="J44" i="3" s="1"/>
  <c r="C33" i="4"/>
  <c r="J54" i="3"/>
  <c r="H54" i="3"/>
  <c r="H44" i="3"/>
  <c r="G54" i="3"/>
  <c r="G44" i="3"/>
  <c r="F43" i="3"/>
  <c r="F53" i="3"/>
  <c r="G43" i="3"/>
  <c r="G53" i="3"/>
  <c r="H53" i="3"/>
  <c r="H55" i="3" s="1"/>
  <c r="H43" i="3"/>
  <c r="I43" i="3"/>
  <c r="I45" i="3" s="1"/>
  <c r="I53" i="3"/>
  <c r="I55" i="3" s="1"/>
  <c r="J50" i="3"/>
  <c r="J42" i="3"/>
  <c r="F44" i="3"/>
  <c r="F54" i="3"/>
  <c r="J53" i="3"/>
  <c r="K51" i="3"/>
  <c r="K70" i="3"/>
  <c r="K73" i="3" s="1"/>
  <c r="L6" i="3"/>
  <c r="K74" i="3"/>
  <c r="K46" i="3"/>
  <c r="K69" i="3"/>
  <c r="K72" i="3" s="1"/>
  <c r="K43" i="3"/>
  <c r="K37" i="3"/>
  <c r="K38" i="3" s="1"/>
  <c r="K52" i="3"/>
  <c r="K29" i="3"/>
  <c r="K32" i="3" s="1"/>
  <c r="K28" i="3"/>
  <c r="K31" i="3" s="1"/>
  <c r="K68" i="3"/>
  <c r="K71" i="3" s="1"/>
  <c r="K27" i="3"/>
  <c r="K30" i="3" s="1"/>
  <c r="K53" i="3"/>
  <c r="K36" i="3"/>
  <c r="K7" i="3"/>
  <c r="F42" i="3"/>
  <c r="H45" i="3" l="1"/>
  <c r="J55" i="3"/>
  <c r="G45" i="3"/>
  <c r="K50" i="3"/>
  <c r="K42" i="3"/>
  <c r="K39" i="3"/>
  <c r="K75" i="3"/>
  <c r="G55" i="3"/>
  <c r="F45" i="3"/>
  <c r="L70" i="3"/>
  <c r="L73" i="3" s="1"/>
  <c r="L27" i="3"/>
  <c r="L30" i="3" s="1"/>
  <c r="L37" i="3"/>
  <c r="L38" i="3" s="1"/>
  <c r="L68" i="3"/>
  <c r="L71" i="3" s="1"/>
  <c r="L36" i="3"/>
  <c r="L39" i="3" s="1"/>
  <c r="L53" i="3"/>
  <c r="M6" i="3"/>
  <c r="L52" i="3"/>
  <c r="L69" i="3"/>
  <c r="L72" i="3" s="1"/>
  <c r="L74" i="3"/>
  <c r="L28" i="3"/>
  <c r="L31" i="3" s="1"/>
  <c r="L7" i="3"/>
  <c r="L43" i="3"/>
  <c r="L51" i="3"/>
  <c r="L46" i="3"/>
  <c r="L29" i="3"/>
  <c r="L32" i="3" s="1"/>
  <c r="J45" i="3"/>
  <c r="F55" i="3"/>
  <c r="L75" i="3" l="1"/>
  <c r="L76" i="3" s="1"/>
  <c r="M29" i="3"/>
  <c r="M32" i="3" s="1"/>
  <c r="M36" i="3"/>
  <c r="M69" i="3"/>
  <c r="M72" i="3" s="1"/>
  <c r="M28" i="3"/>
  <c r="M31" i="3" s="1"/>
  <c r="M27" i="3"/>
  <c r="M30" i="3" s="1"/>
  <c r="M74" i="3"/>
  <c r="M51" i="3"/>
  <c r="M43" i="3"/>
  <c r="N6" i="3"/>
  <c r="M37" i="3"/>
  <c r="M38" i="3" s="1"/>
  <c r="M53" i="3"/>
  <c r="M52" i="3"/>
  <c r="M68" i="3"/>
  <c r="M71" i="3" s="1"/>
  <c r="M70" i="3"/>
  <c r="M73" i="3" s="1"/>
  <c r="M46" i="3"/>
  <c r="M7" i="3"/>
  <c r="L54" i="3"/>
  <c r="L44" i="3"/>
  <c r="K76" i="3"/>
  <c r="L50" i="3"/>
  <c r="L42" i="3"/>
  <c r="K44" i="3"/>
  <c r="K54" i="3"/>
  <c r="M39" i="3" l="1"/>
  <c r="L45" i="3"/>
  <c r="L55" i="3"/>
  <c r="M75" i="3"/>
  <c r="M50" i="3"/>
  <c r="M42" i="3"/>
  <c r="K45" i="3"/>
  <c r="K55" i="3"/>
  <c r="N27" i="3"/>
  <c r="N30" i="3" s="1"/>
  <c r="N74" i="3"/>
  <c r="N51" i="3"/>
  <c r="N53" i="3"/>
  <c r="N29" i="3"/>
  <c r="N32" i="3" s="1"/>
  <c r="O6" i="3"/>
  <c r="N52" i="3"/>
  <c r="N28" i="3"/>
  <c r="N31" i="3" s="1"/>
  <c r="N36" i="3"/>
  <c r="N37" i="3"/>
  <c r="N38" i="3" s="1"/>
  <c r="N46" i="3"/>
  <c r="N43" i="3"/>
  <c r="N7" i="3"/>
  <c r="N70" i="3"/>
  <c r="N73" i="3" s="1"/>
  <c r="N69" i="3"/>
  <c r="N72" i="3" s="1"/>
  <c r="N68" i="3"/>
  <c r="N71" i="3" s="1"/>
  <c r="N39" i="3" l="1"/>
  <c r="M76" i="3"/>
  <c r="O69" i="3"/>
  <c r="O72" i="3" s="1"/>
  <c r="O43" i="3"/>
  <c r="O46" i="3"/>
  <c r="O36" i="3"/>
  <c r="O29" i="3"/>
  <c r="O32" i="3" s="1"/>
  <c r="O37" i="3"/>
  <c r="O38" i="3" s="1"/>
  <c r="O28" i="3"/>
  <c r="O31" i="3" s="1"/>
  <c r="O68" i="3"/>
  <c r="O71" i="3" s="1"/>
  <c r="P6" i="3"/>
  <c r="O7" i="3"/>
  <c r="O27" i="3"/>
  <c r="O30" i="3" s="1"/>
  <c r="O70" i="3"/>
  <c r="O73" i="3" s="1"/>
  <c r="O74" i="3"/>
  <c r="O53" i="3"/>
  <c r="O52" i="3"/>
  <c r="O51" i="3"/>
  <c r="N75" i="3"/>
  <c r="N76" i="3" s="1"/>
  <c r="M54" i="3"/>
  <c r="M55" i="3" s="1"/>
  <c r="M44" i="3"/>
  <c r="M45" i="3" s="1"/>
  <c r="N54" i="3"/>
  <c r="N44" i="3"/>
  <c r="N42" i="3"/>
  <c r="N50" i="3"/>
  <c r="O75" i="3" l="1"/>
  <c r="O76" i="3" s="1"/>
  <c r="N45" i="3"/>
  <c r="N55" i="3"/>
  <c r="O39" i="3"/>
  <c r="O42" i="3"/>
  <c r="O50" i="3"/>
  <c r="P68" i="3"/>
  <c r="P71" i="3" s="1"/>
  <c r="Q6" i="3"/>
  <c r="P37" i="3"/>
  <c r="P38" i="3" s="1"/>
  <c r="P43" i="3"/>
  <c r="P69" i="3"/>
  <c r="P72" i="3" s="1"/>
  <c r="P36" i="3"/>
  <c r="P7" i="3"/>
  <c r="P46" i="3"/>
  <c r="P29" i="3"/>
  <c r="P32" i="3" s="1"/>
  <c r="P52" i="3"/>
  <c r="P74" i="3"/>
  <c r="P28" i="3"/>
  <c r="P31" i="3" s="1"/>
  <c r="P27" i="3"/>
  <c r="P30" i="3" s="1"/>
  <c r="P51" i="3"/>
  <c r="P70" i="3"/>
  <c r="P73" i="3" s="1"/>
  <c r="P53" i="3"/>
  <c r="P75" i="3" l="1"/>
  <c r="P76" i="3" s="1"/>
  <c r="O54" i="3"/>
  <c r="O55" i="3" s="1"/>
  <c r="O44" i="3"/>
  <c r="O45" i="3" s="1"/>
  <c r="Q37" i="3"/>
  <c r="Q38" i="3" s="1"/>
  <c r="Q27" i="3"/>
  <c r="Q30" i="3" s="1"/>
  <c r="Q53" i="3"/>
  <c r="Q70" i="3"/>
  <c r="Q73" i="3" s="1"/>
  <c r="Q28" i="3"/>
  <c r="Q31" i="3" s="1"/>
  <c r="Q43" i="3"/>
  <c r="Q46" i="3"/>
  <c r="Q7" i="3"/>
  <c r="Q36" i="3"/>
  <c r="Q39" i="3" s="1"/>
  <c r="R6" i="3"/>
  <c r="Q68" i="3"/>
  <c r="Q71" i="3" s="1"/>
  <c r="Q52" i="3"/>
  <c r="Q74" i="3"/>
  <c r="Q75" i="3" s="1"/>
  <c r="Q76" i="3" s="1"/>
  <c r="Q29" i="3"/>
  <c r="Q32" i="3" s="1"/>
  <c r="Q51" i="3"/>
  <c r="Q69" i="3"/>
  <c r="Q72" i="3" s="1"/>
  <c r="P42" i="3"/>
  <c r="P50" i="3"/>
  <c r="P39" i="3"/>
  <c r="P44" i="3" l="1"/>
  <c r="P45" i="3" s="1"/>
  <c r="P54" i="3"/>
  <c r="P55" i="3" s="1"/>
  <c r="R36" i="3"/>
  <c r="R51" i="3"/>
  <c r="R7" i="3"/>
  <c r="R52" i="3"/>
  <c r="R43" i="3"/>
  <c r="R27" i="3"/>
  <c r="R30" i="3" s="1"/>
  <c r="R37" i="3"/>
  <c r="R38" i="3" s="1"/>
  <c r="R74" i="3"/>
  <c r="R75" i="3" s="1"/>
  <c r="R76" i="3" s="1"/>
  <c r="R53" i="3"/>
  <c r="R70" i="3"/>
  <c r="R73" i="3" s="1"/>
  <c r="R68" i="3"/>
  <c r="R71" i="3" s="1"/>
  <c r="R46" i="3"/>
  <c r="R69" i="3"/>
  <c r="R72" i="3" s="1"/>
  <c r="R28" i="3"/>
  <c r="R31" i="3" s="1"/>
  <c r="R29" i="3"/>
  <c r="R32" i="3" s="1"/>
  <c r="S6" i="3"/>
  <c r="Q50" i="3"/>
  <c r="Q42" i="3"/>
  <c r="Q44" i="3"/>
  <c r="Q54" i="3"/>
  <c r="R42" i="3" l="1"/>
  <c r="R50" i="3"/>
  <c r="T6" i="3"/>
  <c r="S46" i="3"/>
  <c r="S74" i="3"/>
  <c r="S75" i="3" s="1"/>
  <c r="S76" i="3" s="1"/>
  <c r="S68" i="3"/>
  <c r="S71" i="3" s="1"/>
  <c r="S52" i="3"/>
  <c r="S70" i="3"/>
  <c r="S73" i="3" s="1"/>
  <c r="S51" i="3"/>
  <c r="S36" i="3"/>
  <c r="S37" i="3"/>
  <c r="S38" i="3" s="1"/>
  <c r="S27" i="3"/>
  <c r="S30" i="3" s="1"/>
  <c r="S29" i="3"/>
  <c r="S32" i="3" s="1"/>
  <c r="S69" i="3"/>
  <c r="S72" i="3" s="1"/>
  <c r="S43" i="3"/>
  <c r="S28" i="3"/>
  <c r="S31" i="3" s="1"/>
  <c r="S53" i="3"/>
  <c r="S7" i="3"/>
  <c r="Q45" i="3"/>
  <c r="Q55" i="3"/>
  <c r="R39" i="3"/>
  <c r="S39" i="3" l="1"/>
  <c r="S54" i="3" s="1"/>
  <c r="S42" i="3"/>
  <c r="S50" i="3"/>
  <c r="R54" i="3"/>
  <c r="R55" i="3" s="1"/>
  <c r="R44" i="3"/>
  <c r="R45" i="3" s="1"/>
  <c r="T68" i="3"/>
  <c r="T71" i="3" s="1"/>
  <c r="T74" i="3"/>
  <c r="T7" i="3"/>
  <c r="T52" i="3"/>
  <c r="T37" i="3"/>
  <c r="T38" i="3" s="1"/>
  <c r="T53" i="3"/>
  <c r="T36" i="3"/>
  <c r="T27" i="3"/>
  <c r="T30" i="3" s="1"/>
  <c r="T28" i="3"/>
  <c r="T31" i="3" s="1"/>
  <c r="T51" i="3"/>
  <c r="U6" i="3"/>
  <c r="T69" i="3"/>
  <c r="T72" i="3" s="1"/>
  <c r="T43" i="3"/>
  <c r="T70" i="3"/>
  <c r="T73" i="3" s="1"/>
  <c r="T46" i="3"/>
  <c r="T29" i="3"/>
  <c r="T32" i="3" s="1"/>
  <c r="S44" i="3" l="1"/>
  <c r="U27" i="3"/>
  <c r="U30" i="3" s="1"/>
  <c r="U52" i="3"/>
  <c r="U51" i="3"/>
  <c r="U69" i="3"/>
  <c r="U72" i="3" s="1"/>
  <c r="U36" i="3"/>
  <c r="U37" i="3"/>
  <c r="U38" i="3" s="1"/>
  <c r="U74" i="3"/>
  <c r="U28" i="3"/>
  <c r="U31" i="3" s="1"/>
  <c r="U29" i="3"/>
  <c r="U32" i="3" s="1"/>
  <c r="U53" i="3"/>
  <c r="U70" i="3"/>
  <c r="U73" i="3" s="1"/>
  <c r="U46" i="3"/>
  <c r="V6" i="3"/>
  <c r="U7" i="3"/>
  <c r="U43" i="3"/>
  <c r="U68" i="3"/>
  <c r="U71" i="3" s="1"/>
  <c r="T75" i="3"/>
  <c r="T76" i="3" s="1"/>
  <c r="S55" i="3"/>
  <c r="S45" i="3"/>
  <c r="T50" i="3"/>
  <c r="T42" i="3"/>
  <c r="T39" i="3"/>
  <c r="U75" i="3" l="1"/>
  <c r="U76" i="3" s="1"/>
  <c r="T54" i="3"/>
  <c r="T44" i="3"/>
  <c r="T45" i="3" s="1"/>
  <c r="V53" i="3"/>
  <c r="V69" i="3"/>
  <c r="V72" i="3" s="1"/>
  <c r="V27" i="3"/>
  <c r="V30" i="3" s="1"/>
  <c r="V52" i="3"/>
  <c r="V37" i="3"/>
  <c r="V38" i="3" s="1"/>
  <c r="W6" i="3"/>
  <c r="V29" i="3"/>
  <c r="V32" i="3" s="1"/>
  <c r="V43" i="3"/>
  <c r="V51" i="3"/>
  <c r="V28" i="3"/>
  <c r="V31" i="3" s="1"/>
  <c r="V46" i="3"/>
  <c r="V36" i="3"/>
  <c r="V74" i="3"/>
  <c r="V70" i="3"/>
  <c r="V73" i="3" s="1"/>
  <c r="V68" i="3"/>
  <c r="V71" i="3" s="1"/>
  <c r="V7" i="3"/>
  <c r="U39" i="3"/>
  <c r="T55" i="3"/>
  <c r="U42" i="3"/>
  <c r="U50" i="3"/>
  <c r="V39" i="3" l="1"/>
  <c r="V42" i="3"/>
  <c r="V50" i="3"/>
  <c r="U44" i="3"/>
  <c r="U45" i="3" s="1"/>
  <c r="U54" i="3"/>
  <c r="V75" i="3"/>
  <c r="V76" i="3" s="1"/>
  <c r="U55" i="3"/>
  <c r="W68" i="3"/>
  <c r="W71" i="3" s="1"/>
  <c r="W7" i="3"/>
  <c r="W36" i="3"/>
  <c r="W53" i="3"/>
  <c r="W46" i="3"/>
  <c r="W28" i="3"/>
  <c r="W31" i="3" s="1"/>
  <c r="W52" i="3"/>
  <c r="W29" i="3"/>
  <c r="W32" i="3" s="1"/>
  <c r="X6" i="3"/>
  <c r="W43" i="3"/>
  <c r="W37" i="3"/>
  <c r="W38" i="3" s="1"/>
  <c r="W70" i="3"/>
  <c r="W73" i="3" s="1"/>
  <c r="W51" i="3"/>
  <c r="W74" i="3"/>
  <c r="W69" i="3"/>
  <c r="W72" i="3" s="1"/>
  <c r="W27" i="3"/>
  <c r="W30" i="3" s="1"/>
  <c r="W42" i="3" l="1"/>
  <c r="W50" i="3"/>
  <c r="W39" i="3"/>
  <c r="W75" i="3"/>
  <c r="W76" i="3" s="1"/>
  <c r="X36" i="3"/>
  <c r="X39" i="3" s="1"/>
  <c r="X43" i="3"/>
  <c r="X28" i="3"/>
  <c r="X31" i="3" s="1"/>
  <c r="X46" i="3"/>
  <c r="X51" i="3"/>
  <c r="X29" i="3"/>
  <c r="X32" i="3" s="1"/>
  <c r="X70" i="3"/>
  <c r="X73" i="3" s="1"/>
  <c r="Y6" i="3"/>
  <c r="X7" i="3"/>
  <c r="X69" i="3"/>
  <c r="X72" i="3" s="1"/>
  <c r="X74" i="3"/>
  <c r="X27" i="3"/>
  <c r="X30" i="3" s="1"/>
  <c r="X68" i="3"/>
  <c r="X71" i="3" s="1"/>
  <c r="X52" i="3"/>
  <c r="X53" i="3"/>
  <c r="X37" i="3"/>
  <c r="X38" i="3" s="1"/>
  <c r="V54" i="3"/>
  <c r="V55" i="3" s="1"/>
  <c r="V44" i="3"/>
  <c r="V45" i="3" s="1"/>
  <c r="X54" i="3" l="1"/>
  <c r="X44" i="3"/>
  <c r="Y53" i="3"/>
  <c r="D53" i="3" s="1"/>
  <c r="Y46" i="3"/>
  <c r="Y37" i="3"/>
  <c r="Y38" i="3" s="1"/>
  <c r="Y27" i="3"/>
  <c r="Y30" i="3" s="1"/>
  <c r="Y51" i="3"/>
  <c r="D51" i="3" s="1"/>
  <c r="Y70" i="3"/>
  <c r="Y73" i="3" s="1"/>
  <c r="Y7" i="3"/>
  <c r="Y69" i="3"/>
  <c r="Y72" i="3" s="1"/>
  <c r="Y36" i="3"/>
  <c r="Y52" i="3"/>
  <c r="D52" i="3" s="1"/>
  <c r="Y29" i="3"/>
  <c r="Y32" i="3" s="1"/>
  <c r="D32" i="3" s="1"/>
  <c r="Y68" i="3"/>
  <c r="Y71" i="3" s="1"/>
  <c r="Y74" i="3"/>
  <c r="Y75" i="3" s="1"/>
  <c r="Y28" i="3"/>
  <c r="Y31" i="3" s="1"/>
  <c r="D31" i="3" s="1"/>
  <c r="Y43" i="3"/>
  <c r="D43" i="3" s="1"/>
  <c r="W44" i="3"/>
  <c r="W54" i="3"/>
  <c r="X50" i="3"/>
  <c r="X55" i="3" s="1"/>
  <c r="X42" i="3"/>
  <c r="X45" i="3" s="1"/>
  <c r="W55" i="3"/>
  <c r="X75" i="3"/>
  <c r="X76" i="3" s="1"/>
  <c r="W45" i="3"/>
  <c r="Y76" i="3" l="1"/>
  <c r="C88" i="3" a="1"/>
  <c r="C88" i="3" s="1"/>
  <c r="F88" i="3" s="1"/>
  <c r="D75" i="3"/>
  <c r="Y42" i="3"/>
  <c r="Y50" i="3"/>
  <c r="D30" i="3"/>
  <c r="Y39" i="3"/>
  <c r="D73" i="3"/>
  <c r="C82" i="3"/>
  <c r="F82" i="3" s="1"/>
  <c r="D45" i="4" s="1"/>
  <c r="C80" i="3"/>
  <c r="D71" i="3"/>
  <c r="C85" i="3"/>
  <c r="F85" i="3" s="1"/>
  <c r="D72" i="3"/>
  <c r="C81" i="3"/>
  <c r="F81" i="3" s="1"/>
  <c r="D44" i="4" s="1"/>
  <c r="D50" i="3" l="1"/>
  <c r="Y44" i="3"/>
  <c r="D44" i="3" s="1"/>
  <c r="Y54" i="3"/>
  <c r="D54" i="3" s="1"/>
  <c r="D116" i="3"/>
  <c r="B7" i="4" s="1"/>
  <c r="D39" i="3"/>
  <c r="F89" i="3"/>
  <c r="C14" i="4" s="1"/>
  <c r="Y45" i="3"/>
  <c r="D42" i="3"/>
  <c r="F80" i="3"/>
  <c r="D43" i="4" s="1"/>
  <c r="C83" i="3"/>
  <c r="F83" i="3" s="1"/>
  <c r="D46" i="4" s="1"/>
  <c r="D76" i="3"/>
  <c r="D45" i="3" l="1"/>
  <c r="D95" i="3" a="1"/>
  <c r="D95" i="3" s="1"/>
  <c r="D90" i="3"/>
  <c r="D48" i="4" s="1"/>
  <c r="F84" i="3"/>
  <c r="Y55" i="3"/>
  <c r="C200" i="4" a="1"/>
  <c r="C155" i="4" a="1"/>
  <c r="C206" i="4" a="1"/>
  <c r="C182" i="4" a="1"/>
  <c r="D49" i="4" a="1"/>
  <c r="C223" i="4" a="1"/>
  <c r="C159" i="4" a="1"/>
  <c r="D115" i="4" a="1"/>
  <c r="D78" i="4" a="1"/>
  <c r="C201" i="4" a="1"/>
  <c r="D92" i="4" a="1"/>
  <c r="B6" i="4" a="1"/>
  <c r="C125" i="4" a="1"/>
  <c r="D113" i="4" a="1"/>
  <c r="D74" i="4" a="1"/>
  <c r="C151" i="4" a="1"/>
  <c r="C204" i="4" a="1"/>
  <c r="C127" i="4" a="1"/>
  <c r="D13" i="4" a="1"/>
  <c r="D119" i="4" a="1"/>
  <c r="C177" i="4" a="1"/>
  <c r="D101" i="4" a="1"/>
  <c r="G13" i="4" a="1"/>
  <c r="C215" i="4" a="1"/>
  <c r="D99" i="4" a="1"/>
  <c r="C185" i="4" a="1"/>
  <c r="C150" i="4" a="1"/>
  <c r="C148" i="4" a="1"/>
  <c r="C146" i="4" a="1"/>
  <c r="D83" i="4" a="1"/>
  <c r="C189" i="4" a="1"/>
  <c r="D110" i="4" a="1"/>
  <c r="C161" i="4" a="1"/>
  <c r="C178" i="4" a="1"/>
  <c r="C164" i="4" a="1"/>
  <c r="C144" i="4" a="1"/>
  <c r="C136" i="4" a="1"/>
  <c r="D89" i="4" a="1"/>
  <c r="C187" i="4" a="1"/>
  <c r="C142" i="4" a="1"/>
  <c r="D79" i="4" a="1"/>
  <c r="D100" i="4" a="1"/>
  <c r="C181" i="4" a="1"/>
  <c r="D106" i="4" a="1"/>
  <c r="C219" i="4" a="1"/>
  <c r="C192" i="4" a="1"/>
  <c r="C174" i="4" a="1"/>
  <c r="C156" i="4" a="1"/>
  <c r="C211" i="4" a="1"/>
  <c r="D97" i="4" a="1"/>
  <c r="C197" i="4" a="1"/>
  <c r="C191" i="4" a="1"/>
  <c r="C128" i="4" a="1"/>
  <c r="C214" i="4" a="1"/>
  <c r="C183" i="4" a="1"/>
  <c r="C210" i="4" a="1"/>
  <c r="D117" i="4" a="1"/>
  <c r="D75" i="4" a="1"/>
  <c r="D96" i="4" a="1"/>
  <c r="C133" i="4" a="1"/>
  <c r="D102" i="4" a="1"/>
  <c r="D81" i="4" a="1"/>
  <c r="C138" i="4" a="1"/>
  <c r="C221" i="4" a="1"/>
  <c r="D88" i="4" a="1"/>
  <c r="C216" i="4" a="1"/>
  <c r="C169" i="4" a="1"/>
  <c r="C207" i="4" a="1"/>
  <c r="C175" i="4" a="1"/>
  <c r="C143" i="4" a="1"/>
  <c r="D77" i="4" a="1"/>
  <c r="C198" i="4" a="1"/>
  <c r="C166" i="4" a="1"/>
  <c r="C134" i="4" a="1"/>
  <c r="D109" i="4" a="1"/>
  <c r="D93" i="4" a="1"/>
  <c r="C217" i="4" a="1"/>
  <c r="C176" i="4" a="1"/>
  <c r="D116" i="4" a="1"/>
  <c r="D84" i="4" a="1"/>
  <c r="C220" i="4" a="1"/>
  <c r="C165" i="4" a="1"/>
  <c r="C196" i="4" a="1"/>
  <c r="C132" i="4" a="1"/>
  <c r="D94" i="4" a="1"/>
  <c r="C145" i="4" a="1"/>
  <c r="C137" i="4" a="1"/>
  <c r="C153" i="4" a="1"/>
  <c r="C203" i="4" a="1"/>
  <c r="C171" i="4" a="1"/>
  <c r="C139" i="4" a="1"/>
  <c r="D73" i="4" a="1"/>
  <c r="C194" i="4" a="1"/>
  <c r="C162" i="4" a="1"/>
  <c r="C130" i="4" a="1"/>
  <c r="D107" i="4" a="1"/>
  <c r="D91" i="4" a="1"/>
  <c r="C213" i="4" a="1"/>
  <c r="C168" i="4" a="1"/>
  <c r="D112" i="4" a="1"/>
  <c r="D80" i="4" a="1"/>
  <c r="C224" i="4" a="1"/>
  <c r="C157" i="4" a="1"/>
  <c r="C188" i="4" a="1"/>
  <c r="C124" i="4" a="1"/>
  <c r="D90" i="4" a="1"/>
  <c r="C129" i="4" a="1"/>
  <c r="C147" i="4" a="1"/>
  <c r="C170" i="4" a="1"/>
  <c r="D111" i="4" a="1"/>
  <c r="C184" i="4" a="1"/>
  <c r="D120" i="4" a="1"/>
  <c r="C173" i="4" a="1"/>
  <c r="C140" i="4" a="1"/>
  <c r="C199" i="4" a="1"/>
  <c r="C167" i="4" a="1"/>
  <c r="C135" i="4" a="1"/>
  <c r="C222" i="4" a="1"/>
  <c r="C190" i="4" a="1"/>
  <c r="C158" i="4" a="1"/>
  <c r="C126" i="4" a="1"/>
  <c r="D105" i="4" a="1"/>
  <c r="D87" i="4" a="1"/>
  <c r="C209" i="4" a="1"/>
  <c r="C160" i="4" a="1"/>
  <c r="D108" i="4" a="1"/>
  <c r="D76" i="4" a="1"/>
  <c r="E13" i="4" a="1"/>
  <c r="C149" i="4" a="1"/>
  <c r="C180" i="4" a="1"/>
  <c r="D118" i="4" a="1"/>
  <c r="D86" i="4" a="1"/>
  <c r="F13" i="4" a="1"/>
  <c r="C179" i="4" a="1"/>
  <c r="C202" i="4" a="1"/>
  <c r="D95" i="4" a="1"/>
  <c r="C212" i="4" a="1"/>
  <c r="D98" i="4" a="1"/>
  <c r="C195" i="4" a="1"/>
  <c r="C163" i="4" a="1"/>
  <c r="C131" i="4" a="1"/>
  <c r="C218" i="4" a="1"/>
  <c r="C186" i="4" a="1"/>
  <c r="C154" i="4" a="1"/>
  <c r="D121" i="4" a="1"/>
  <c r="D103" i="4" a="1"/>
  <c r="D85" i="4" a="1"/>
  <c r="C205" i="4" a="1"/>
  <c r="C152" i="4" a="1"/>
  <c r="D104" i="4" a="1"/>
  <c r="D72" i="4" a="1"/>
  <c r="C208" i="4" a="1"/>
  <c r="C141" i="4" a="1"/>
  <c r="C172" i="4" a="1"/>
  <c r="D114" i="4" a="1"/>
  <c r="D82" i="4" a="1"/>
  <c r="C193" i="4" a="1"/>
  <c r="C13" i="4" l="1"/>
  <c r="D47" i="4"/>
  <c r="C193" i="4"/>
  <c r="D82" i="4"/>
  <c r="D114" i="4"/>
  <c r="C172" i="4"/>
  <c r="C141" i="4"/>
  <c r="C208" i="4"/>
  <c r="D72" i="4"/>
  <c r="D104" i="4"/>
  <c r="C152" i="4"/>
  <c r="C205" i="4"/>
  <c r="D85" i="4"/>
  <c r="D103" i="4"/>
  <c r="D121" i="4"/>
  <c r="C154" i="4"/>
  <c r="C186" i="4"/>
  <c r="C218" i="4"/>
  <c r="C131" i="4"/>
  <c r="C163" i="4"/>
  <c r="C195" i="4"/>
  <c r="D98" i="4"/>
  <c r="C212" i="4"/>
  <c r="D95" i="4"/>
  <c r="C202" i="4"/>
  <c r="C179" i="4"/>
  <c r="F13" i="4"/>
  <c r="D86" i="4"/>
  <c r="D118" i="4"/>
  <c r="C180" i="4"/>
  <c r="C149" i="4"/>
  <c r="E13" i="4"/>
  <c r="D76" i="4"/>
  <c r="D108" i="4"/>
  <c r="C160" i="4"/>
  <c r="C209" i="4"/>
  <c r="D87" i="4"/>
  <c r="D105" i="4"/>
  <c r="C126" i="4"/>
  <c r="C158" i="4"/>
  <c r="C190" i="4"/>
  <c r="C222" i="4"/>
  <c r="C135" i="4"/>
  <c r="C167" i="4"/>
  <c r="C199" i="4"/>
  <c r="C140" i="4"/>
  <c r="C173" i="4"/>
  <c r="D120" i="4"/>
  <c r="C184" i="4"/>
  <c r="D111" i="4"/>
  <c r="C170" i="4"/>
  <c r="C147" i="4"/>
  <c r="C129" i="4"/>
  <c r="D90" i="4"/>
  <c r="C124" i="4"/>
  <c r="C188" i="4"/>
  <c r="C157" i="4"/>
  <c r="C224" i="4"/>
  <c r="D80" i="4"/>
  <c r="D112" i="4"/>
  <c r="C168" i="4"/>
  <c r="C213" i="4"/>
  <c r="D91" i="4"/>
  <c r="D107" i="4"/>
  <c r="C130" i="4"/>
  <c r="C162" i="4"/>
  <c r="C194" i="4"/>
  <c r="D73" i="4"/>
  <c r="C139" i="4"/>
  <c r="C171" i="4"/>
  <c r="C203" i="4"/>
  <c r="C153" i="4"/>
  <c r="C137" i="4"/>
  <c r="C145" i="4"/>
  <c r="D94" i="4"/>
  <c r="C132" i="4"/>
  <c r="C196" i="4"/>
  <c r="C165" i="4"/>
  <c r="C220" i="4"/>
  <c r="D84" i="4"/>
  <c r="D116" i="4"/>
  <c r="C176" i="4"/>
  <c r="C217" i="4"/>
  <c r="D93" i="4"/>
  <c r="D109" i="4"/>
  <c r="C134" i="4"/>
  <c r="C166" i="4"/>
  <c r="C198" i="4"/>
  <c r="D77" i="4"/>
  <c r="C143" i="4"/>
  <c r="C175" i="4"/>
  <c r="C207" i="4"/>
  <c r="C169" i="4"/>
  <c r="C216" i="4"/>
  <c r="D88" i="4"/>
  <c r="C221" i="4"/>
  <c r="C138" i="4"/>
  <c r="D81" i="4"/>
  <c r="D102" i="4"/>
  <c r="C133" i="4"/>
  <c r="D96" i="4"/>
  <c r="D75" i="4"/>
  <c r="D117" i="4"/>
  <c r="C210" i="4"/>
  <c r="C183" i="4"/>
  <c r="C214" i="4"/>
  <c r="C128" i="4"/>
  <c r="C191" i="4"/>
  <c r="C197" i="4"/>
  <c r="D97" i="4"/>
  <c r="C211" i="4"/>
  <c r="C156" i="4"/>
  <c r="C174" i="4"/>
  <c r="C192" i="4"/>
  <c r="C219" i="4"/>
  <c r="D106" i="4"/>
  <c r="C181" i="4"/>
  <c r="D100" i="4"/>
  <c r="D79" i="4"/>
  <c r="C142" i="4"/>
  <c r="C187" i="4"/>
  <c r="D89" i="4"/>
  <c r="C136" i="4"/>
  <c r="C144" i="4"/>
  <c r="C164" i="4"/>
  <c r="C178" i="4"/>
  <c r="C161" i="4"/>
  <c r="D110" i="4"/>
  <c r="C189" i="4"/>
  <c r="D83" i="4"/>
  <c r="C146" i="4"/>
  <c r="C148" i="4"/>
  <c r="C150" i="4"/>
  <c r="C185" i="4"/>
  <c r="D99" i="4"/>
  <c r="C215" i="4"/>
  <c r="G13" i="4"/>
  <c r="D101" i="4"/>
  <c r="C177" i="4"/>
  <c r="D119" i="4"/>
  <c r="D13" i="4"/>
  <c r="D55" i="4" s="1"/>
  <c r="C127" i="4"/>
  <c r="C204" i="4"/>
  <c r="C151" i="4"/>
  <c r="D74" i="4"/>
  <c r="D113" i="4"/>
  <c r="C125" i="4"/>
  <c r="B6" i="4"/>
  <c r="D92" i="4"/>
  <c r="C201" i="4"/>
  <c r="D78" i="4"/>
  <c r="D115" i="4"/>
  <c r="C159" i="4"/>
  <c r="C223" i="4"/>
  <c r="D49" i="4"/>
  <c r="C182" i="4"/>
  <c r="C206" i="4"/>
  <c r="C155" i="4"/>
  <c r="C200" i="4"/>
  <c r="D55" i="3"/>
  <c r="D96" i="3" a="1"/>
  <c r="D96" i="3" s="1"/>
  <c r="D102" i="3" a="1"/>
  <c r="D102" i="3" s="1"/>
  <c r="D105" i="3" a="1"/>
  <c r="D105" i="3" s="1"/>
  <c r="D104" i="3" a="1"/>
  <c r="D104" i="3" s="1"/>
  <c r="D103" i="3" a="1"/>
  <c r="D103" i="3" s="1"/>
  <c r="F32" i="4" a="1"/>
  <c r="F31" i="4" a="1"/>
  <c r="F29" i="4" a="1"/>
  <c r="F30" i="4" a="1"/>
  <c r="E106" i="4" a="1"/>
  <c r="E102" i="4" a="1"/>
  <c r="E95" i="4" a="1"/>
  <c r="E84" i="4" a="1"/>
  <c r="E97" i="4" a="1"/>
  <c r="E98" i="4" a="1"/>
  <c r="E14" i="4" a="1"/>
  <c r="E113" i="4" a="1"/>
  <c r="E72" i="4" a="1"/>
  <c r="D14" i="4" a="1"/>
  <c r="E81" i="4" a="1"/>
  <c r="E115" i="4" a="1"/>
  <c r="E111" i="4" a="1"/>
  <c r="F14" i="4" a="1"/>
  <c r="E108" i="4" a="1"/>
  <c r="E83" i="4" a="1"/>
  <c r="E74" i="4" a="1"/>
  <c r="E79" i="4" a="1"/>
  <c r="E99" i="4" a="1"/>
  <c r="E112" i="4" a="1"/>
  <c r="E96" i="4" a="1"/>
  <c r="E92" i="4" a="1"/>
  <c r="E94" i="4" a="1"/>
  <c r="E116" i="4" a="1"/>
  <c r="E107" i="4" a="1"/>
  <c r="E91" i="4" a="1"/>
  <c r="E75" i="4" a="1"/>
  <c r="E80" i="4" a="1"/>
  <c r="E90" i="4" a="1"/>
  <c r="E100" i="4" a="1"/>
  <c r="E77" i="4" a="1"/>
  <c r="E121" i="4" a="1"/>
  <c r="E105" i="4" a="1"/>
  <c r="E89" i="4" a="1"/>
  <c r="E73" i="4" a="1"/>
  <c r="E118" i="4" a="1"/>
  <c r="E86" i="4" a="1"/>
  <c r="E88" i="4" a="1"/>
  <c r="E109" i="4" a="1"/>
  <c r="E119" i="4" a="1"/>
  <c r="E103" i="4" a="1"/>
  <c r="E87" i="4" a="1"/>
  <c r="G14" i="4" a="1"/>
  <c r="E114" i="4" a="1"/>
  <c r="E82" i="4" a="1"/>
  <c r="E76" i="4" a="1"/>
  <c r="E93" i="4" a="1"/>
  <c r="E117" i="4" a="1"/>
  <c r="E101" i="4" a="1"/>
  <c r="E85" i="4" a="1"/>
  <c r="E104" i="4" a="1"/>
  <c r="E110" i="4" a="1"/>
  <c r="E78" i="4" a="1"/>
  <c r="E120" i="4" a="1"/>
  <c r="D50" i="4" l="1"/>
  <c r="E120" i="4"/>
  <c r="E78" i="4"/>
  <c r="E110" i="4"/>
  <c r="E104" i="4"/>
  <c r="E85" i="4"/>
  <c r="E101" i="4"/>
  <c r="E117" i="4"/>
  <c r="E93" i="4"/>
  <c r="E76" i="4"/>
  <c r="E82" i="4"/>
  <c r="E114" i="4"/>
  <c r="G14" i="4"/>
  <c r="E87" i="4"/>
  <c r="E103" i="4"/>
  <c r="E119" i="4"/>
  <c r="E109" i="4"/>
  <c r="E88" i="4"/>
  <c r="E86" i="4"/>
  <c r="E118" i="4"/>
  <c r="E73" i="4"/>
  <c r="E89" i="4"/>
  <c r="E105" i="4"/>
  <c r="E121" i="4"/>
  <c r="E77" i="4"/>
  <c r="E100" i="4"/>
  <c r="E90" i="4"/>
  <c r="E80" i="4"/>
  <c r="E75" i="4"/>
  <c r="E91" i="4"/>
  <c r="E107" i="4"/>
  <c r="E116" i="4"/>
  <c r="E94" i="4"/>
  <c r="E92" i="4"/>
  <c r="E96" i="4"/>
  <c r="E112" i="4"/>
  <c r="E99" i="4"/>
  <c r="E79" i="4"/>
  <c r="E74" i="4"/>
  <c r="E83" i="4"/>
  <c r="E108" i="4"/>
  <c r="F14" i="4"/>
  <c r="E111" i="4"/>
  <c r="E115" i="4"/>
  <c r="E81" i="4"/>
  <c r="D14" i="4"/>
  <c r="E72" i="4"/>
  <c r="E113" i="4"/>
  <c r="E14" i="4"/>
  <c r="E98" i="4"/>
  <c r="E97" i="4"/>
  <c r="E84" i="4"/>
  <c r="E95" i="4"/>
  <c r="E102" i="4"/>
  <c r="E106" i="4"/>
  <c r="F30" i="4"/>
  <c r="F29" i="4"/>
  <c r="F31" i="4"/>
  <c r="F32" i="4"/>
  <c r="D32" i="4" s="1"/>
  <c r="D58" i="4" s="1"/>
  <c r="C227" i="4"/>
  <c r="C234" i="4"/>
  <c r="C228" i="4"/>
  <c r="C245" i="4"/>
  <c r="C233" i="4"/>
  <c r="C232" i="4"/>
  <c r="C251" i="4"/>
  <c r="C243" i="4"/>
  <c r="C257" i="4"/>
  <c r="D257" i="4" s="1"/>
  <c r="G257" i="4" s="1" a="1"/>
  <c r="G257" i="4" s="1"/>
  <c r="C235" i="4"/>
  <c r="C231" i="4"/>
  <c r="C230" i="4"/>
  <c r="C249" i="4"/>
  <c r="C241" i="4"/>
  <c r="C256" i="4"/>
  <c r="C253" i="4"/>
  <c r="C247" i="4"/>
  <c r="C248" i="4"/>
  <c r="C240" i="4"/>
  <c r="C254" i="4"/>
  <c r="C246" i="4"/>
  <c r="C255" i="4"/>
  <c r="C239" i="4"/>
  <c r="C242" i="4"/>
  <c r="C238" i="4"/>
  <c r="C236" i="4"/>
  <c r="C237" i="4"/>
  <c r="C250" i="4"/>
  <c r="C229" i="4"/>
  <c r="C244" i="4"/>
  <c r="C252" i="4"/>
  <c r="D109" i="3" a="1"/>
  <c r="D109" i="3" s="1"/>
  <c r="D108" i="3" a="1"/>
  <c r="D108" i="3" s="1"/>
  <c r="D107" i="3" a="1"/>
  <c r="D107" i="3" s="1"/>
  <c r="D97" i="3" a="1"/>
  <c r="D97" i="3" s="1"/>
  <c r="D106" i="3" a="1"/>
  <c r="D106" i="3" s="1"/>
  <c r="G32" i="4" a="1"/>
  <c r="G31" i="4" a="1"/>
  <c r="G29" i="4" a="1"/>
  <c r="G30" i="4" a="1"/>
  <c r="D15" i="4" a="1"/>
  <c r="D15" i="4" l="1"/>
  <c r="G30" i="4"/>
  <c r="G29" i="4"/>
  <c r="G31" i="4"/>
  <c r="E31" i="4" s="1"/>
  <c r="G32" i="4"/>
  <c r="E32" i="4" s="1"/>
  <c r="D256" i="4"/>
  <c r="G256" i="4" s="1" a="1"/>
  <c r="G256" i="4" s="1"/>
  <c r="F255" i="4" s="1"/>
  <c r="E256" i="4"/>
  <c r="D57" i="4"/>
  <c r="D31" i="4"/>
  <c r="E255" i="4"/>
  <c r="D255" i="4"/>
  <c r="G255" i="4" s="1" a="1"/>
  <c r="G255" i="4" s="1"/>
  <c r="E232" i="4"/>
  <c r="D232" i="4"/>
  <c r="G232" i="4" s="1" a="1"/>
  <c r="G232" i="4" s="1"/>
  <c r="D249" i="4"/>
  <c r="G249" i="4" s="1" a="1"/>
  <c r="G249" i="4" s="1"/>
  <c r="E249" i="4"/>
  <c r="E240" i="4"/>
  <c r="D240" i="4"/>
  <c r="G240" i="4" s="1" a="1"/>
  <c r="G240" i="4" s="1"/>
  <c r="E228" i="4"/>
  <c r="D228" i="4"/>
  <c r="G228" i="4" s="1" a="1"/>
  <c r="G228" i="4" s="1"/>
  <c r="E236" i="4"/>
  <c r="D236" i="4"/>
  <c r="G236" i="4" s="1" a="1"/>
  <c r="G236" i="4" s="1"/>
  <c r="F235" i="4" s="1"/>
  <c r="E248" i="4"/>
  <c r="D248" i="4"/>
  <c r="G248" i="4" s="1" a="1"/>
  <c r="G248" i="4" s="1"/>
  <c r="E235" i="4"/>
  <c r="D235" i="4"/>
  <c r="G235" i="4" s="1" a="1"/>
  <c r="G235" i="4" s="1"/>
  <c r="D234" i="4"/>
  <c r="G234" i="4" s="1" a="1"/>
  <c r="G234" i="4" s="1"/>
  <c r="E234" i="4"/>
  <c r="E239" i="4"/>
  <c r="D239" i="4"/>
  <c r="G239" i="4" s="1" a="1"/>
  <c r="G239" i="4" s="1"/>
  <c r="F238" i="4" s="1"/>
  <c r="E244" i="4"/>
  <c r="D244" i="4"/>
  <c r="G244" i="4" s="1" a="1"/>
  <c r="G244" i="4" s="1"/>
  <c r="E254" i="4"/>
  <c r="D254" i="4"/>
  <c r="G254" i="4" s="1" a="1"/>
  <c r="G254" i="4" s="1"/>
  <c r="E238" i="4"/>
  <c r="D238" i="4"/>
  <c r="G238" i="4" s="1" a="1"/>
  <c r="G238" i="4" s="1"/>
  <c r="E247" i="4"/>
  <c r="D247" i="4"/>
  <c r="G247" i="4" s="1" a="1"/>
  <c r="G247" i="4" s="1"/>
  <c r="F246" i="4" s="1"/>
  <c r="E227" i="4"/>
  <c r="D227" i="4"/>
  <c r="G227" i="4" s="1" a="1"/>
  <c r="G227" i="4" s="1"/>
  <c r="D252" i="4"/>
  <c r="G252" i="4" s="1" a="1"/>
  <c r="G252" i="4" s="1"/>
  <c r="E252" i="4"/>
  <c r="E251" i="4"/>
  <c r="D251" i="4"/>
  <c r="G251" i="4" s="1" a="1"/>
  <c r="G251" i="4" s="1"/>
  <c r="E241" i="4"/>
  <c r="D241" i="4"/>
  <c r="G241" i="4" s="1" a="1"/>
  <c r="G241" i="4" s="1"/>
  <c r="F240" i="4" s="1"/>
  <c r="F33" i="4"/>
  <c r="D29" i="4"/>
  <c r="E229" i="4"/>
  <c r="D229" i="4"/>
  <c r="G229" i="4" s="1" a="1"/>
  <c r="G229" i="4" s="1"/>
  <c r="D246" i="4"/>
  <c r="G246" i="4" s="1" a="1"/>
  <c r="G246" i="4" s="1"/>
  <c r="E246" i="4"/>
  <c r="D233" i="4"/>
  <c r="G233" i="4" s="1" a="1"/>
  <c r="G233" i="4" s="1"/>
  <c r="E233" i="4"/>
  <c r="D30" i="4"/>
  <c r="D56" i="4"/>
  <c r="D250" i="4"/>
  <c r="G250" i="4" s="1" a="1"/>
  <c r="G250" i="4" s="1"/>
  <c r="E250" i="4"/>
  <c r="E230" i="4"/>
  <c r="D230" i="4"/>
  <c r="G230" i="4" s="1" a="1"/>
  <c r="G230" i="4" s="1"/>
  <c r="F229" i="4" s="1"/>
  <c r="D245" i="4"/>
  <c r="G245" i="4" s="1" a="1"/>
  <c r="G245" i="4" s="1"/>
  <c r="E245" i="4"/>
  <c r="E237" i="4"/>
  <c r="D237" i="4"/>
  <c r="G237" i="4" s="1" a="1"/>
  <c r="G237" i="4" s="1"/>
  <c r="D231" i="4"/>
  <c r="G231" i="4" s="1" a="1"/>
  <c r="G231" i="4" s="1"/>
  <c r="E231" i="4"/>
  <c r="D242" i="4"/>
  <c r="G242" i="4" s="1" a="1"/>
  <c r="G242" i="4" s="1"/>
  <c r="E242" i="4"/>
  <c r="E253" i="4"/>
  <c r="D253" i="4"/>
  <c r="G253" i="4" s="1" a="1"/>
  <c r="G253" i="4" s="1"/>
  <c r="E243" i="4"/>
  <c r="D243" i="4"/>
  <c r="G243" i="4" s="1" a="1"/>
  <c r="G243" i="4" s="1"/>
  <c r="F242" i="4" s="1"/>
  <c r="F236" i="4" l="1"/>
  <c r="F247" i="4"/>
  <c r="F234" i="4"/>
  <c r="F232" i="4"/>
  <c r="F252" i="4"/>
  <c r="F231" i="4"/>
  <c r="F256" i="4"/>
  <c r="F250" i="4"/>
  <c r="F243" i="4"/>
  <c r="F245" i="4"/>
  <c r="F227" i="4"/>
  <c r="F254" i="4"/>
  <c r="G33" i="4"/>
  <c r="E29" i="4"/>
  <c r="F248" i="4"/>
  <c r="F241" i="4"/>
  <c r="F237" i="4"/>
  <c r="F228" i="4"/>
  <c r="F233" i="4"/>
  <c r="D59" i="4"/>
  <c r="E30" i="4"/>
  <c r="F244" i="4"/>
  <c r="F230" i="4"/>
  <c r="F249" i="4"/>
  <c r="F251" i="4"/>
  <c r="F253" i="4"/>
  <c r="F23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<sst xmlns="http://schemas.openxmlformats.org/spreadsheetml/2006/main" count="516" uniqueCount="339">
  <si>
    <t xml:space="preserve">rNPV разработки лекарственного препарата</t>
  </si>
  <si>
    <t xml:space="preserve">Пример МоделРиск  ·  Фармацевтика и биотехнологии  ·  PH-03</t>
  </si>
  <si>
    <t xml:space="preserve">Сколько стоит соединение во II фазе — и разрабатывать его самим или передать по лицензии?</t>
  </si>
  <si>
    <t xml:space="preserve">Далее:  Исходные данные  ▸</t>
  </si>
  <si>
    <t xml:space="preserve">Карточка модели</t>
  </si>
  <si>
    <t xml:space="preserve">Отрасль</t>
  </si>
  <si>
    <t xml:space="preserve">Фармацевтика и биотехнологии</t>
  </si>
  <si>
    <t xml:space="preserve">Сложность</t>
  </si>
  <si>
    <t xml:space="preserve">★★★☆☆   Три фазы разработки с неопределенными длительностью, стоимостью и успехом; вывод на рынок с ростом продаж и истечением патента; учебный rNPV рядом со смоделированным NPV; самостоятельная разработка против лицензирования на одних и тех же исходах.</t>
  </si>
  <si>
    <t xml:space="preserve">Вопрос бизнеса</t>
  </si>
  <si>
    <t xml:space="preserve">Ведущее соединение биотехнологической компании вступает во II фазу. Лишь примерно одно соединение из пяти на этой стадии доходит до рынка, но то, что дойдет, может продаваться на сумму до 1 млрд долл. в год до истечения патента в 2041 году. Сколько стоит соединение сегодня, насколько вероятно, что компания на нем потеряет, и что лучше — разрабатывать самим или принять предложение партнера о лицензии после II фазы?</t>
  </si>
  <si>
    <t xml:space="preserve">Для кого</t>
  </si>
  <si>
    <t xml:space="preserve">Службам развития бизнеса, управления портфелем и финансов биотехнологических и фармацевтических компаний; инвесторам в разработку лекарств.</t>
  </si>
  <si>
    <t xml:space="preserve">Основные результаты</t>
  </si>
  <si>
    <t xml:space="preserve">NPV самостоятельной разработки и лицензирования: учебный rNPV и среднее по моделированию, вероятность убытка, исходы «один из 20» · сколько стоит каждый исход — неудача во II или III фазе, отказ регулятора, вывод на рынок · rNPV по этапам · как растет ценность на каждой контрольной точке.</t>
  </si>
  <si>
    <t xml:space="preserve">Приемы МоделРиск</t>
  </si>
  <si>
    <t xml:space="preserve">Успех фаз как испытания Бернулли (VoseBernoulli) · длительности и стоимости PERT · пиковые продажи как логнормальное по P10 и P90 (VoseLognormalAlt) · непрерывная дата вывода на рынок, которая сокращает период эксклюзивных продаж, когда разработка затягивается · принятый в отрасли rNPV со взвешиванием этапов рядом с распределением смоделированного NPV · две стратегии на одних и тех же исходах · условные средние по исходам и контрольным точкам.</t>
  </si>
  <si>
    <t xml:space="preserve">Файл</t>
  </si>
  <si>
    <t xml:space="preserve">PH-03 rNPV разработки лекарственного препарата  ·  Версия 1.0  ·  Ноябрь 2026  ·  создано в МоделРиск</t>
  </si>
  <si>
    <t xml:space="preserve">Вопрос бизнеса</t>
  </si>
  <si>
    <t xml:space="preserve">Ведущее соединение биотехнологической компании вступает во II фазу исследований при хроническом воспалительном заболевании. II фаза длится около двух лет, стоит около 30 млн долл. и успешна примерно в одном случае из трех; III фаза длится около трех лет, стоит около 150 млн долл. и успешна в 60% случаев. Регулятор одобряет девять заявок из десяти. Выведенный на рынок продукт примерно за четыре года выйдет на пиковые продажи — от 300 млн до 1,2 млрд долл. в год — и будет продаваться до истечения патента в конце 2041 года, когда большую часть рынка займут дженерики. Более крупная компания предлагает взять соединение по лицензии, если II фаза будет успешной: 60 млн долл. при подписании, 40 млн долл. при успехе III фазы, 60 млн долл. при одобрении и роялти 15%, при этом она оплачивает III фазу, регистрацию и вывод на рынок. Совет директоров хочет знать, сколько стоит соединение и принять ли предложение.</t>
  </si>
  <si>
    <t xml:space="preserve">Как устроена модель</t>
  </si>
  <si>
    <t xml:space="preserve">Дальше три листа, слева направо. Каждый передает данные следующему.</t>
  </si>
  <si>
    <t xml:space="preserve">1  Исходные данные</t>
  </si>
  <si>
    <t xml:space="preserve">Для II фазы, III фазы и регистрации: длительность и стоимость (PERT) и вероятность успеха. Пиковые продажи (логнормальное по P10 и P90), годы до пика, истечение патента и доля продаж после него, операционная рентабельность и затраты на вывод на рынок. Предложение о лицензии. Ставка дисконтирования.</t>
  </si>
  <si>
    <t xml:space="preserve">2  Разработка</t>
  </si>
  <si>
    <t xml:space="preserve">VoseBernoulli решает, успешна ли каждая фаза. Стоимость каждой фазы распределяется по ее годам. Продукт выходит на рынок по окончании регистрации, поэтому позднее одобрение оставляет меньше лет до истечения патента. Денежные потоки самостоятельной разработки и лицензирования после II фазы дисконтируются на сегодня. Учебный rNPV повторяет расчет на наиболее вероятной траектории и взвешивает каждый этап вероятностью до него дойти.</t>
  </si>
  <si>
    <t xml:space="preserve">3  Результаты</t>
  </si>
  <si>
    <t xml:space="preserve">Для обеих стратегий: rNPV, среднее NPV по моделированию, вероятность убытка и исходы «один из 20»; вероятность каждого исхода и сколько стоит соединение при нем; rNPV по этапам; ценность после прохождения каждой контрольной точки.</t>
  </si>
  <si>
    <t xml:space="preserve">Как пользоваться моделью</t>
  </si>
  <si>
    <t xml:space="preserve">Шаг 1</t>
  </si>
  <si>
    <t xml:space="preserve">Введите длительность, стоимость и вероятность успеха своих фаз — по своему плану и отраслевым ориентирам.</t>
  </si>
  <si>
    <t xml:space="preserve">Шаг 2</t>
  </si>
  <si>
    <t xml:space="preserve">Введите прогноз пиковых продаж как P10 и P90, темп вывода, срок истечения патента и рентабельность.</t>
  </si>
  <si>
    <t xml:space="preserve">Шаг 3</t>
  </si>
  <si>
    <t xml:space="preserve">Введите условия предложения о лицензии, затем запустите моделирование (заданы 10 000 итераций с фиксированным начальным числом).</t>
  </si>
  <si>
    <t xml:space="preserve">Шаг 4</t>
  </si>
  <si>
    <t xml:space="preserve">Сравните стратегии по ценности и по риску: компания, которая не переживет убыток 140 млн долл., может предпочесть меньшую ценность с меньшими потенциальными потерями.</t>
  </si>
  <si>
    <t xml:space="preserve">Структура модели</t>
  </si>
  <si>
    <t xml:space="preserve">Исходные данные</t>
  </si>
  <si>
    <t xml:space="preserve">Фазы, рынок, предложение о лицензии, финансы.</t>
  </si>
  <si>
    <t xml:space="preserve">Разработка</t>
  </si>
  <si>
    <t xml:space="preserve">Траектория, затраты, продажи и денежные потоки по годам; учебный rNPV; выходы и проверки.</t>
  </si>
  <si>
    <t xml:space="preserve">Результаты</t>
  </si>
  <si>
    <t xml:space="preserve">Ценность, риск, исходы, rNPV по этапам, контрольные точки.</t>
  </si>
  <si>
    <t xml:space="preserve">Цветовые обозначения</t>
  </si>
  <si>
    <t xml:space="preserve">Исходное значение</t>
  </si>
  <si>
    <t xml:space="preserve">Допущение, которое можно менять. Исходные данные — только в этих ячейках.</t>
  </si>
  <si>
    <t xml:space="preserve">Неопределенная величина</t>
  </si>
  <si>
    <t xml:space="preserve">Распределение МоделРиск: новое случайное значение выбирается при каждом пересчете (F9) и в каждой итерации моделирования.</t>
  </si>
  <si>
    <t xml:space="preserve">Расчет</t>
  </si>
  <si>
    <t xml:space="preserve">Формула. Не перезаписывайте.</t>
  </si>
  <si>
    <t xml:space="preserve">Ключевой результат</t>
  </si>
  <si>
    <t xml:space="preserve">Отмечен функцией VoseOutput: при моделировании сохраняется его полное распределение.</t>
  </si>
  <si>
    <t xml:space="preserve">Результат моделирования</t>
  </si>
  <si>
    <t xml:space="preserve">Функция VoseSim…: статистика последнего моделирования, заполняется автоматически.</t>
  </si>
  <si>
    <t xml:space="preserve">Единицы и обозначения</t>
  </si>
  <si>
    <t xml:space="preserve">Деньги</t>
  </si>
  <si>
    <t xml:space="preserve">Миллионы долларов США (млн долл.), до налога; денежные потоки дисконтируются с середины каждого года.</t>
  </si>
  <si>
    <t xml:space="preserve">Время</t>
  </si>
  <si>
    <t xml:space="preserve">Год 1 — 2027; II фаза начинается 1 января 2027 года.</t>
  </si>
  <si>
    <t>rNPV</t>
  </si>
  <si>
    <t xml:space="preserve">NPV с учетом риска: денежные потоки каждого этапа на наиболее вероятной траектории, взвешенные вероятностью дойти до этого этапа, с ожидаемыми пиковыми продажами.</t>
  </si>
  <si>
    <t xml:space="preserve">NPV, моделирование</t>
  </si>
  <si>
    <t xml:space="preserve">NPV каждой смоделированной траектории; его среднее — ожидаемая ценность соединения.</t>
  </si>
  <si>
    <t xml:space="preserve">Основные допущения и ограничения</t>
  </si>
  <si>
    <t xml:space="preserve">Этапы</t>
  </si>
  <si>
    <t xml:space="preserve">Последовательно; неудачная фаза прекращает разработку, и ничего не возмещается.</t>
  </si>
  <si>
    <t xml:space="preserve">Продажи</t>
  </si>
  <si>
    <t xml:space="preserve">Растут линейно от одобрения до пика; после истечения патента падают до заданных долей; без налога и без терминальной стоимости после 2046 года.</t>
  </si>
  <si>
    <t xml:space="preserve">Лицензирование</t>
  </si>
  <si>
    <t xml:space="preserve">Партнер оплачивает все начиная с III фазы; платежи поступают в год события.</t>
  </si>
  <si>
    <t xml:space="preserve">Данные</t>
  </si>
  <si>
    <t xml:space="preserve">Компания, соединение и все цифры придуманы для этого примера.</t>
  </si>
  <si>
    <t xml:space="preserve">Функции МоделРиск в модели</t>
  </si>
  <si>
    <t>VoseBernoulli</t>
  </si>
  <si>
    <t xml:space="preserve">Успешна ли каждая фаза.</t>
  </si>
  <si>
    <t>VosePERT</t>
  </si>
  <si>
    <t xml:space="preserve">Длительность и стоимость фаз.</t>
  </si>
  <si>
    <t>VoseLognormalAlt</t>
  </si>
  <si>
    <t xml:space="preserve">Пиковые продажи по P10 и P90 прогноза.</t>
  </si>
  <si>
    <t>VoseInput, VoseOutput</t>
  </si>
  <si>
    <t xml:space="preserve">Пометить неопределенные величины и выходы.</t>
  </si>
  <si>
    <t>VoseSimMean, VoseSimPercentile, VoseSimProbability</t>
  </si>
  <si>
    <t xml:space="preserve">Статистика моделирования на листе «Результаты».</t>
  </si>
  <si>
    <t xml:space="preserve">Что почитать</t>
  </si>
  <si>
    <t>Stewart, J. J., Allison, P. N. &amp; Johnson, R. S. (2001). Putting a price on biotechnology. Nature Biotechnology 19, 813–817.</t>
  </si>
  <si>
    <t xml:space="preserve">Вероятности успеха</t>
  </si>
  <si>
    <t>BIO, Informa &amp; QLS (2021). Clinical Development Success Rates 2011–2020.</t>
  </si>
  <si>
    <t xml:space="preserve">Анализ рисков</t>
  </si>
  <si>
    <t xml:space="preserve">Анализ рисков инвестиционного проекта: NPV методом Монте-Карло (статья)</t>
  </si>
  <si>
    <t xml:space="preserve">© 2026 ООО «Стратегия Риска»   ·   www.riskstrategy.ru   ·   Учебный пример: цифры придуманы для обучения и не описывают реальную компанию, проект или актив.</t>
  </si>
  <si>
    <t xml:space="preserve">ИСХОДНЫЕ ДАННЫЕ   ·   Все допущения модели, их неопределенность и обоснование. Меняйте только желтые ячейки.</t>
  </si>
  <si>
    <t xml:space="preserve">◂  Описание</t>
  </si>
  <si>
    <t xml:space="preserve">Далее:  Разработка  ▸</t>
  </si>
  <si>
    <t xml:space="preserve">Как читать этот лист:  желтые ячейки — исходные данные.  В оранжевых ячейках распределения МоделРиск, они показывают текущее случайное значение (F9 — выбрать заново).  Мин. / Наиболее вероятное / Макс. — минимум, наиболее вероятное значение и максимум для PERT; для логнормального — низкая (10-й процентиль) и высокая (90-й процентиль) оценки.  Среднее — среднее значение распределения (VoseMean); если диапазон задан неверно, показывается ✗.</t>
  </si>
  <si>
    <t xml:space="preserve">1   Разработка</t>
  </si>
  <si>
    <t xml:space="preserve">Длительность и стоимость каждой фазы и ее вероятность успеха.</t>
  </si>
  <si>
    <t xml:space="preserve">Допущение</t>
  </si>
  <si>
    <t xml:space="preserve">Ед. изм.</t>
  </si>
  <si>
    <t xml:space="preserve">Значение в модели</t>
  </si>
  <si>
    <t xml:space="preserve">Неопределенность</t>
  </si>
  <si>
    <t xml:space="preserve">Мин.</t>
  </si>
  <si>
    <t xml:space="preserve">Наиболее вероятное</t>
  </si>
  <si>
    <t xml:space="preserve">Макс.</t>
  </si>
  <si>
    <t xml:space="preserve">Среднее</t>
  </si>
  <si>
    <t xml:space="preserve">Обоснование / источник (условно)</t>
  </si>
  <si>
    <t xml:space="preserve">II фаза: длительность</t>
  </si>
  <si>
    <t xml:space="preserve">лет</t>
  </si>
  <si>
    <t>PERT</t>
  </si>
  <si>
    <t xml:space="preserve">Набор и 24 недели лечения.</t>
  </si>
  <si>
    <t xml:space="preserve">II фаза: стоимость</t>
  </si>
  <si>
    <t xml:space="preserve">млн долл.</t>
  </si>
  <si>
    <t xml:space="preserve">II фаза: вероятность успеха</t>
  </si>
  <si>
    <t xml:space="preserve">вероятность</t>
  </si>
  <si>
    <t xml:space="preserve">Константа</t>
  </si>
  <si>
    <t xml:space="preserve">Ориентиры для терапевтической области: 30–40%.</t>
  </si>
  <si>
    <t xml:space="preserve">III фаза: длительность</t>
  </si>
  <si>
    <t xml:space="preserve">Два базовых исследования.</t>
  </si>
  <si>
    <t xml:space="preserve">III фаза: стоимость</t>
  </si>
  <si>
    <t xml:space="preserve">III фаза: вероятность успеха</t>
  </si>
  <si>
    <t xml:space="preserve">Регистрация: длительность</t>
  </si>
  <si>
    <t xml:space="preserve">От подачи заявки до одобрения.</t>
  </si>
  <si>
    <t xml:space="preserve">Регистрация: стоимость</t>
  </si>
  <si>
    <t xml:space="preserve">Регистрация: вероятность одобрения</t>
  </si>
  <si>
    <t xml:space="preserve">2   Рынок</t>
  </si>
  <si>
    <t xml:space="preserve">Пиковые продажи</t>
  </si>
  <si>
    <t xml:space="preserve">млн долл. в год</t>
  </si>
  <si>
    <t xml:space="preserve">Логнормальное  · P10, P90</t>
  </si>
  <si>
    <t>–</t>
  </si>
  <si>
    <t xml:space="preserve">Прогноз коммерческой службы: вероятность 10%, что меньше 300, и 10%, что больше 1200.</t>
  </si>
  <si>
    <t xml:space="preserve">Лет от одобрения до пиковых продаж</t>
  </si>
  <si>
    <t xml:space="preserve">Продажи растут линейно от одобрения до пика.</t>
  </si>
  <si>
    <t xml:space="preserve">Патент истекает в конце</t>
  </si>
  <si>
    <t xml:space="preserve">год</t>
  </si>
  <si>
    <t xml:space="preserve">Продажи после истечения патента: первый год</t>
  </si>
  <si>
    <t xml:space="preserve">от пика</t>
  </si>
  <si>
    <t xml:space="preserve">Выход дженериков.</t>
  </si>
  <si>
    <t xml:space="preserve">Продажи после истечения патента: второй год</t>
  </si>
  <si>
    <t xml:space="preserve">Продажи после истечения патента: третий год</t>
  </si>
  <si>
    <t xml:space="preserve">Продажи после истечения патента: последующие годы</t>
  </si>
  <si>
    <t xml:space="preserve">Операционная рентабельность</t>
  </si>
  <si>
    <t xml:space="preserve">от продаж</t>
  </si>
  <si>
    <t xml:space="preserve">После себестоимости, маркетинга и дистрибуции.</t>
  </si>
  <si>
    <t xml:space="preserve">Затраты на вывод на рынок</t>
  </si>
  <si>
    <t xml:space="preserve">В год одобрения.</t>
  </si>
  <si>
    <t xml:space="preserve">3   Предложение о лицензии</t>
  </si>
  <si>
    <t xml:space="preserve">Если II фаза успешна, партнер берет соединение и оплачивает все после II фазы.</t>
  </si>
  <si>
    <t xml:space="preserve">При подписании, после II фазы</t>
  </si>
  <si>
    <t xml:space="preserve">Платеж за успех III фазы</t>
  </si>
  <si>
    <t xml:space="preserve">Платеж за одобрение</t>
  </si>
  <si>
    <t xml:space="preserve">Роялти с продаж</t>
  </si>
  <si>
    <t xml:space="preserve">4   Финансирование</t>
  </si>
  <si>
    <t xml:space="preserve">Ставка дисконтирования</t>
  </si>
  <si>
    <t xml:space="preserve">в год</t>
  </si>
  <si>
    <t xml:space="preserve">Стоимость капитала для биотехнологической компании на стадии разработки.</t>
  </si>
  <si>
    <t xml:space="preserve">II фаза начинается 1 января</t>
  </si>
  <si>
    <t xml:space="preserve">РАЗРАБОТКА   ·   Траектория этой итерации, денежные потоки обеих стратегий по годам и учебный rNPV (млн долл.).</t>
  </si>
  <si>
    <t xml:space="preserve">◂  Исходные данные</t>
  </si>
  <si>
    <t xml:space="preserve">Далее:  Результаты  ▸</t>
  </si>
  <si>
    <t xml:space="preserve">Год</t>
  </si>
  <si>
    <t xml:space="preserve">Итого</t>
  </si>
  <si>
    <t xml:space="preserve">Календарный год</t>
  </si>
  <si>
    <t xml:space="preserve">1   Траектория этой итерации</t>
  </si>
  <si>
    <t xml:space="preserve">Величина</t>
  </si>
  <si>
    <t xml:space="preserve">Значение</t>
  </si>
  <si>
    <t xml:space="preserve">Как рассчитывается</t>
  </si>
  <si>
    <t xml:space="preserve">II фаза успешна?  (1 — да)</t>
  </si>
  <si>
    <t>1 / 0</t>
  </si>
  <si>
    <t xml:space="preserve">VoseBernoulli с вероятностью с листа «Исходные данные»</t>
  </si>
  <si>
    <t xml:space="preserve">III фаза успешна?  (1 — да)</t>
  </si>
  <si>
    <t xml:space="preserve">Имеет значение, только если II фаза успешна</t>
  </si>
  <si>
    <t xml:space="preserve">Одобрено?  (1 — да)</t>
  </si>
  <si>
    <t xml:space="preserve">Имеет значение, только если III фаза успешна</t>
  </si>
  <si>
    <t xml:space="preserve">Выведен на рынок?  (1 — да)</t>
  </si>
  <si>
    <t xml:space="preserve">Все три успешны</t>
  </si>
  <si>
    <t xml:space="preserve">Исход</t>
  </si>
  <si>
    <t xml:space="preserve">код</t>
  </si>
  <si>
    <t xml:space="preserve">1 неудача во II фазе · 2 неудача в III фазе · 3 отказ · 4 выведен на рынок</t>
  </si>
  <si>
    <t xml:space="preserve">Окончание II фазы</t>
  </si>
  <si>
    <t xml:space="preserve">Лет от начала</t>
  </si>
  <si>
    <t xml:space="preserve">Окончание III фазы</t>
  </si>
  <si>
    <t xml:space="preserve">Одобрение</t>
  </si>
  <si>
    <t xml:space="preserve">Продукт сразу выходит на рынок</t>
  </si>
  <si>
    <t xml:space="preserve">Год окончания II фазы</t>
  </si>
  <si>
    <t xml:space="preserve">№ года</t>
  </si>
  <si>
    <t xml:space="preserve">Столбец года, на который приходится событие: в нем платится платеж при подписании</t>
  </si>
  <si>
    <t xml:space="preserve">Год окончания III фазы</t>
  </si>
  <si>
    <t xml:space="preserve">Платеж за III фазу</t>
  </si>
  <si>
    <t xml:space="preserve">Год одобрения</t>
  </si>
  <si>
    <t xml:space="preserve">Затраты на вывод на рынок и платеж за одобрение</t>
  </si>
  <si>
    <t xml:space="preserve">Дата одобрения</t>
  </si>
  <si>
    <t xml:space="preserve">дата</t>
  </si>
  <si>
    <t xml:space="preserve">Если соединение до этого дойдет</t>
  </si>
  <si>
    <t xml:space="preserve">Лет продаж до истечения патента</t>
  </si>
  <si>
    <t xml:space="preserve">Каждый месяц задержки разработки — на месяц меньше эксклюзивных продаж</t>
  </si>
  <si>
    <t xml:space="preserve">2   Затраты на разработку</t>
  </si>
  <si>
    <t xml:space="preserve">Стоимость каждой фазы равномерно распределена по ее длительности: доля фазы, приходящаяся на каждый год. Фаза оплачивается, только если начинается.</t>
  </si>
  <si>
    <t xml:space="preserve">Доля II фазы в году</t>
  </si>
  <si>
    <t xml:space="preserve">от фазы</t>
  </si>
  <si>
    <t xml:space="preserve">Доля III фазы в году</t>
  </si>
  <si>
    <t xml:space="preserve">Доля регистрации в году</t>
  </si>
  <si>
    <t xml:space="preserve">II фаза</t>
  </si>
  <si>
    <t xml:space="preserve">III фаза</t>
  </si>
  <si>
    <t xml:space="preserve">Регистрация</t>
  </si>
  <si>
    <t xml:space="preserve">3   Продажи</t>
  </si>
  <si>
    <t xml:space="preserve">Линейный рост от одобрения до пика, на середину года; после истечения патента — доли от пика с листа «Исходные данные».</t>
  </si>
  <si>
    <t xml:space="preserve">Достигнутая доля пика</t>
  </si>
  <si>
    <t xml:space="preserve">Лет после истечения патента</t>
  </si>
  <si>
    <t xml:space="preserve">Доля пика после истечения патента</t>
  </si>
  <si>
    <t xml:space="preserve">4   Самостоятельная разработка</t>
  </si>
  <si>
    <t xml:space="preserve">Затраты на разработку</t>
  </si>
  <si>
    <t xml:space="preserve">Операционная прибыль</t>
  </si>
  <si>
    <t xml:space="preserve">Чистый денежный поток</t>
  </si>
  <si>
    <t xml:space="preserve">Коэффициент дисконтирования  (середина года)</t>
  </si>
  <si>
    <t xml:space="preserve">5   Лицензия после II фазы</t>
  </si>
  <si>
    <t xml:space="preserve">Компания оплачивает II фазу; партнер оплачивает все после нее.</t>
  </si>
  <si>
    <t xml:space="preserve">Подписание, после II фазы</t>
  </si>
  <si>
    <t xml:space="preserve">Роялти</t>
  </si>
  <si>
    <t xml:space="preserve">6   Учебный rNPV</t>
  </si>
  <si>
    <t xml:space="preserve">Каждый этап на наиболее вероятной траектории с ожидаемыми пиковыми продажами; приведенная стоимость каждого этапа взвешена вероятностью до него дойти.</t>
  </si>
  <si>
    <t xml:space="preserve">Ожидаемые пиковые продажи  (среднее прогноза)</t>
  </si>
  <si>
    <t xml:space="preserve">Столбец «Среднее» на листе «Исходные данные»: VoseMean логнормального распределения пиковых продаж, выше его медианы</t>
  </si>
  <si>
    <t xml:space="preserve">Окончание II фазы, наиболее вероятное</t>
  </si>
  <si>
    <t xml:space="preserve">Окончание III фазы, наиболее вероятное</t>
  </si>
  <si>
    <t xml:space="preserve">Одобрение, наиболее вероятное</t>
  </si>
  <si>
    <t xml:space="preserve">Год окончания II фазы, наиболее вероятный</t>
  </si>
  <si>
    <t xml:space="preserve">Год окончания III фазы, наиболее вероятный</t>
  </si>
  <si>
    <t xml:space="preserve">Год одобрения, наиболее вероятный</t>
  </si>
  <si>
    <t xml:space="preserve">Стоимость II фазы</t>
  </si>
  <si>
    <t xml:space="preserve">Стоимость III фазы</t>
  </si>
  <si>
    <t xml:space="preserve">Стоимость регистрации</t>
  </si>
  <si>
    <t xml:space="preserve">Рынок: операционная прибыль за вычетом затрат на вывод</t>
  </si>
  <si>
    <t xml:space="preserve">Этап</t>
  </si>
  <si>
    <t xml:space="preserve">Приведенная стоимость</t>
  </si>
  <si>
    <t xml:space="preserve">Вероятность</t>
  </si>
  <si>
    <t xml:space="preserve">Ценность с учетом риска</t>
  </si>
  <si>
    <t xml:space="preserve">если дойдет, млн долл.</t>
  </si>
  <si>
    <t xml:space="preserve">дойти</t>
  </si>
  <si>
    <t xml:space="preserve">Рынок, самостоятельная разработка</t>
  </si>
  <si>
    <t xml:space="preserve">rNPV, самостоятельная разработка</t>
  </si>
  <si>
    <t xml:space="preserve">Лицензия: II фаза</t>
  </si>
  <si>
    <t xml:space="preserve">Лицензия: подписание</t>
  </si>
  <si>
    <t xml:space="preserve">Лицензия: платеж за успех III фазы</t>
  </si>
  <si>
    <t xml:space="preserve">Лицензия: платеж за одобрение и роялти</t>
  </si>
  <si>
    <t xml:space="preserve">rNPV, лицензия</t>
  </si>
  <si>
    <t xml:space="preserve">NPV, если все этапы успешны  (без учета риска)</t>
  </si>
  <si>
    <t xml:space="preserve">Сумма приведенных стоимостей четырех этапов выше: сколько стоит соединение, если ничего не сорвется</t>
  </si>
  <si>
    <t xml:space="preserve">7   Значение в этой итерации</t>
  </si>
  <si>
    <t xml:space="preserve">Ключевые результаты, которые МоделРиск записывает в каждой итерации (VoseOutput). Их статистика — на листе «Результаты».</t>
  </si>
  <si>
    <t xml:space="preserve">Результат</t>
  </si>
  <si>
    <t xml:space="preserve">Смысл</t>
  </si>
  <si>
    <t xml:space="preserve">NPV, самостоятельная разработка</t>
  </si>
  <si>
    <t xml:space="preserve">NPV, лицензия после II фазы</t>
  </si>
  <si>
    <t xml:space="preserve">Лицензирование выгоднее?  (1 — да)</t>
  </si>
  <si>
    <t xml:space="preserve">В этой итерации.</t>
  </si>
  <si>
    <t xml:space="preserve">Неудача во II фазе?  (1 — да)</t>
  </si>
  <si>
    <t xml:space="preserve">Для вероятности каждого исхода.</t>
  </si>
  <si>
    <t xml:space="preserve">Неудача в III фазе?  (1 — да)</t>
  </si>
  <si>
    <t xml:space="preserve">Отказ регулятора?  (1 — да)</t>
  </si>
  <si>
    <t xml:space="preserve">NPV самим × (неудача во II фазе)</t>
  </si>
  <si>
    <t xml:space="preserve">NPV, если исход наступил, иначе 0: его среднее ÷ вероятность исхода = среднее NPV при данном исходе.</t>
  </si>
  <si>
    <t xml:space="preserve">NPV самим × (неудача в III фазе)</t>
  </si>
  <si>
    <t xml:space="preserve">NPV самим × (отказ регулятора)</t>
  </si>
  <si>
    <t xml:space="preserve">NPV самим × (выведен на рынок)</t>
  </si>
  <si>
    <t xml:space="preserve">NPV лицензия × (неудача во II фазе)</t>
  </si>
  <si>
    <t xml:space="preserve">NPV лицензия × (неудача в III фазе)</t>
  </si>
  <si>
    <t xml:space="preserve">NPV лицензия × (отказ регулятора)</t>
  </si>
  <si>
    <t xml:space="preserve">NPV лицензия × (выведен на рынок)</t>
  </si>
  <si>
    <t xml:space="preserve">8   Проверки модели</t>
  </si>
  <si>
    <t xml:space="preserve">Везде должно быть «ОК». «ПРОВЕРИТЬ» означает, что исходное значение вышло за пределы, на которые рассчитана модель.</t>
  </si>
  <si>
    <t xml:space="preserve">Вероятности успеха от 0% до 100%</t>
  </si>
  <si>
    <t xml:space="preserve">Одобрение наступает до истечения патента</t>
  </si>
  <si>
    <t xml:space="preserve">Моделируемые годы выходят за срок истечения патента</t>
  </si>
  <si>
    <t xml:space="preserve">Продажи только после вывода на рынок</t>
  </si>
  <si>
    <t xml:space="preserve">РЕЗУЛЬТАТЫ   ·   Заполняются автоматически по последнему моделированию. После изменения исходных данных запустите моделирование снова.</t>
  </si>
  <si>
    <t xml:space="preserve">◂  Разработка</t>
  </si>
  <si>
    <t xml:space="preserve">1   Сколько стоит соединение?</t>
  </si>
  <si>
    <t xml:space="preserve">NPV — интегральная вероятность</t>
  </si>
  <si>
    <t xml:space="preserve">NPV на сегодня, млн долл. rNPV — принятый в отрасли расчет со взвешиванием этапов. Моделирование — среднее по 10 000 траекторий разработки.</t>
  </si>
  <si>
    <t xml:space="preserve">Стратегия</t>
  </si>
  <si>
    <t xml:space="preserve">Среднее NPV</t>
  </si>
  <si>
    <t xml:space="preserve">1 из 20</t>
  </si>
  <si>
    <t xml:space="preserve">учебник</t>
  </si>
  <si>
    <t xml:space="preserve">по моделированию</t>
  </si>
  <si>
    <t xml:space="preserve">убытка</t>
  </si>
  <si>
    <t xml:space="preserve">худший (P5)</t>
  </si>
  <si>
    <t xml:space="preserve">лучший (P95)</t>
  </si>
  <si>
    <t xml:space="preserve">Разрабатывать самим</t>
  </si>
  <si>
    <t xml:space="preserve">Лицензировать после II фазы</t>
  </si>
  <si>
    <t xml:space="preserve">Вероятность, что лицензирование выгоднее</t>
  </si>
  <si>
    <t xml:space="preserve">2   Что происходит и сколько это стоит</t>
  </si>
  <si>
    <t xml:space="preserve">NPV при самостоятельной разработке — распределение</t>
  </si>
  <si>
    <t xml:space="preserve">Вероятность каждого исхода, среднее NPV при нем и его вклад в среднее NPV (млн долл.).</t>
  </si>
  <si>
    <t xml:space="preserve">Самим</t>
  </si>
  <si>
    <t xml:space="preserve">Лицензия</t>
  </si>
  <si>
    <t xml:space="preserve">NPV при исходе</t>
  </si>
  <si>
    <t xml:space="preserve">доля среднего</t>
  </si>
  <si>
    <t xml:space="preserve">Неудача во II фазе</t>
  </si>
  <si>
    <t xml:space="preserve">Неудача в III фазе</t>
  </si>
  <si>
    <t xml:space="preserve">Отказ регулятора</t>
  </si>
  <si>
    <t xml:space="preserve">Выведен на рынок</t>
  </si>
  <si>
    <t xml:space="preserve">Все исходы</t>
  </si>
  <si>
    <t xml:space="preserve">Доля среднего: вероятность исхода × его среднее NPV. В сумме доли дают среднее NPV.</t>
  </si>
  <si>
    <t xml:space="preserve">3   Учебный rNPV по этапам</t>
  </si>
  <si>
    <t xml:space="preserve">Наиболее вероятная траектория, ожидаемые пиковые продажи; каждый этап взвешен вероятностью до него дойти.</t>
  </si>
  <si>
    <t xml:space="preserve">Показатель</t>
  </si>
  <si>
    <t xml:space="preserve">III фаза, × вероятность ее начать</t>
  </si>
  <si>
    <t xml:space="preserve">Регистрация, × вероятность подать заявку</t>
  </si>
  <si>
    <t xml:space="preserve">Рынок, × вероятность выйти на рынок</t>
  </si>
  <si>
    <t xml:space="preserve">Среднее NPV по моделированию, самостоятельная разработка</t>
  </si>
  <si>
    <t xml:space="preserve">Среднее по моделированию минус rNPV</t>
  </si>
  <si>
    <t xml:space="preserve">4   Как растет ценность на каждой контрольной точке</t>
  </si>
  <si>
    <t xml:space="preserve">Ожидаемое NPV на сегодня для сценариев, прошедших каждую контрольную точку (млн долл.), по таблице исходов.</t>
  </si>
  <si>
    <t xml:space="preserve">Сегодня, до II фазы</t>
  </si>
  <si>
    <t xml:space="preserve">После успеха II фазы</t>
  </si>
  <si>
    <t xml:space="preserve">После успеха III фазы</t>
  </si>
  <si>
    <t xml:space="preserve">После одобрения</t>
  </si>
  <si>
    <t xml:space="preserve">Лицензия, после успеха II фазы</t>
  </si>
  <si>
    <t xml:space="preserve">5   Как читать результаты</t>
  </si>
  <si>
    <t xml:space="preserve">•  Учебный rNPV — ценность каждого этапа на наиболее вероятной траектории, взвешенная вероятностью до него дойти, — оценивает соединение примерно в 77 млн долл., если компания разрабатывает его сама. Среднее по моделированию ниже, около 61 млн долл. в этом запуске: разработка часто затягивается, а каждый месяц опоздания — это на месяц меньше продаж до истечения патента, чего одна наиболее вероятная траектория не видит. (Около ±6 из этой разницы — ошибка выборки при 10 000 итераций.)</t>
  </si>
  <si>
    <t xml:space="preserve">•  Среднее скрывает форму распределения. Компания теряет деньги в 82% сценариев — около 28 млн долл. при неудаче II фазы, около 137 млн долл. при неудаче III фазы, — а вся ценность приходится на 18% сценариев, в которых соединение выходит на рынок; они стоят около 570 млн долл.</t>
  </si>
  <si>
    <t xml:space="preserve">•  Лицензирование после II фазы в среднем стоит меньше, около 46 млн долл., но худший исход «один из 20» уменьшается с убытка около 143 млн долл. до убытка 32 млн долл.: риск III фазы берет на себя партнер. Компании, которая не переживет неудачу III фазы, стоит принять предложение; та, что переживет, может разрабатывать сама или договориться о более высоком роялти.</t>
  </si>
  <si>
    <t xml:space="preserve">•  Ценность растет скачками на каждой контрольной точке: примерно с 61 млн долл. сегодня до 228 млн долл. после успеха II фазы и 492 млн долл. после успеха III фазы. Именно за эти скачки платят инвесторы, и поэтому биотехнологические компании привлекают деньги после хороших данных.</t>
  </si>
  <si>
    <t xml:space="preserve">•  Диаграмма «торнадо» по ранговой корреляции здесь вводит в заблуждение: стоимость II фазы в ней стоит выше успеха II фазы, потому что успешная II фаза ведет либо к самым большим убыткам (неудача III фазы), либо к самым большим выигрышам, и их ранги взаимно гасятся. Ценность по исходам и по контрольным точкам рассказывает историю лучше.</t>
  </si>
  <si>
    <t xml:space="preserve">Данные для графиков</t>
  </si>
  <si>
    <t xml:space="preserve">Статистика последнего моделирования для графиков и рейтинга выше. Строки сгруппированы: нажмите «+» на левом поле, чтобы их показать.</t>
  </si>
  <si>
    <t xml:space="preserve">Накопленная вероятность</t>
  </si>
  <si>
    <t xml:space="preserve">Вероятность превышения</t>
  </si>
  <si>
    <t>NPV_A</t>
  </si>
  <si>
    <t>NPV_L</t>
  </si>
  <si>
    <t xml:space="preserve">Процентили: NPV_A</t>
  </si>
  <si>
    <t xml:space="preserve">Гистограмма: NPV_A</t>
  </si>
  <si>
    <t xml:space="preserve">Граница</t>
  </si>
  <si>
    <t xml:space="preserve">Индекс</t>
  </si>
  <si>
    <t xml:space="preserve">Середина</t>
  </si>
  <si>
    <t xml:space="preserve">Вероятность</t>
  </si>
  <si>
    <t xml:space="preserve">Ниже границы</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</si>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</sst>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_);\(#,##0.00\);&quot;–&quot;_)"/>
    <numFmt numFmtId="165" formatCode="#,##0.0_);\(#,##0.0\);&quot;–&quot;_)"/>
    <numFmt numFmtId="166" formatCode="#,##0_);\(#,##0\);&quot;–&quot;_)"/>
    <numFmt numFmtId="167" formatCode="0.0%"/>
    <numFmt numFmtId="168" formatCode="mmm\ yyyy"/>
    <numFmt numFmtId="169" formatCode="0.000"/>
    <numFmt numFmtId="170" formatCode="#,##0.0_);\(#,##0.0\);&quot;–&quot;_);&quot;–&quot;"/>
    <numFmt numFmtId="171" formatCode="0%;\-0%;0%;&quot;–&quot;"/>
    <numFmt numFmtId="172" formatCode="0.0%;\-0.0%;0.0%;&quot;–&quot;"/>
  </numFmts>
  <fonts count="26" x14ac:knownFonts="1">
    <font>
      <sz val="11"/>
      <color theme="1"/>
      <name val="Calibri"/>
      <family val="2"/>
      <scheme val="minor"/>
    </font>
    <font>
      <sz val="10"/>
      <color rgb="FF1F2328"/>
      <name val="Calibri"/>
    </font>
    <font>
      <sz val="10"/>
      <color rgb="FF9A3412"/>
      <name val="Calibri"/>
    </font>
    <font>
      <sz val="10"/>
      <color rgb="FF111214"/>
      <name val="Calibri"/>
    </font>
    <font>
      <b/>
      <sz val="10"/>
      <color rgb="FF14532D"/>
      <name val="Calibri"/>
    </font>
    <font>
      <b/>
      <sz val="16"/>
      <color rgb="FF111214"/>
      <name val="Calibri"/>
    </font>
    <font>
      <sz val="10"/>
      <color rgb="FF55585F"/>
      <name val="Calibri"/>
    </font>
    <font>
      <sz val="9"/>
      <color rgb="FF55585F"/>
      <name val="Calibri"/>
    </font>
    <font>
      <u/>
      <sz val="9"/>
      <color rgb="FF1F2328"/>
      <name val="Calibri"/>
    </font>
    <font>
      <b/>
      <sz val="20"/>
      <color rgb="FF111214"/>
      <name val="Calibri"/>
    </font>
    <font>
      <b/>
      <sz val="12"/>
      <color rgb="FF1F2328"/>
      <name val="Calibri"/>
    </font>
    <font>
      <b/>
      <sz val="10"/>
      <color rgb="FF55585F"/>
      <name val="Calibri"/>
    </font>
    <font>
      <b/>
      <sz val="10"/>
      <color rgb="FF111214"/>
      <name val="Calibri"/>
    </font>
    <font>
      <i/>
      <sz val="9"/>
      <color rgb="FF55585F"/>
      <name val="Calibri"/>
    </font>
    <font>
      <u/>
      <sz val="10"/>
      <color rgb="FF1F2328"/>
      <name val="Calibri"/>
    </font>
    <font>
      <b/>
      <sz val="10"/>
      <color rgb="FF1F2328"/>
      <name val="Calibri"/>
    </font>
    <font>
      <i/>
      <sz val="9"/>
      <color rgb="FF8B8E95"/>
      <name val="Calibri"/>
    </font>
    <font>
      <b/>
      <sz val="9"/>
      <color rgb="FF55585F"/>
      <name val="Calibri"/>
    </font>
    <font>
      <sz val="9"/>
      <color rgb="FF55585F"/>
      <name val="Calibri"/>
    </font>
    <font>
      <sz val="9"/>
      <color rgb="FF8B8E95"/>
      <name val="Calibri"/>
    </font>
    <font>
      <b/>
      <sz val="9"/>
      <color rgb="FF111214"/>
      <name val="Calibri"/>
    </font>
    <font>
      <b/>
      <sz val="9"/>
      <color rgb="FF8B8E95"/>
      <name val="Calibri"/>
    </font>
    <font>
      <sz val="8"/>
      <color rgb="FF55585F"/>
      <name val="Calibri"/>
    </font>
    <font>
      <b/>
      <sz val="10"/>
      <color rgb="FF15803D"/>
      <name val="Calibri"/>
    </font>
    <font>
      <sz val="10"/>
      <color rgb="FF55585F"/>
      <name val="Calibri"/>
    </font>
    <font>
      <b/>
      <sz val="11"/>
      <color rgb="FF1F2328"/>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EF0F2"/>
        <bgColor rgb="FFEEF0F2"/>
      </patternFill>
    </fill>
    <fill>
      <patternFill patternType="solid">
        <fgColor rgb="FFF4F4F5"/>
        <bgColor rgb="FFF4F4F5"/>
      </patternFill>
    </fill>
    <fill>
      <patternFill patternType="solid">
        <fgColor rgb="FFF4F4F5"/>
        <bgColor rgb="FFF4F4F5"/>
      </patternFill>
    </fill>
  </fills>
  <borders count="11">
    <border>
      <left/>
      <right/>
      <top/>
      <bottom/>
      <diagonal/>
    </border>
    <border>
      <left style="thin">
        <color rgb="FFD9DADD"/>
      </left>
      <right style="thin">
        <color rgb="FFD9DADD"/>
      </right>
      <top style="thin">
        <color rgb="FFD9DADD"/>
      </top>
      <bottom style="thin">
        <color rgb="FFD9DADD"/>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D9DADD"/>
      </bottom>
      <diagonal/>
    </border>
    <border>
      <left/>
      <right/>
      <top/>
      <bottom style="medium">
        <color rgb="FF2F3136"/>
      </bottom>
      <diagonal/>
    </border>
    <border>
      <left/>
      <right/>
      <top/>
      <bottom style="thin">
        <color rgb="FFECEDEF"/>
      </bottom>
      <diagonal/>
    </border>
    <border>
      <left style="thin">
        <color rgb="FFD9DADD"/>
      </left>
      <right style="thin">
        <color rgb="FFD9DADD"/>
      </right>
      <top style="thin">
        <color rgb="FFD9DADD"/>
      </top>
      <bottom style="thin">
        <color rgb="FFECEDEF"/>
      </bottom>
      <diagonal/>
    </border>
    <border>
      <left/>
      <right/>
      <top/>
      <bottom style="thin">
        <color rgb="FFECEDEF"/>
      </bottom>
      <diagonal/>
    </border>
    <border>
      <left style="thin">
        <color rgb="FF15803D"/>
      </left>
      <right style="thin">
        <color rgb="FF15803D"/>
      </right>
      <top style="thin">
        <color rgb="FF15803D"/>
      </top>
      <bottom style="thin">
        <color rgb="FFECEDEF"/>
      </bottom>
      <diagonal/>
    </border>
    <border>
      <left/>
      <right/>
      <top style="thin">
        <color rgb="FFD9DADD"/>
      </top>
      <bottom style="thin">
        <color rgb="FFD9DADD"/>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9" fontId="1" fillId="2" borderId="7" xfId="1" applyNumberFormat="1" applyBorder="1">
      <alignment horizontal="right" vertical="center"/>
    </xf>
    <xf numFmtId="0" fontId="0" fillId="0" borderId="6" xfId="0" applyBorder="1"/>
    <xf numFmtId="166" fontId="2" fillId="3" borderId="7" xfId="2" applyNumberFormat="1" applyBorder="1">
      <alignment horizontal="right" vertical="center"/>
    </xf>
    <xf numFmtId="166" fontId="1" fillId="2" borderId="7" xfId="1" applyNumberFormat="1" applyBorder="1">
      <alignment horizontal="right" vertical="center"/>
    </xf>
    <xf numFmtId="0" fontId="19" fillId="0" borderId="6" xfId="0" applyFont="1" applyBorder="1" applyAlignment="1">
      <alignment horizontal="center" vertical="center"/>
    </xf>
    <xf numFmtId="166" fontId="3" fillId="0" borderId="8" xfId="3" applyNumberFormat="1" applyBorder="1">
      <alignment horizontal="right" vertical="center"/>
    </xf>
    <xf numFmtId="1" fontId="1" fillId="2" borderId="7" xfId="1" applyNumberFormat="1" applyBorder="1">
      <alignment horizontal="right" vertical="center"/>
    </xf>
    <xf numFmtId="167" fontId="1" fillId="2" borderId="7" xfId="1"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 fontId="2" fillId="3" borderId="7" xfId="2" applyNumberFormat="1" applyBorder="1">
      <alignment horizontal="right" vertical="center"/>
    </xf>
    <xf numFmtId="1" fontId="3" fillId="0" borderId="8" xfId="3" applyNumberFormat="1" applyBorder="1">
      <alignment horizontal="right" vertical="center"/>
    </xf>
    <xf numFmtId="168" fontId="3" fillId="0" borderId="8" xfId="3" applyNumberFormat="1" applyBorder="1">
      <alignment horizontal="right" vertical="center"/>
    </xf>
    <xf numFmtId="9" fontId="3" fillId="0" borderId="8" xfId="3" applyNumberFormat="1" applyBorder="1">
      <alignment horizontal="right" vertical="center"/>
    </xf>
    <xf numFmtId="165" fontId="12" fillId="0" borderId="8" xfId="3" applyNumberFormat="1" applyFont="1" applyBorder="1">
      <alignment horizontal="right" vertical="center"/>
    </xf>
    <xf numFmtId="0" fontId="12" fillId="0" borderId="6" xfId="0" applyFont="1" applyBorder="1" applyAlignment="1">
      <alignment horizontal="left" vertical="center" indent="1"/>
    </xf>
    <xf numFmtId="169" fontId="3" fillId="0" borderId="8" xfId="3"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22" fillId="7" borderId="4" xfId="0" applyFont="1" applyFill="1" applyBorder="1" applyAlignment="1">
      <alignment horizontal="right" vertical="center"/>
    </xf>
    <xf numFmtId="167" fontId="3" fillId="0" borderId="8" xfId="3" applyNumberFormat="1" applyBorder="1">
      <alignment horizontal="right" vertical="center"/>
    </xf>
    <xf numFmtId="165" fontId="4" fillId="4" borderId="9" xfId="4" applyNumberFormat="1" applyBorder="1">
      <alignment horizontal="right" vertical="center"/>
    </xf>
    <xf numFmtId="1" fontId="4" fillId="4" borderId="9" xfId="4" applyNumberFormat="1" applyBorder="1">
      <alignment horizontal="right" vertical="center"/>
    </xf>
    <xf numFmtId="0" fontId="23"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5"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70"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0" fontId="13" fillId="0" borderId="0" xfId="0" applyFont="1" applyAlignment="1">
      <alignment horizontal="left" vertical="center" indent="1"/>
    </xf>
    <xf numFmtId="0" fontId="24" fillId="0" borderId="6" xfId="0" applyFont="1" applyBorder="1" applyAlignment="1">
      <alignment horizontal="left" vertical="center" indent="1"/>
    </xf>
    <xf numFmtId="0" fontId="11"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67" fontId="3" fillId="0" borderId="2" xfId="3" applyNumberFormat="1">
      <alignment horizontal="right" vertical="center"/>
    </xf>
    <xf numFmtId="0" fontId="19"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Расчет" xfId="3" xr:uid="{00000000-0005-0000-0000-000003000000}"/>
    <cellStyle name="Исходное значение" xfId="1" xr:uid="{00000000-0005-0000-0000-000001000000}"/>
    <cellStyle name="Ключевой результат" xfId="4" xr:uid="{00000000-0005-0000-0000-000004000000}"/>
    <cellStyle name="Результат моделирования" xfId="5" xr:uid="{00000000-0005-0000-0000-000005000000}"/>
    <cellStyle name="Неопределенная величина" xfId="2" xr:uid="{00000000-0005-0000-0000-000002000000}"/>
  </cellStyles>
  <dxfs count="9">
    <dxf>
      <font>
        <color rgb="FF8B8E95"/>
      </font>
    </dxf>
    <dxf>
      <font>
        <color rgb="FF8B8E95"/>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Разрабатывать самим</c:v>
          </c:tx>
          <c:spPr>
            <a:ln w="25400">
              <a:solidFill>
                <a:srgbClr val="2F3136"/>
              </a:solidFill>
              <a:prstDash val="solid"/>
            </a:ln>
          </c:spPr>
          <c:marker>
            <c:symbol val="none"/>
          </c:marker>
          <c:xVal>
            <c:numRef>
              <c:f>'Результаты'!$D$72:$D$121</c:f>
              <c:numCache>
                <c:formatCode>#,##0.00</c:formatCode>
                <c:ptCount val="50"/>
                <c:pt idx="0">
                  <c:v>-156.6991537858828</c:v>
                </c:pt>
                <c:pt idx="1">
                  <c:v>-148.63490392720857</c:v>
                </c:pt>
                <c:pt idx="2">
                  <c:v>-143.13887381393204</c:v>
                </c:pt>
                <c:pt idx="3">
                  <c:v>-138.90401592921938</c:v>
                </c:pt>
                <c:pt idx="4">
                  <c:v>-135.38648527197233</c:v>
                </c:pt>
                <c:pt idx="5">
                  <c:v>-131.35911630029793</c:v>
                </c:pt>
                <c:pt idx="6">
                  <c:v>-127.07506672268468</c:v>
                </c:pt>
                <c:pt idx="7">
                  <c:v>-122.71173117545568</c:v>
                </c:pt>
                <c:pt idx="8">
                  <c:v>-34.682027789845122</c:v>
                </c:pt>
                <c:pt idx="9">
                  <c:v>-32.879672175083904</c:v>
                </c:pt>
                <c:pt idx="10">
                  <c:v>-32.086310820528304</c:v>
                </c:pt>
                <c:pt idx="11">
                  <c:v>-31.508891019284171</c:v>
                </c:pt>
                <c:pt idx="12">
                  <c:v>-31.069696821152281</c:v>
                </c:pt>
                <c:pt idx="13">
                  <c:v>-30.704602166374556</c:v>
                </c:pt>
                <c:pt idx="14">
                  <c:v>-30.359905121931199</c:v>
                </c:pt>
                <c:pt idx="15">
                  <c:v>-30.046795775590823</c:v>
                </c:pt>
                <c:pt idx="16">
                  <c:v>-29.742472160510232</c:v>
                </c:pt>
                <c:pt idx="17">
                  <c:v>-29.480354078133999</c:v>
                </c:pt>
                <c:pt idx="18">
                  <c:v>-29.172567572361135</c:v>
                </c:pt>
                <c:pt idx="19">
                  <c:v>-28.906516200705319</c:v>
                </c:pt>
                <c:pt idx="20">
                  <c:v>-28.655385461710736</c:v>
                </c:pt>
                <c:pt idx="21">
                  <c:v>-28.426707643018251</c:v>
                </c:pt>
                <c:pt idx="22">
                  <c:v>-28.212428372365085</c:v>
                </c:pt>
                <c:pt idx="23">
                  <c:v>-27.991871054583005</c:v>
                </c:pt>
                <c:pt idx="24">
                  <c:v>-27.758227834414825</c:v>
                </c:pt>
                <c:pt idx="25">
                  <c:v>-27.538109722568304</c:v>
                </c:pt>
                <c:pt idx="26">
                  <c:v>-27.340976298944611</c:v>
                </c:pt>
                <c:pt idx="27">
                  <c:v>-27.114552572846264</c:v>
                </c:pt>
                <c:pt idx="28">
                  <c:v>-26.889421812194339</c:v>
                </c:pt>
                <c:pt idx="29">
                  <c:v>-26.670592706356391</c:v>
                </c:pt>
                <c:pt idx="30">
                  <c:v>-26.446700352849454</c:v>
                </c:pt>
                <c:pt idx="31">
                  <c:v>-26.246286484071909</c:v>
                </c:pt>
                <c:pt idx="32">
                  <c:v>-26.007936365545163</c:v>
                </c:pt>
                <c:pt idx="33">
                  <c:v>-25.791767345866351</c:v>
                </c:pt>
                <c:pt idx="34">
                  <c:v>-25.55924982490124</c:v>
                </c:pt>
                <c:pt idx="35">
                  <c:v>-25.32242854879286</c:v>
                </c:pt>
                <c:pt idx="36">
                  <c:v>-25.064088105555076</c:v>
                </c:pt>
                <c:pt idx="37">
                  <c:v>-24.781986516782219</c:v>
                </c:pt>
                <c:pt idx="38">
                  <c:v>-24.409842220492724</c:v>
                </c:pt>
                <c:pt idx="39">
                  <c:v>-23.969945061811547</c:v>
                </c:pt>
                <c:pt idx="40">
                  <c:v>-23.362098809671672</c:v>
                </c:pt>
                <c:pt idx="41">
                  <c:v>107.82376024160526</c:v>
                </c:pt>
                <c:pt idx="42">
                  <c:v>200.14409352522526</c:v>
                </c:pt>
                <c:pt idx="43">
                  <c:v>292.87752902242318</c:v>
                </c:pt>
                <c:pt idx="44">
                  <c:v>373.49774222567612</c:v>
                </c:pt>
                <c:pt idx="45">
                  <c:v>470.26180214800507</c:v>
                </c:pt>
                <c:pt idx="46">
                  <c:v>574.73576137905991</c:v>
                </c:pt>
                <c:pt idx="47">
                  <c:v>713.21103881204226</c:v>
                </c:pt>
                <c:pt idx="48">
                  <c:v>903.31452774442653</c:v>
                </c:pt>
                <c:pt idx="49">
                  <c:v>1367.658789733729</c:v>
                </c:pt>
              </c:numCache>
            </c:numRef>
          </c:xVal>
          <c:yVal>
            <c:numRef>
              <c:f>'Результаты'!$B$72:$B$121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E2EC-45BE-86B7-71AD847E535E}"/>
            </c:ext>
          </c:extLst>
        </c:ser>
        <c:ser>
          <c:idx val="1"/>
          <c:order val="1"/>
          <c:tx>
            <c:v>Лицензировать после II фазы</c:v>
          </c:tx>
          <c:spPr>
            <a:ln w="25400">
              <a:solidFill>
                <a:srgbClr val="B45309"/>
              </a:solidFill>
              <a:prstDash val="dash"/>
            </a:ln>
          </c:spPr>
          <c:marker>
            <c:symbol val="none"/>
          </c:marker>
          <c:xVal>
            <c:numRef>
              <c:f>'Результаты'!$E$72:$E$121</c:f>
              <c:numCache>
                <c:formatCode>#,##0.00</c:formatCode>
                <c:ptCount val="50"/>
                <c:pt idx="0">
                  <c:v>-33.58890345306348</c:v>
                </c:pt>
                <c:pt idx="1">
                  <c:v>-32.525596401314239</c:v>
                </c:pt>
                <c:pt idx="2">
                  <c:v>-31.827323186380909</c:v>
                </c:pt>
                <c:pt idx="3">
                  <c:v>-31.289397277802205</c:v>
                </c:pt>
                <c:pt idx="4">
                  <c:v>-30.903870248302415</c:v>
                </c:pt>
                <c:pt idx="5">
                  <c:v>-30.563384699378485</c:v>
                </c:pt>
                <c:pt idx="6">
                  <c:v>-30.214858315442676</c:v>
                </c:pt>
                <c:pt idx="7">
                  <c:v>-29.901929348406686</c:v>
                </c:pt>
                <c:pt idx="8">
                  <c:v>-29.624462279596475</c:v>
                </c:pt>
                <c:pt idx="9">
                  <c:v>-29.355814027492137</c:v>
                </c:pt>
                <c:pt idx="10">
                  <c:v>-29.046089150293014</c:v>
                </c:pt>
                <c:pt idx="11">
                  <c:v>-28.792985963202188</c:v>
                </c:pt>
                <c:pt idx="12">
                  <c:v>-28.558307822806867</c:v>
                </c:pt>
                <c:pt idx="13">
                  <c:v>-28.320008752688018</c:v>
                </c:pt>
                <c:pt idx="14">
                  <c:v>-28.109435495598913</c:v>
                </c:pt>
                <c:pt idx="15">
                  <c:v>-27.904478423334222</c:v>
                </c:pt>
                <c:pt idx="16">
                  <c:v>-27.656294971749208</c:v>
                </c:pt>
                <c:pt idx="17">
                  <c:v>-27.457370359800336</c:v>
                </c:pt>
                <c:pt idx="18">
                  <c:v>-27.231883570527089</c:v>
                </c:pt>
                <c:pt idx="19">
                  <c:v>-27.010371969770418</c:v>
                </c:pt>
                <c:pt idx="20">
                  <c:v>-26.792880162858545</c:v>
                </c:pt>
                <c:pt idx="21">
                  <c:v>-26.576218961845271</c:v>
                </c:pt>
                <c:pt idx="22">
                  <c:v>-26.368942647781072</c:v>
                </c:pt>
                <c:pt idx="23">
                  <c:v>-26.143705245706265</c:v>
                </c:pt>
                <c:pt idx="24">
                  <c:v>-25.906276820350406</c:v>
                </c:pt>
                <c:pt idx="25">
                  <c:v>-25.694782276853147</c:v>
                </c:pt>
                <c:pt idx="26">
                  <c:v>-25.462411813275843</c:v>
                </c:pt>
                <c:pt idx="27">
                  <c:v>-25.199789587092074</c:v>
                </c:pt>
                <c:pt idx="28">
                  <c:v>-24.943462857413774</c:v>
                </c:pt>
                <c:pt idx="29">
                  <c:v>-24.626046952981888</c:v>
                </c:pt>
                <c:pt idx="30">
                  <c:v>-24.218045298696651</c:v>
                </c:pt>
                <c:pt idx="31">
                  <c:v>-23.756263174375668</c:v>
                </c:pt>
                <c:pt idx="32">
                  <c:v>-22.628179032199903</c:v>
                </c:pt>
                <c:pt idx="33">
                  <c:v>17.724196039382299</c:v>
                </c:pt>
                <c:pt idx="34">
                  <c:v>19.331775834787216</c:v>
                </c:pt>
                <c:pt idx="35">
                  <c:v>20.550840274638212</c:v>
                </c:pt>
                <c:pt idx="36">
                  <c:v>21.799655098211108</c:v>
                </c:pt>
                <c:pt idx="37">
                  <c:v>22.940808892792361</c:v>
                </c:pt>
                <c:pt idx="38">
                  <c:v>24.163904659367763</c:v>
                </c:pt>
                <c:pt idx="39">
                  <c:v>26.775239960882487</c:v>
                </c:pt>
                <c:pt idx="40">
                  <c:v>46.875087908343716</c:v>
                </c:pt>
                <c:pt idx="41">
                  <c:v>173.83244361456843</c:v>
                </c:pt>
                <c:pt idx="42">
                  <c:v>205.89471200727039</c:v>
                </c:pt>
                <c:pt idx="43">
                  <c:v>237.38874185099729</c:v>
                </c:pt>
                <c:pt idx="44">
                  <c:v>265.08811754814184</c:v>
                </c:pt>
                <c:pt idx="45">
                  <c:v>297.3086906699657</c:v>
                </c:pt>
                <c:pt idx="46">
                  <c:v>332.41658662776467</c:v>
                </c:pt>
                <c:pt idx="47">
                  <c:v>379.16032317469922</c:v>
                </c:pt>
                <c:pt idx="48">
                  <c:v>441.63258538621932</c:v>
                </c:pt>
                <c:pt idx="49">
                  <c:v>596.60119947762405</c:v>
                </c:pt>
              </c:numCache>
            </c:numRef>
          </c:xVal>
          <c:yVal>
            <c:numRef>
              <c:f>'Результаты'!$B$72:$B$121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E2EC-45BE-86B7-71AD847E535E}"/>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(млн долл.)</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CEDEF"/>
              </a:solidFill>
              <a:prstDash val="solid"/>
            </a:ln>
          </c:spPr>
        </c:majorGridlines>
        <c:title>
          <c:tx>
            <c:rich>
              <a:bodyPr/>
              <a:lstStyle/>
              <a:p>
                <a:pPr>
                  <a:defRPr/>
                </a:pPr>
                <a:r>
                  <a:rPr lang="en-US"/>
                  <a:t>Накопленная вероятность</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NPV, самостоятельная разработка</c:v>
          </c:tx>
          <c:spPr>
            <a:solidFill>
              <a:srgbClr val="2F3136"/>
            </a:solidFill>
            <a:ln>
              <a:noFill/>
              <a:prstDash val="solid"/>
            </a:ln>
          </c:spPr>
          <c:invertIfNegative val="1"/>
          <c:cat>
            <c:numRef>
              <c:f>'Результаты'!$E$227:$E$256</c:f>
              <c:numCache>
                <c:formatCode>#,##0.00</c:formatCode>
                <c:ptCount val="30"/>
                <c:pt idx="0">
                  <c:v>-130.61231309358618</c:v>
                </c:pt>
                <c:pt idx="1">
                  <c:v>-70.024869302842376</c:v>
                </c:pt>
                <c:pt idx="2">
                  <c:v>-9.4374255120985495</c:v>
                </c:pt>
                <c:pt idx="3">
                  <c:v>51.150018278645277</c:v>
                </c:pt>
                <c:pt idx="4">
                  <c:v>111.73746206938911</c:v>
                </c:pt>
                <c:pt idx="5">
                  <c:v>172.32490586013293</c:v>
                </c:pt>
                <c:pt idx="6">
                  <c:v>232.91234965087676</c:v>
                </c:pt>
                <c:pt idx="7">
                  <c:v>293.49979344162062</c:v>
                </c:pt>
                <c:pt idx="8">
                  <c:v>354.08723723236443</c:v>
                </c:pt>
                <c:pt idx="9">
                  <c:v>414.67468102310823</c:v>
                </c:pt>
                <c:pt idx="10">
                  <c:v>475.26212481385204</c:v>
                </c:pt>
                <c:pt idx="11">
                  <c:v>535.84956860459579</c:v>
                </c:pt>
                <c:pt idx="12">
                  <c:v>596.43701239533971</c:v>
                </c:pt>
                <c:pt idx="13">
                  <c:v>657.02445618608363</c:v>
                </c:pt>
                <c:pt idx="14">
                  <c:v>717.61189997682732</c:v>
                </c:pt>
                <c:pt idx="15">
                  <c:v>778.19934376757124</c:v>
                </c:pt>
                <c:pt idx="16">
                  <c:v>838.78678755831493</c:v>
                </c:pt>
                <c:pt idx="17">
                  <c:v>899.37423134905885</c:v>
                </c:pt>
                <c:pt idx="18">
                  <c:v>959.96167513980265</c:v>
                </c:pt>
                <c:pt idx="19">
                  <c:v>1020.5491189305465</c:v>
                </c:pt>
                <c:pt idx="20">
                  <c:v>1081.1365627212904</c:v>
                </c:pt>
                <c:pt idx="21">
                  <c:v>1141.7240065120341</c:v>
                </c:pt>
                <c:pt idx="22">
                  <c:v>1202.3114503027782</c:v>
                </c:pt>
                <c:pt idx="23">
                  <c:v>1262.8988940935219</c:v>
                </c:pt>
                <c:pt idx="24">
                  <c:v>1323.4863378842656</c:v>
                </c:pt>
                <c:pt idx="25">
                  <c:v>1384.0737816750097</c:v>
                </c:pt>
                <c:pt idx="26">
                  <c:v>1444.6612254657534</c:v>
                </c:pt>
                <c:pt idx="27">
                  <c:v>1505.2486692564974</c:v>
                </c:pt>
                <c:pt idx="28">
                  <c:v>1565.836113047241</c:v>
                </c:pt>
                <c:pt idx="29">
                  <c:v>1626.423556837985</c:v>
                </c:pt>
              </c:numCache>
            </c:numRef>
          </c:cat>
          <c:val>
            <c:numRef>
              <c:f>'Результаты'!$F$227:$F$256</c:f>
              <c:numCache>
                <c:formatCode>0.0%</c:formatCode>
                <c:ptCount val="30"/>
                <c:pt idx="0">
                  <c:v>0.15714336243907479</c:v>
                </c:pt>
                <c:pt idx="1">
                  <c:v>7.2522624873761765E-3</c:v>
                </c:pt>
                <c:pt idx="2">
                  <c:v>0.6529726505825274</c:v>
                </c:pt>
                <c:pt idx="3">
                  <c:v>5.3167777708158503E-3</c:v>
                </c:pt>
                <c:pt idx="4">
                  <c:v>9.8843971572469824E-3</c:v>
                </c:pt>
                <c:pt idx="5">
                  <c:v>1.2937748932742354E-2</c:v>
                </c:pt>
                <c:pt idx="6">
                  <c:v>1.2740884411940434E-2</c:v>
                </c:pt>
                <c:pt idx="7">
                  <c:v>1.49987957361295E-2</c:v>
                </c:pt>
                <c:pt idx="8">
                  <c:v>1.387618799633572E-2</c:v>
                </c:pt>
                <c:pt idx="9">
                  <c:v>1.2318225105082736E-2</c:v>
                </c:pt>
                <c:pt idx="10">
                  <c:v>1.2216082522417904E-2</c:v>
                </c:pt>
                <c:pt idx="11">
                  <c:v>1.1672854706498925E-2</c:v>
                </c:pt>
                <c:pt idx="12">
                  <c:v>9.692884746626329E-3</c:v>
                </c:pt>
                <c:pt idx="13">
                  <c:v>8.4621196091652084E-3</c:v>
                </c:pt>
                <c:pt idx="14">
                  <c:v>6.9112834610852714E-3</c:v>
                </c:pt>
                <c:pt idx="15">
                  <c:v>5.931367520964792E-3</c:v>
                </c:pt>
                <c:pt idx="16">
                  <c:v>6.779938332744373E-3</c:v>
                </c:pt>
                <c:pt idx="17">
                  <c:v>5.6542845578121392E-3</c:v>
                </c:pt>
                <c:pt idx="18">
                  <c:v>4.0511478875264739E-3</c:v>
                </c:pt>
                <c:pt idx="19">
                  <c:v>4.0511478875264739E-3</c:v>
                </c:pt>
                <c:pt idx="20">
                  <c:v>1.9958803509291245E-3</c:v>
                </c:pt>
                <c:pt idx="21">
                  <c:v>1.9247061255895925E-3</c:v>
                </c:pt>
                <c:pt idx="22">
                  <c:v>1.9247061255895925E-3</c:v>
                </c:pt>
                <c:pt idx="23">
                  <c:v>1.9247061255895925E-3</c:v>
                </c:pt>
                <c:pt idx="24">
                  <c:v>1.9247061255895925E-3</c:v>
                </c:pt>
                <c:pt idx="25">
                  <c:v>1.2488370156481521E-3</c:v>
                </c:pt>
                <c:pt idx="26">
                  <c:v>1.0480135698560655E-3</c:v>
                </c:pt>
                <c:pt idx="27">
                  <c:v>1.0480135698561766E-3</c:v>
                </c:pt>
                <c:pt idx="28">
                  <c:v>1.0480135698560655E-3</c:v>
                </c:pt>
                <c:pt idx="29">
                  <c:v>1.0480135698561766E-3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67AC-45B2-9BBA-182F8BAC2C31}"/>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NPV (млн долл.)</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CEDEF"/>
              </a:solidFill>
              <a:prstDash val="solid"/>
            </a:ln>
          </c:spPr>
        </c:majorGridlines>
        <c:title>
          <c:tx>
            <c:rich>
              <a:bodyPr/>
              <a:lstStyle/>
              <a:p>
                <a:pPr>
                  <a:defRPr/>
                </a:pPr>
                <a:r>
                  <a:rPr lang="en-US"/>
                  <a:t>Вероятность</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3136"/>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4" t="s">
        <v>20</v>
      </c>
      <c r="C16" s="8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26.25"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61</v>
      </c>
      <c r="C70" s="10" t="s">
        <v>86</v>
      </c>
    </row>
    <row r="71" spans="2:3" x14ac:dyDescent="0.45">
      <c r="B71" s="9" t="s">
        <v>87</v>
      </c>
      <c r="C71" s="10" t="s">
        <v>88</v>
      </c>
    </row>
    <row r="72" spans="2:3" x14ac:dyDescent="0.45">
      <c r="B72" s="9" t="s">
        <v>89</v>
      </c>
      <c r="C72" s="10" t="s">
        <v>90</v>
      </c>
    </row>
    <row r="73" spans="2:3" ht="16.05" customHeight="1" x14ac:dyDescent="0.45"/>
    <row r="74" spans="2:3" x14ac:dyDescent="0.45">
      <c r="B74" s="82" t="s">
        <v>91</v>
      </c>
      <c r="C74" s="83"/>
    </row>
  </sheetData>
  <mergeCells count="2">
    <mergeCell ref="B74:C74"/>
    <mergeCell ref="B16:C16"/>
  </mergeCells>
  <hyperlinks>
    <hyperlink ref="D4" location="'Исходные данные'!A1" display="Далее:  Исходные данные  ▸" xr:uid="{00000000-0004-0000-0000-000000000000}"/>
    <hyperlink ref="B39" location="'Исходные данные'!A1" display="Исходные данные" xr:uid="{00000000-0004-0000-0000-000001000000}"/>
    <hyperlink ref="B40" location="'Разработка'!A1" display="Разработка" xr:uid="{00000000-0004-0000-0000-000002000000}"/>
    <hyperlink ref="B41" location="'Результаты'!A1" display="Результаты"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5"/>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92</v>
      </c>
      <c r="C3" s="1"/>
      <c r="D3" s="1"/>
      <c r="E3" s="1"/>
      <c r="F3" s="1"/>
      <c r="G3" s="1"/>
      <c r="H3" s="1"/>
      <c r="I3" s="1"/>
      <c r="J3" s="1"/>
    </row>
    <row r="4" spans="1:10" ht="20" customHeight="1" x14ac:dyDescent="0.45">
      <c r="A4" s="5"/>
      <c r="B4" s="22" t="s">
        <v>93</v>
      </c>
      <c r="C4" s="5"/>
      <c r="D4" s="5"/>
      <c r="E4" s="5"/>
      <c r="F4" s="5"/>
      <c r="G4" s="5"/>
      <c r="H4" s="5"/>
      <c r="I4" s="5"/>
      <c r="J4" s="6" t="s">
        <v>94</v>
      </c>
    </row>
    <row r="5" spans="1:10" ht="8" customHeight="1" x14ac:dyDescent="0.45"/>
    <row r="6" spans="1:10" ht="30" customHeight="1" x14ac:dyDescent="0.45">
      <c r="B6" s="85" t="s">
        <v>95</v>
      </c>
      <c r="C6" s="83"/>
      <c r="D6" s="83"/>
      <c r="E6" s="83"/>
      <c r="F6" s="83"/>
      <c r="G6" s="83"/>
      <c r="H6" s="83"/>
      <c r="I6" s="83"/>
      <c r="J6" s="83"/>
    </row>
    <row r="7" spans="1:10" ht="6" customHeight="1" x14ac:dyDescent="0.45"/>
    <row r="8" spans="1:10" ht="22.05" customHeight="1" x14ac:dyDescent="0.5">
      <c r="B8" s="7" t="s">
        <v>96</v>
      </c>
      <c r="C8" s="8"/>
      <c r="D8" s="8"/>
      <c r="E8" s="8"/>
      <c r="F8" s="8"/>
      <c r="G8" s="8"/>
      <c r="H8" s="8"/>
      <c r="I8" s="8"/>
      <c r="J8" s="8"/>
    </row>
    <row r="9" spans="1:10" ht="18" customHeight="1" x14ac:dyDescent="0.45">
      <c r="B9" s="13" t="s">
        <v>97</v>
      </c>
    </row>
    <row r="10" spans="1:10" ht="18" customHeight="1" x14ac:dyDescent="0.45">
      <c r="B10" s="23" t="s">
        <v>98</v>
      </c>
      <c r="C10" s="23" t="s">
        <v>99</v>
      </c>
      <c r="D10" s="24" t="s">
        <v>100</v>
      </c>
      <c r="E10" s="23" t="s">
        <v>101</v>
      </c>
      <c r="F10" s="24" t="s">
        <v>102</v>
      </c>
      <c r="G10" s="24" t="s">
        <v>103</v>
      </c>
      <c r="H10" s="24" t="s">
        <v>104</v>
      </c>
      <c r="I10" s="24" t="s">
        <v>105</v>
      </c>
      <c r="J10" s="23" t="s">
        <v>106</v>
      </c>
    </row>
    <row r="11" spans="1:10" x14ac:dyDescent="0.45">
      <c r="B11" s="25" t="s">
        <v>107</v>
      </c>
      <c r="C11" s="26" t="s">
        <v>108</v>
      </c>
      <c r="D11" s="27" cm="1">
        <f t="array" aca="1" ref="D11" ca="1">_xll.VoseInput("II фаза: длительность","лет")+_xll.VosePERT(F11,G11,H11)</f>
        <v>1.966387356712151</v>
      </c>
      <c r="E11" s="26" t="s">
        <v>109</v>
      </c>
      <c r="F11" s="28">
        <v>1.5</v>
      </c>
      <c r="G11" s="28">
        <v>2</v>
      </c>
      <c r="H11" s="28">
        <v>3</v>
      </c>
      <c r="I11" s="29" cm="1">
        <f t="array" ref="I11">IF(AND(F11&lt;=G11,G11&lt;=H11,F11&lt;H11),_xll.VoseMean(_xll.VosePERTObject(F11,G11,H11)),"✗ диапазон")</f>
        <v>2.0833333333333335</v>
      </c>
      <c r="J11" s="30" t="s">
        <v>110</v>
      </c>
    </row>
    <row r="12" spans="1:10" x14ac:dyDescent="0.45">
      <c r="B12" s="25" t="s">
        <v>111</v>
      </c>
      <c r="C12" s="26" t="s">
        <v>112</v>
      </c>
      <c r="D12" s="31" cm="1">
        <f t="array" aca="1" ref="D12" ca="1">_xll.VoseInput("II фаза: стоимость","млн долл.")+_xll.VosePERT(F12,G12,H12)</f>
        <v>30.158261005990987</v>
      </c>
      <c r="E12" s="26" t="s">
        <v>109</v>
      </c>
      <c r="F12" s="32">
        <v>25</v>
      </c>
      <c r="G12" s="32">
        <v>30</v>
      </c>
      <c r="H12" s="32">
        <v>40</v>
      </c>
      <c r="I12" s="33" cm="1">
        <f t="array" ref="I12">IF(AND(F12&lt;=G12,G12&lt;=H12,F12&lt;H12),_xll.VoseMean(_xll.VosePERTObject(F12,G12,H12)),"✗ диапазон")</f>
        <v>30.833333333333332</v>
      </c>
      <c r="J12" s="30"/>
    </row>
    <row r="13" spans="1:10" x14ac:dyDescent="0.45">
      <c r="B13" s="25" t="s">
        <v>113</v>
      </c>
      <c r="C13" s="26" t="s">
        <v>114</v>
      </c>
      <c r="D13" s="34">
        <v>0.35</v>
      </c>
      <c r="E13" s="26" t="s">
        <v>115</v>
      </c>
      <c r="F13" s="35"/>
      <c r="G13" s="35"/>
      <c r="H13" s="35"/>
      <c r="I13" s="35"/>
      <c r="J13" s="30" t="s">
        <v>116</v>
      </c>
    </row>
    <row r="14" spans="1:10" x14ac:dyDescent="0.45">
      <c r="B14" s="25" t="s">
        <v>117</v>
      </c>
      <c r="C14" s="26" t="s">
        <v>108</v>
      </c>
      <c r="D14" s="27" cm="1">
        <f t="array" aca="1" ref="D14" ca="1">_xll.VoseInput("III фаза: длительность","лет")+_xll.VosePERT(F14,G14,H14)</f>
        <v>3.5626071618751936</v>
      </c>
      <c r="E14" s="26" t="s">
        <v>109</v>
      </c>
      <c r="F14" s="28">
        <v>2.5</v>
      </c>
      <c r="G14" s="28">
        <v>3</v>
      </c>
      <c r="H14" s="28">
        <v>4.5</v>
      </c>
      <c r="I14" s="29" cm="1">
        <f t="array" ref="I14">IF(AND(F14&lt;=G14,G14&lt;=H14,F14&lt;H14),_xll.VoseMean(_xll.VosePERTObject(F14,G14,H14)),"✗ диапазон")</f>
        <v>3.1666666666666665</v>
      </c>
      <c r="J14" s="30" t="s">
        <v>118</v>
      </c>
    </row>
    <row r="15" spans="1:10" x14ac:dyDescent="0.45">
      <c r="B15" s="25" t="s">
        <v>119</v>
      </c>
      <c r="C15" s="26" t="s">
        <v>112</v>
      </c>
      <c r="D15" s="31" cm="1">
        <f t="array" aca="1" ref="D15" ca="1">_xll.VoseInput("III фаза: стоимость","млн долл.")+_xll.VosePERT(F15,G15,H15)</f>
        <v>165.90185335866624</v>
      </c>
      <c r="E15" s="26" t="s">
        <v>109</v>
      </c>
      <c r="F15" s="32">
        <v>120</v>
      </c>
      <c r="G15" s="32">
        <v>150</v>
      </c>
      <c r="H15" s="32">
        <v>200</v>
      </c>
      <c r="I15" s="33" cm="1">
        <f t="array" ref="I15">IF(AND(F15&lt;=G15,G15&lt;=H15,F15&lt;H15),_xll.VoseMean(_xll.VosePERTObject(F15,G15,H15)),"✗ диапазон")</f>
        <v>153.33333333333334</v>
      </c>
      <c r="J15" s="30"/>
    </row>
    <row r="16" spans="1:10" x14ac:dyDescent="0.45">
      <c r="B16" s="25" t="s">
        <v>120</v>
      </c>
      <c r="C16" s="26" t="s">
        <v>114</v>
      </c>
      <c r="D16" s="34">
        <v>0.6</v>
      </c>
      <c r="E16" s="26" t="s">
        <v>115</v>
      </c>
      <c r="F16" s="35"/>
      <c r="G16" s="35"/>
      <c r="H16" s="35"/>
      <c r="I16" s="35"/>
      <c r="J16" s="30"/>
    </row>
    <row r="17" spans="2:10" x14ac:dyDescent="0.45">
      <c r="B17" s="25" t="s">
        <v>121</v>
      </c>
      <c r="C17" s="26" t="s">
        <v>108</v>
      </c>
      <c r="D17" s="27" cm="1">
        <f t="array" aca="1" ref="D17" ca="1">_xll.VoseInput("Регистрация: длительность","лет")+_xll.VosePERT(F17,G17,H17)</f>
        <v>1.2308797023051816</v>
      </c>
      <c r="E17" s="26" t="s">
        <v>109</v>
      </c>
      <c r="F17" s="28">
        <v>0.8</v>
      </c>
      <c r="G17" s="28">
        <v>1</v>
      </c>
      <c r="H17" s="28">
        <v>1.5</v>
      </c>
      <c r="I17" s="29" cm="1">
        <f t="array" ref="I17">IF(AND(F17&lt;=G17,G17&lt;=H17,F17&lt;H17),_xll.VoseMean(_xll.VosePERTObject(F17,G17,H17)),"✗ диапазон")</f>
        <v>1.05</v>
      </c>
      <c r="J17" s="30" t="s">
        <v>122</v>
      </c>
    </row>
    <row r="18" spans="2:10" x14ac:dyDescent="0.45">
      <c r="B18" s="25" t="s">
        <v>123</v>
      </c>
      <c r="C18" s="26" t="s">
        <v>112</v>
      </c>
      <c r="D18" s="31" cm="1">
        <f t="array" aca="1" ref="D18" ca="1">_xll.VoseInput("Регистрация: стоимость","млн долл.")+_xll.VosePERT(F18,G18,H18)</f>
        <v>4.9684349643721673</v>
      </c>
      <c r="E18" s="26" t="s">
        <v>109</v>
      </c>
      <c r="F18" s="32">
        <v>4</v>
      </c>
      <c r="G18" s="32">
        <v>5</v>
      </c>
      <c r="H18" s="32">
        <v>7</v>
      </c>
      <c r="I18" s="33" cm="1">
        <f t="array" ref="I18">IF(AND(F18&lt;=G18,G18&lt;=H18,F18&lt;H18),_xll.VoseMean(_xll.VosePERTObject(F18,G18,H18)),"✗ диапазон")</f>
        <v>5.166666666666667</v>
      </c>
      <c r="J18" s="30"/>
    </row>
    <row r="19" spans="2:10" x14ac:dyDescent="0.45">
      <c r="B19" s="25" t="s">
        <v>124</v>
      </c>
      <c r="C19" s="26" t="s">
        <v>114</v>
      </c>
      <c r="D19" s="34">
        <v>0.9</v>
      </c>
      <c r="E19" s="26" t="s">
        <v>115</v>
      </c>
      <c r="F19" s="35"/>
      <c r="G19" s="35"/>
      <c r="H19" s="35"/>
      <c r="I19" s="35"/>
      <c r="J19" s="30"/>
    </row>
    <row r="20" spans="2:10" ht="8" customHeight="1" x14ac:dyDescent="0.45"/>
    <row r="21" spans="2:10" ht="22.05" customHeight="1" x14ac:dyDescent="0.5">
      <c r="B21" s="7" t="s">
        <v>125</v>
      </c>
      <c r="C21" s="8"/>
      <c r="D21" s="8"/>
      <c r="E21" s="8"/>
      <c r="F21" s="8"/>
      <c r="G21" s="8"/>
      <c r="H21" s="8"/>
      <c r="I21" s="8"/>
      <c r="J21" s="8"/>
    </row>
    <row r="22" spans="2:10" ht="18" customHeight="1" x14ac:dyDescent="0.45">
      <c r="B22" s="23" t="s">
        <v>98</v>
      </c>
      <c r="C22" s="23" t="s">
        <v>99</v>
      </c>
      <c r="D22" s="24" t="s">
        <v>100</v>
      </c>
      <c r="E22" s="23" t="s">
        <v>101</v>
      </c>
      <c r="F22" s="24" t="s">
        <v>102</v>
      </c>
      <c r="G22" s="24" t="s">
        <v>103</v>
      </c>
      <c r="H22" s="24" t="s">
        <v>104</v>
      </c>
      <c r="I22" s="24" t="s">
        <v>105</v>
      </c>
      <c r="J22" s="23" t="s">
        <v>106</v>
      </c>
    </row>
    <row r="23" spans="2:10" x14ac:dyDescent="0.45">
      <c r="B23" s="25" t="s">
        <v>126</v>
      </c>
      <c r="C23" s="26" t="s">
        <v>127</v>
      </c>
      <c r="D23" s="36" cm="1">
        <f t="array" aca="1" ref="D23" ca="1">_xll.VoseInput("Пиковые продажи","млн долл. в год")+_xll.VoseLognormalAlt(F23,0.1,H23,0.9,0)</f>
        <v>637.68046525773377</v>
      </c>
      <c r="E23" s="26" t="s">
        <v>128</v>
      </c>
      <c r="F23" s="37">
        <v>300</v>
      </c>
      <c r="G23" s="38" t="s">
        <v>129</v>
      </c>
      <c r="H23" s="37">
        <v>1200</v>
      </c>
      <c r="I23" s="39" cm="1">
        <f t="array" ref="I23">IF(AND(F23&gt;0,F23&lt;H23),_xll.VoseMean(_xll.VoseLognormalAltObject(F23,0.1,H23,0.9,0)),"✗ диапазон")</f>
        <v>694.50368213594049</v>
      </c>
      <c r="J23" s="30" t="s">
        <v>130</v>
      </c>
    </row>
    <row r="24" spans="2:10" x14ac:dyDescent="0.45">
      <c r="B24" s="25" t="s">
        <v>131</v>
      </c>
      <c r="C24" s="26" t="s">
        <v>108</v>
      </c>
      <c r="D24" s="32">
        <v>4</v>
      </c>
      <c r="E24" s="26" t="s">
        <v>115</v>
      </c>
      <c r="F24" s="35"/>
      <c r="G24" s="35"/>
      <c r="H24" s="35"/>
      <c r="I24" s="35"/>
      <c r="J24" s="30" t="s">
        <v>132</v>
      </c>
    </row>
    <row r="25" spans="2:10" x14ac:dyDescent="0.45">
      <c r="B25" s="25" t="s">
        <v>133</v>
      </c>
      <c r="C25" s="26" t="s">
        <v>134</v>
      </c>
      <c r="D25" s="40">
        <v>2041</v>
      </c>
      <c r="E25" s="26" t="s">
        <v>115</v>
      </c>
      <c r="F25" s="35"/>
      <c r="G25" s="35"/>
      <c r="H25" s="35"/>
      <c r="I25" s="35"/>
      <c r="J25" s="30"/>
    </row>
    <row r="26" spans="2:10" x14ac:dyDescent="0.45">
      <c r="B26" s="25" t="s">
        <v>135</v>
      </c>
      <c r="C26" s="26" t="s">
        <v>136</v>
      </c>
      <c r="D26" s="34">
        <v>0.35</v>
      </c>
      <c r="E26" s="26" t="s">
        <v>115</v>
      </c>
      <c r="F26" s="35"/>
      <c r="G26" s="35"/>
      <c r="H26" s="35"/>
      <c r="I26" s="35"/>
      <c r="J26" s="30" t="s">
        <v>137</v>
      </c>
    </row>
    <row r="27" spans="2:10" x14ac:dyDescent="0.45">
      <c r="B27" s="25" t="s">
        <v>138</v>
      </c>
      <c r="C27" s="26" t="s">
        <v>136</v>
      </c>
      <c r="D27" s="34">
        <v>0.15</v>
      </c>
      <c r="E27" s="26" t="s">
        <v>115</v>
      </c>
      <c r="F27" s="35"/>
      <c r="G27" s="35"/>
      <c r="H27" s="35"/>
      <c r="I27" s="35"/>
      <c r="J27" s="30"/>
    </row>
    <row r="28" spans="2:10" x14ac:dyDescent="0.45">
      <c r="B28" s="25" t="s">
        <v>139</v>
      </c>
      <c r="C28" s="26" t="s">
        <v>136</v>
      </c>
      <c r="D28" s="34">
        <v>0.1</v>
      </c>
      <c r="E28" s="26" t="s">
        <v>115</v>
      </c>
      <c r="F28" s="35"/>
      <c r="G28" s="35"/>
      <c r="H28" s="35"/>
      <c r="I28" s="35"/>
      <c r="J28" s="30"/>
    </row>
    <row r="29" spans="2:10" x14ac:dyDescent="0.45">
      <c r="B29" s="25" t="s">
        <v>140</v>
      </c>
      <c r="C29" s="26" t="s">
        <v>136</v>
      </c>
      <c r="D29" s="34">
        <v>0.05</v>
      </c>
      <c r="E29" s="26" t="s">
        <v>115</v>
      </c>
      <c r="F29" s="35"/>
      <c r="G29" s="35"/>
      <c r="H29" s="35"/>
      <c r="I29" s="35"/>
      <c r="J29" s="30"/>
    </row>
    <row r="30" spans="2:10" x14ac:dyDescent="0.45">
      <c r="B30" s="25" t="s">
        <v>141</v>
      </c>
      <c r="C30" s="26" t="s">
        <v>142</v>
      </c>
      <c r="D30" s="34">
        <v>0.45</v>
      </c>
      <c r="E30" s="26" t="s">
        <v>115</v>
      </c>
      <c r="F30" s="35"/>
      <c r="G30" s="35"/>
      <c r="H30" s="35"/>
      <c r="I30" s="35"/>
      <c r="J30" s="30" t="s">
        <v>143</v>
      </c>
    </row>
    <row r="31" spans="2:10" x14ac:dyDescent="0.45">
      <c r="B31" s="25" t="s">
        <v>144</v>
      </c>
      <c r="C31" s="26" t="s">
        <v>112</v>
      </c>
      <c r="D31" s="37">
        <v>80</v>
      </c>
      <c r="E31" s="26" t="s">
        <v>115</v>
      </c>
      <c r="F31" s="35"/>
      <c r="G31" s="35"/>
      <c r="H31" s="35"/>
      <c r="I31" s="35"/>
      <c r="J31" s="30" t="s">
        <v>145</v>
      </c>
    </row>
    <row r="32" spans="2:10" ht="8" customHeight="1" x14ac:dyDescent="0.45"/>
    <row r="33" spans="2:10" ht="22.05" customHeight="1" x14ac:dyDescent="0.5">
      <c r="B33" s="7" t="s">
        <v>146</v>
      </c>
      <c r="C33" s="8"/>
      <c r="D33" s="8"/>
      <c r="E33" s="8"/>
      <c r="F33" s="8"/>
      <c r="G33" s="8"/>
      <c r="H33" s="8"/>
      <c r="I33" s="8"/>
      <c r="J33" s="8"/>
    </row>
    <row r="34" spans="2:10" ht="18" customHeight="1" x14ac:dyDescent="0.45">
      <c r="B34" s="13" t="s">
        <v>147</v>
      </c>
    </row>
    <row r="35" spans="2:10" ht="18" customHeight="1" x14ac:dyDescent="0.45">
      <c r="B35" s="23" t="s">
        <v>98</v>
      </c>
      <c r="C35" s="23" t="s">
        <v>99</v>
      </c>
      <c r="D35" s="24" t="s">
        <v>100</v>
      </c>
      <c r="E35" s="23" t="s">
        <v>101</v>
      </c>
      <c r="F35" s="5"/>
      <c r="G35" s="5"/>
      <c r="H35" s="5"/>
      <c r="I35" s="5"/>
      <c r="J35" s="23" t="s">
        <v>106</v>
      </c>
    </row>
    <row r="36" spans="2:10" x14ac:dyDescent="0.45">
      <c r="B36" s="25" t="s">
        <v>148</v>
      </c>
      <c r="C36" s="26" t="s">
        <v>112</v>
      </c>
      <c r="D36" s="37">
        <v>60</v>
      </c>
      <c r="E36" s="26" t="s">
        <v>115</v>
      </c>
      <c r="F36" s="35"/>
      <c r="G36" s="35"/>
      <c r="H36" s="35"/>
      <c r="I36" s="35"/>
      <c r="J36" s="30"/>
    </row>
    <row r="37" spans="2:10" x14ac:dyDescent="0.45">
      <c r="B37" s="25" t="s">
        <v>149</v>
      </c>
      <c r="C37" s="26" t="s">
        <v>112</v>
      </c>
      <c r="D37" s="37">
        <v>40</v>
      </c>
      <c r="E37" s="26" t="s">
        <v>115</v>
      </c>
      <c r="F37" s="35"/>
      <c r="G37" s="35"/>
      <c r="H37" s="35"/>
      <c r="I37" s="35"/>
      <c r="J37" s="30"/>
    </row>
    <row r="38" spans="2:10" x14ac:dyDescent="0.45">
      <c r="B38" s="25" t="s">
        <v>150</v>
      </c>
      <c r="C38" s="26" t="s">
        <v>112</v>
      </c>
      <c r="D38" s="37">
        <v>60</v>
      </c>
      <c r="E38" s="26" t="s">
        <v>115</v>
      </c>
      <c r="F38" s="35"/>
      <c r="G38" s="35"/>
      <c r="H38" s="35"/>
      <c r="I38" s="35"/>
      <c r="J38" s="30"/>
    </row>
    <row r="39" spans="2:10" x14ac:dyDescent="0.45">
      <c r="B39" s="25" t="s">
        <v>151</v>
      </c>
      <c r="C39" s="26" t="s">
        <v>142</v>
      </c>
      <c r="D39" s="34">
        <v>0.15</v>
      </c>
      <c r="E39" s="26" t="s">
        <v>115</v>
      </c>
      <c r="F39" s="35"/>
      <c r="G39" s="35"/>
      <c r="H39" s="35"/>
      <c r="I39" s="35"/>
      <c r="J39" s="30"/>
    </row>
    <row r="40" spans="2:10" ht="8" customHeight="1" x14ac:dyDescent="0.45"/>
    <row r="41" spans="2:10" ht="22.05" customHeight="1" x14ac:dyDescent="0.5">
      <c r="B41" s="7" t="s">
        <v>152</v>
      </c>
      <c r="C41" s="8"/>
      <c r="D41" s="8"/>
      <c r="E41" s="8"/>
      <c r="F41" s="8"/>
      <c r="G41" s="8"/>
      <c r="H41" s="8"/>
      <c r="I41" s="8"/>
      <c r="J41" s="8"/>
    </row>
    <row r="42" spans="2:10" ht="18" customHeight="1" x14ac:dyDescent="0.45">
      <c r="B42" s="23" t="s">
        <v>98</v>
      </c>
      <c r="C42" s="23" t="s">
        <v>99</v>
      </c>
      <c r="D42" s="24" t="s">
        <v>100</v>
      </c>
      <c r="E42" s="23" t="s">
        <v>101</v>
      </c>
      <c r="F42" s="5"/>
      <c r="G42" s="5"/>
      <c r="H42" s="5"/>
      <c r="I42" s="5"/>
      <c r="J42" s="23" t="s">
        <v>106</v>
      </c>
    </row>
    <row r="43" spans="2:10" x14ac:dyDescent="0.45">
      <c r="B43" s="25" t="s">
        <v>153</v>
      </c>
      <c r="C43" s="26" t="s">
        <v>154</v>
      </c>
      <c r="D43" s="41">
        <v>0.1</v>
      </c>
      <c r="E43" s="26" t="s">
        <v>115</v>
      </c>
      <c r="F43" s="35"/>
      <c r="G43" s="35"/>
      <c r="H43" s="35"/>
      <c r="I43" s="35"/>
      <c r="J43" s="30" t="s">
        <v>155</v>
      </c>
    </row>
    <row r="44" spans="2:10" x14ac:dyDescent="0.45">
      <c r="B44" s="25" t="s">
        <v>156</v>
      </c>
      <c r="C44" s="26" t="s">
        <v>134</v>
      </c>
      <c r="D44" s="40">
        <v>2027</v>
      </c>
      <c r="E44" s="26" t="s">
        <v>115</v>
      </c>
      <c r="F44" s="35"/>
      <c r="G44" s="35"/>
      <c r="H44" s="35"/>
      <c r="I44" s="35"/>
      <c r="J44" s="30"/>
    </row>
    <row r="45" spans="2:10" ht="8" customHeight="1" x14ac:dyDescent="0.45"/>
  </sheetData>
  <mergeCells count="1">
    <mergeCell ref="B6:J6"/>
  </mergeCells>
  <conditionalFormatting sqref="I11:I12">
    <cfRule type="expression" dxfId="8" priority="1">
      <formula>LEFT($I11,1)="✗"</formula>
    </cfRule>
  </conditionalFormatting>
  <conditionalFormatting sqref="I14:I15">
    <cfRule type="expression" dxfId="7" priority="3">
      <formula>LEFT($I14,1)="✗"</formula>
    </cfRule>
  </conditionalFormatting>
  <conditionalFormatting sqref="I17:I18">
    <cfRule type="expression" dxfId="6" priority="5">
      <formula>LEFT($I17,1)="✗"</formula>
    </cfRule>
  </conditionalFormatting>
  <conditionalFormatting sqref="I23">
    <cfRule type="expression" dxfId="5" priority="7">
      <formula>LEFT($I23,1)="✗"</formula>
    </cfRule>
  </conditionalFormatting>
  <dataValidations count="6">
    <dataValidation type="custom" showErrorMessage="1" errorTitle="Диапазон PERT" error="Мин. должно быть меньше макс., наиболее вероятное — между ними." sqref="F17:H18 F14:H15 F11:H12" xr:uid="{00000000-0002-0000-0100-000000000000}">
      <formula1>AND($F11&lt;=$G11,$G11&lt;=$H11,$F11&lt;$H11)</formula1>
    </dataValidation>
    <dataValidation type="decimal" showErrorMessage="1" errorTitle="Вероятность" error="Введите значение от 0% до 100%." sqref="D13 D43 D39 D26:D30 D19 D16" xr:uid="{00000000-0002-0000-0100-000002000000}">
      <formula1>0</formula1>
      <formula2>1</formula2>
    </dataValidation>
    <dataValidation type="custom" showErrorMessage="1" errorTitle="Диапазон логнормального" error="Минимальная оценка должна быть выше минимума и ниже максимальной оценки." sqref="F23:H23" xr:uid="{00000000-0002-0000-0100-000009000000}">
      <formula1>AND($F23&gt;0,$F23&lt;$H23)</formula1>
    </dataValidation>
    <dataValidation type="decimal" operator="greaterThan" showErrorMessage="1" errorTitle="Положительное значение" error="Введите значение больше нуля." sqref="D24" xr:uid="{00000000-0002-0000-0100-00000A000000}">
      <formula1>0</formula1>
    </dataValidation>
    <dataValidation type="whole" showErrorMessage="1" errorTitle="Год" error="Введите календарный год." sqref="D25 D44" xr:uid="{00000000-0002-0000-0100-00000B000000}">
      <formula1>1900</formula1>
      <formula2>2200</formula2>
    </dataValidation>
    <dataValidation type="decimal" showErrorMessage="1" errorTitle="Значение" error="Введите значение не меньше нуля." sqref="D31 D36:D38" xr:uid="{00000000-0002-0000-0100-000011000000}">
      <formula1>0</formula1>
      <formula2>1000000000000</formula2>
    </dataValidation>
  </dataValidations>
  <hyperlinks>
    <hyperlink ref="B4" location="'Описание'!A1" display="◂  Описание" xr:uid="{00000000-0004-0000-0100-000000000000}"/>
    <hyperlink ref="J4" location="'Разработка'!A1" display="Далее:  Разработка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Y11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8" customWidth="1"/>
    <col min="3" max="3" width="12" customWidth="1"/>
    <col min="4" max="4" width="10" customWidth="1"/>
    <col min="5" max="5" width="3" customWidth="1"/>
    <col min="6" max="25" width="7.59765625" customWidth="1"/>
  </cols>
  <sheetData>
    <row r="1" spans="1:25" ht="6" customHeight="1" x14ac:dyDescent="0.45"/>
    <row r="2" spans="1:25" ht="30" customHeight="1" x14ac:dyDescent="0.45">
      <c r="A2" s="1"/>
      <c r="B2" s="21" t="s">
        <v>0</v>
      </c>
      <c r="C2" s="1"/>
      <c r="D2" s="1"/>
      <c r="E2" s="1"/>
      <c r="F2" s="1"/>
      <c r="G2" s="1"/>
      <c r="H2" s="1"/>
      <c r="I2" s="1"/>
      <c r="J2" s="1"/>
      <c r="K2" s="1"/>
      <c r="L2" s="1"/>
      <c r="M2" s="1"/>
      <c r="N2" s="1"/>
      <c r="O2" s="1"/>
      <c r="P2" s="1"/>
      <c r="Q2" s="1"/>
      <c r="R2" s="1"/>
      <c r="S2" s="1"/>
      <c r="T2" s="1"/>
      <c r="U2" s="1"/>
      <c r="V2" s="1"/>
      <c r="W2" s="1"/>
      <c r="X2" s="1"/>
      <c r="Y2" s="3" t="s">
        <v>1</v>
      </c>
    </row>
    <row r="3" spans="1:25" ht="20" customHeight="1" x14ac:dyDescent="0.45">
      <c r="A3" s="1"/>
      <c r="B3" s="4" t="s">
        <v>157</v>
      </c>
      <c r="C3" s="1"/>
      <c r="D3" s="1"/>
      <c r="E3" s="1"/>
      <c r="F3" s="1"/>
      <c r="G3" s="1"/>
      <c r="H3" s="1"/>
      <c r="I3" s="1"/>
      <c r="J3" s="1"/>
      <c r="K3" s="1"/>
      <c r="L3" s="1"/>
      <c r="M3" s="1"/>
      <c r="N3" s="1"/>
      <c r="O3" s="1"/>
      <c r="P3" s="1"/>
      <c r="Q3" s="1"/>
      <c r="R3" s="1"/>
      <c r="S3" s="1"/>
      <c r="T3" s="1"/>
      <c r="U3" s="1"/>
      <c r="V3" s="1"/>
      <c r="W3" s="1"/>
      <c r="X3" s="1"/>
      <c r="Y3" s="1"/>
    </row>
    <row r="4" spans="1:25" ht="20" customHeight="1" x14ac:dyDescent="0.45">
      <c r="A4" s="5"/>
      <c r="B4" s="22" t="s">
        <v>158</v>
      </c>
      <c r="C4" s="5"/>
      <c r="D4" s="5"/>
      <c r="E4" s="5"/>
      <c r="F4" s="5"/>
      <c r="G4" s="5"/>
      <c r="H4" s="5"/>
      <c r="I4" s="5"/>
      <c r="J4" s="5"/>
      <c r="K4" s="5"/>
      <c r="L4" s="5"/>
      <c r="M4" s="5"/>
      <c r="N4" s="5"/>
      <c r="O4" s="5"/>
      <c r="P4" s="5"/>
      <c r="Q4" s="5"/>
      <c r="R4" s="5"/>
      <c r="S4" s="5"/>
      <c r="T4" s="5"/>
      <c r="U4" s="5"/>
      <c r="V4" s="5"/>
      <c r="W4" s="5"/>
      <c r="X4" s="5"/>
      <c r="Y4" s="6" t="s">
        <v>159</v>
      </c>
    </row>
    <row r="5" spans="1:25" ht="8" customHeight="1" x14ac:dyDescent="0.45"/>
    <row r="6" spans="1:25" ht="16.05" customHeight="1" x14ac:dyDescent="0.45">
      <c r="B6" s="42" t="s">
        <v>160</v>
      </c>
      <c r="C6" s="43"/>
      <c r="D6" s="44" t="s">
        <v>161</v>
      </c>
      <c r="E6" s="45"/>
      <c r="F6" s="46">
        <v>1</v>
      </c>
      <c r="G6" s="46">
        <f t="shared" ref="G6:Y6" si="0">F6+1</f>
        <v>2</v>
      </c>
      <c r="H6" s="46">
        <f t="shared" si="0"/>
        <v>3</v>
      </c>
      <c r="I6" s="46">
        <f t="shared" si="0"/>
        <v>4</v>
      </c>
      <c r="J6" s="46">
        <f t="shared" si="0"/>
        <v>5</v>
      </c>
      <c r="K6" s="46">
        <f t="shared" si="0"/>
        <v>6</v>
      </c>
      <c r="L6" s="46">
        <f t="shared" si="0"/>
        <v>7</v>
      </c>
      <c r="M6" s="46">
        <f t="shared" si="0"/>
        <v>8</v>
      </c>
      <c r="N6" s="46">
        <f t="shared" si="0"/>
        <v>9</v>
      </c>
      <c r="O6" s="46">
        <f t="shared" si="0"/>
        <v>10</v>
      </c>
      <c r="P6" s="46">
        <f t="shared" si="0"/>
        <v>11</v>
      </c>
      <c r="Q6" s="46">
        <f t="shared" si="0"/>
        <v>12</v>
      </c>
      <c r="R6" s="46">
        <f t="shared" si="0"/>
        <v>13</v>
      </c>
      <c r="S6" s="46">
        <f t="shared" si="0"/>
        <v>14</v>
      </c>
      <c r="T6" s="46">
        <f t="shared" si="0"/>
        <v>15</v>
      </c>
      <c r="U6" s="46">
        <f t="shared" si="0"/>
        <v>16</v>
      </c>
      <c r="V6" s="46">
        <f t="shared" si="0"/>
        <v>17</v>
      </c>
      <c r="W6" s="46">
        <f t="shared" si="0"/>
        <v>18</v>
      </c>
      <c r="X6" s="46">
        <f t="shared" si="0"/>
        <v>19</v>
      </c>
      <c r="Y6" s="46">
        <f t="shared" si="0"/>
        <v>20</v>
      </c>
    </row>
    <row r="7" spans="1:25" ht="16.05" customHeight="1" x14ac:dyDescent="0.45">
      <c r="B7" s="47" t="s">
        <v>162</v>
      </c>
      <c r="C7" s="5"/>
      <c r="D7" s="5"/>
      <c r="E7" s="5"/>
      <c r="F7" s="48">
        <f t="shared" ref="F7:Y7" si="1">FirstYear-1+F$6</f>
        <v>2027</v>
      </c>
      <c r="G7" s="48">
        <f t="shared" si="1"/>
        <v>2028</v>
      </c>
      <c r="H7" s="48">
        <f t="shared" si="1"/>
        <v>2029</v>
      </c>
      <c r="I7" s="48">
        <f t="shared" si="1"/>
        <v>2030</v>
      </c>
      <c r="J7" s="48">
        <f t="shared" si="1"/>
        <v>2031</v>
      </c>
      <c r="K7" s="48">
        <f t="shared" si="1"/>
        <v>2032</v>
      </c>
      <c r="L7" s="48">
        <f t="shared" si="1"/>
        <v>2033</v>
      </c>
      <c r="M7" s="48">
        <f t="shared" si="1"/>
        <v>2034</v>
      </c>
      <c r="N7" s="48">
        <f t="shared" si="1"/>
        <v>2035</v>
      </c>
      <c r="O7" s="48">
        <f t="shared" si="1"/>
        <v>2036</v>
      </c>
      <c r="P7" s="48">
        <f t="shared" si="1"/>
        <v>2037</v>
      </c>
      <c r="Q7" s="48">
        <f t="shared" si="1"/>
        <v>2038</v>
      </c>
      <c r="R7" s="48">
        <f t="shared" si="1"/>
        <v>2039</v>
      </c>
      <c r="S7" s="48">
        <f t="shared" si="1"/>
        <v>2040</v>
      </c>
      <c r="T7" s="48">
        <f t="shared" si="1"/>
        <v>2041</v>
      </c>
      <c r="U7" s="48">
        <f t="shared" si="1"/>
        <v>2042</v>
      </c>
      <c r="V7" s="48">
        <f t="shared" si="1"/>
        <v>2043</v>
      </c>
      <c r="W7" s="48">
        <f t="shared" si="1"/>
        <v>2044</v>
      </c>
      <c r="X7" s="48">
        <f t="shared" si="1"/>
        <v>2045</v>
      </c>
      <c r="Y7" s="48">
        <f t="shared" si="1"/>
        <v>2046</v>
      </c>
    </row>
    <row r="8" spans="1:25" ht="6" customHeight="1" x14ac:dyDescent="0.45"/>
    <row r="9" spans="1:25" ht="22.05" customHeight="1" x14ac:dyDescent="0.5">
      <c r="B9" s="7" t="s">
        <v>163</v>
      </c>
      <c r="C9" s="8"/>
      <c r="D9" s="8"/>
      <c r="E9" s="8"/>
      <c r="F9" s="8"/>
      <c r="G9" s="8"/>
      <c r="H9" s="8"/>
      <c r="I9" s="8"/>
      <c r="J9" s="8"/>
      <c r="K9" s="8"/>
      <c r="L9" s="8"/>
      <c r="M9" s="8"/>
      <c r="N9" s="8"/>
      <c r="O9" s="8"/>
      <c r="P9" s="8"/>
      <c r="Q9" s="8"/>
      <c r="R9" s="8"/>
      <c r="S9" s="8"/>
      <c r="T9" s="8"/>
      <c r="U9" s="8"/>
      <c r="V9" s="8"/>
      <c r="W9" s="8"/>
      <c r="X9" s="8"/>
      <c r="Y9" s="8"/>
    </row>
    <row r="10" spans="1:25" ht="18" customHeight="1" x14ac:dyDescent="0.45">
      <c r="B10" s="47" t="s">
        <v>164</v>
      </c>
      <c r="C10" s="47" t="s">
        <v>99</v>
      </c>
      <c r="D10" s="49" t="s">
        <v>165</v>
      </c>
      <c r="E10" s="5"/>
      <c r="F10" s="47" t="s">
        <v>166</v>
      </c>
      <c r="G10" s="5"/>
      <c r="H10" s="5"/>
      <c r="I10" s="5"/>
      <c r="J10" s="5"/>
      <c r="K10" s="5"/>
      <c r="L10" s="5"/>
      <c r="M10" s="5"/>
      <c r="N10" s="5"/>
      <c r="O10" s="5"/>
      <c r="P10" s="5"/>
      <c r="Q10" s="5"/>
      <c r="R10" s="5"/>
      <c r="S10" s="5"/>
      <c r="T10" s="5"/>
      <c r="U10" s="5"/>
      <c r="V10" s="5"/>
      <c r="W10" s="5"/>
      <c r="X10" s="5"/>
      <c r="Y10" s="5"/>
    </row>
    <row r="11" spans="1:25" x14ac:dyDescent="0.45">
      <c r="B11" s="25" t="s">
        <v>167</v>
      </c>
      <c r="C11" s="26" t="s">
        <v>168</v>
      </c>
      <c r="D11" s="50" cm="1">
        <f t="array" aca="1" ref="D11" ca="1">_xll.VoseInput("Успех II фазы","1 = да")+_xll.VoseBernoulli(Prob_P2)</f>
        <v>1</v>
      </c>
      <c r="E11" s="35"/>
      <c r="F11" s="26" t="s">
        <v>169</v>
      </c>
      <c r="G11" s="35"/>
      <c r="H11" s="35"/>
      <c r="I11" s="35"/>
      <c r="J11" s="35"/>
      <c r="K11" s="35"/>
      <c r="L11" s="35"/>
      <c r="M11" s="35"/>
      <c r="N11" s="35"/>
      <c r="O11" s="35"/>
      <c r="P11" s="35"/>
      <c r="Q11" s="35"/>
      <c r="R11" s="35"/>
      <c r="S11" s="35"/>
      <c r="T11" s="35"/>
      <c r="U11" s="35"/>
      <c r="V11" s="35"/>
      <c r="W11" s="35"/>
      <c r="X11" s="35"/>
      <c r="Y11" s="35"/>
    </row>
    <row r="12" spans="1:25" x14ac:dyDescent="0.45">
      <c r="B12" s="25" t="s">
        <v>170</v>
      </c>
      <c r="C12" s="26" t="s">
        <v>168</v>
      </c>
      <c r="D12" s="50" cm="1">
        <f t="array" aca="1" ref="D12" ca="1">_xll.VoseInput("Успех III фазы","1 = да")+_xll.VoseBernoulli(Prob_P3)</f>
        <v>1</v>
      </c>
      <c r="E12" s="35"/>
      <c r="F12" s="26" t="s">
        <v>171</v>
      </c>
      <c r="G12" s="35"/>
      <c r="H12" s="35"/>
      <c r="I12" s="35"/>
      <c r="J12" s="35"/>
      <c r="K12" s="35"/>
      <c r="L12" s="35"/>
      <c r="M12" s="35"/>
      <c r="N12" s="35"/>
      <c r="O12" s="35"/>
      <c r="P12" s="35"/>
      <c r="Q12" s="35"/>
      <c r="R12" s="35"/>
      <c r="S12" s="35"/>
      <c r="T12" s="35"/>
      <c r="U12" s="35"/>
      <c r="V12" s="35"/>
      <c r="W12" s="35"/>
      <c r="X12" s="35"/>
      <c r="Y12" s="35"/>
    </row>
    <row r="13" spans="1:25" x14ac:dyDescent="0.45">
      <c r="B13" s="25" t="s">
        <v>172</v>
      </c>
      <c r="C13" s="26" t="s">
        <v>168</v>
      </c>
      <c r="D13" s="50" cm="1">
        <f t="array" aca="1" ref="D13" ca="1">_xll.VoseInput("Одобрение","1 = да")+_xll.VoseBernoulli(Prob_Rev)</f>
        <v>1</v>
      </c>
      <c r="E13" s="35"/>
      <c r="F13" s="26" t="s">
        <v>173</v>
      </c>
      <c r="G13" s="35"/>
      <c r="H13" s="35"/>
      <c r="I13" s="35"/>
      <c r="J13" s="35"/>
      <c r="K13" s="35"/>
      <c r="L13" s="35"/>
      <c r="M13" s="35"/>
      <c r="N13" s="35"/>
      <c r="O13" s="35"/>
      <c r="P13" s="35"/>
      <c r="Q13" s="35"/>
      <c r="R13" s="35"/>
      <c r="S13" s="35"/>
      <c r="T13" s="35"/>
      <c r="U13" s="35"/>
      <c r="V13" s="35"/>
      <c r="W13" s="35"/>
      <c r="X13" s="35"/>
      <c r="Y13" s="35"/>
    </row>
    <row r="14" spans="1:25" x14ac:dyDescent="0.45">
      <c r="B14" s="25" t="s">
        <v>174</v>
      </c>
      <c r="C14" s="26" t="s">
        <v>168</v>
      </c>
      <c r="D14" s="51">
        <f ca="1">Pass_P2*Pass_P3*Pass_Rev</f>
        <v>1</v>
      </c>
      <c r="E14" s="35"/>
      <c r="F14" s="26" t="s">
        <v>175</v>
      </c>
      <c r="G14" s="35"/>
      <c r="H14" s="35"/>
      <c r="I14" s="35"/>
      <c r="J14" s="35"/>
      <c r="K14" s="35"/>
      <c r="L14" s="35"/>
      <c r="M14" s="35"/>
      <c r="N14" s="35"/>
      <c r="O14" s="35"/>
      <c r="P14" s="35"/>
      <c r="Q14" s="35"/>
      <c r="R14" s="35"/>
      <c r="S14" s="35"/>
      <c r="T14" s="35"/>
      <c r="U14" s="35"/>
      <c r="V14" s="35"/>
      <c r="W14" s="35"/>
      <c r="X14" s="35"/>
      <c r="Y14" s="35"/>
    </row>
    <row r="15" spans="1:25" x14ac:dyDescent="0.45">
      <c r="B15" s="25" t="s">
        <v>176</v>
      </c>
      <c r="C15" s="26" t="s">
        <v>177</v>
      </c>
      <c r="D15" s="51">
        <f ca="1">IF(Pass_P2=0,1,IF(Pass_P3=0,2,IF(Pass_Rev=0,3,4)))</f>
        <v>4</v>
      </c>
      <c r="E15" s="35"/>
      <c r="F15" s="26" t="s">
        <v>178</v>
      </c>
      <c r="G15" s="35"/>
      <c r="H15" s="35"/>
      <c r="I15" s="35"/>
      <c r="J15" s="35"/>
      <c r="K15" s="35"/>
      <c r="L15" s="35"/>
      <c r="M15" s="35"/>
      <c r="N15" s="35"/>
      <c r="O15" s="35"/>
      <c r="P15" s="35"/>
      <c r="Q15" s="35"/>
      <c r="R15" s="35"/>
      <c r="S15" s="35"/>
      <c r="T15" s="35"/>
      <c r="U15" s="35"/>
      <c r="V15" s="35"/>
      <c r="W15" s="35"/>
      <c r="X15" s="35"/>
      <c r="Y15" s="35"/>
    </row>
    <row r="16" spans="1:25" x14ac:dyDescent="0.45">
      <c r="B16" s="25" t="s">
        <v>179</v>
      </c>
      <c r="C16" s="26" t="s">
        <v>108</v>
      </c>
      <c r="D16" s="29">
        <f ca="1">Dur_P2</f>
        <v>1.966387356712151</v>
      </c>
      <c r="E16" s="35"/>
      <c r="F16" s="26" t="s">
        <v>180</v>
      </c>
      <c r="G16" s="35"/>
      <c r="H16" s="35"/>
      <c r="I16" s="35"/>
      <c r="J16" s="35"/>
      <c r="K16" s="35"/>
      <c r="L16" s="35"/>
      <c r="M16" s="35"/>
      <c r="N16" s="35"/>
      <c r="O16" s="35"/>
      <c r="P16" s="35"/>
      <c r="Q16" s="35"/>
      <c r="R16" s="35"/>
      <c r="S16" s="35"/>
      <c r="T16" s="35"/>
      <c r="U16" s="35"/>
      <c r="V16" s="35"/>
      <c r="W16" s="35"/>
      <c r="X16" s="35"/>
      <c r="Y16" s="35"/>
    </row>
    <row r="17" spans="2:25" x14ac:dyDescent="0.45">
      <c r="B17" s="25" t="s">
        <v>181</v>
      </c>
      <c r="C17" s="26" t="s">
        <v>108</v>
      </c>
      <c r="D17" s="29">
        <f ca="1">End_P2+Dur_P3</f>
        <v>5.5289945185873446</v>
      </c>
      <c r="E17" s="35"/>
      <c r="F17" s="35"/>
      <c r="G17" s="35"/>
      <c r="H17" s="35"/>
      <c r="I17" s="35"/>
      <c r="J17" s="35"/>
      <c r="K17" s="35"/>
      <c r="L17" s="35"/>
      <c r="M17" s="35"/>
      <c r="N17" s="35"/>
      <c r="O17" s="35"/>
      <c r="P17" s="35"/>
      <c r="Q17" s="35"/>
      <c r="R17" s="35"/>
      <c r="S17" s="35"/>
      <c r="T17" s="35"/>
      <c r="U17" s="35"/>
      <c r="V17" s="35"/>
      <c r="W17" s="35"/>
      <c r="X17" s="35"/>
      <c r="Y17" s="35"/>
    </row>
    <row r="18" spans="2:25" x14ac:dyDescent="0.45">
      <c r="B18" s="25" t="s">
        <v>182</v>
      </c>
      <c r="C18" s="26" t="s">
        <v>108</v>
      </c>
      <c r="D18" s="29">
        <f ca="1">End_P3+Dur_Rev</f>
        <v>6.7598742208925264</v>
      </c>
      <c r="E18" s="35"/>
      <c r="F18" s="26" t="s">
        <v>183</v>
      </c>
      <c r="G18" s="35"/>
      <c r="H18" s="35"/>
      <c r="I18" s="35"/>
      <c r="J18" s="35"/>
      <c r="K18" s="35"/>
      <c r="L18" s="35"/>
      <c r="M18" s="35"/>
      <c r="N18" s="35"/>
      <c r="O18" s="35"/>
      <c r="P18" s="35"/>
      <c r="Q18" s="35"/>
      <c r="R18" s="35"/>
      <c r="S18" s="35"/>
      <c r="T18" s="35"/>
      <c r="U18" s="35"/>
      <c r="V18" s="35"/>
      <c r="W18" s="35"/>
      <c r="X18" s="35"/>
      <c r="Y18" s="35"/>
    </row>
    <row r="19" spans="2:25" x14ac:dyDescent="0.45">
      <c r="B19" s="25" t="s">
        <v>184</v>
      </c>
      <c r="C19" s="26" t="s">
        <v>185</v>
      </c>
      <c r="D19" s="51">
        <f ca="1">CEILING(End_P2,1)</f>
        <v>2</v>
      </c>
      <c r="E19" s="35"/>
      <c r="F19" s="26" t="s">
        <v>186</v>
      </c>
      <c r="G19" s="35"/>
      <c r="H19" s="35"/>
      <c r="I19" s="35"/>
      <c r="J19" s="35"/>
      <c r="K19" s="35"/>
      <c r="L19" s="35"/>
      <c r="M19" s="35"/>
      <c r="N19" s="35"/>
      <c r="O19" s="35"/>
      <c r="P19" s="35"/>
      <c r="Q19" s="35"/>
      <c r="R19" s="35"/>
      <c r="S19" s="35"/>
      <c r="T19" s="35"/>
      <c r="U19" s="35"/>
      <c r="V19" s="35"/>
      <c r="W19" s="35"/>
      <c r="X19" s="35"/>
      <c r="Y19" s="35"/>
    </row>
    <row r="20" spans="2:25" x14ac:dyDescent="0.45">
      <c r="B20" s="25" t="s">
        <v>187</v>
      </c>
      <c r="C20" s="26" t="s">
        <v>185</v>
      </c>
      <c r="D20" s="51">
        <f ca="1">CEILING(End_P3,1)</f>
        <v>6</v>
      </c>
      <c r="E20" s="35"/>
      <c r="F20" s="26" t="s">
        <v>188</v>
      </c>
      <c r="G20" s="35"/>
      <c r="H20" s="35"/>
      <c r="I20" s="35"/>
      <c r="J20" s="35"/>
      <c r="K20" s="35"/>
      <c r="L20" s="35"/>
      <c r="M20" s="35"/>
      <c r="N20" s="35"/>
      <c r="O20" s="35"/>
      <c r="P20" s="35"/>
      <c r="Q20" s="35"/>
      <c r="R20" s="35"/>
      <c r="S20" s="35"/>
      <c r="T20" s="35"/>
      <c r="U20" s="35"/>
      <c r="V20" s="35"/>
      <c r="W20" s="35"/>
      <c r="X20" s="35"/>
      <c r="Y20" s="35"/>
    </row>
    <row r="21" spans="2:25" x14ac:dyDescent="0.45">
      <c r="B21" s="25" t="s">
        <v>189</v>
      </c>
      <c r="C21" s="26" t="s">
        <v>185</v>
      </c>
      <c r="D21" s="51">
        <f ca="1">CEILING(End_Rev,1)</f>
        <v>7</v>
      </c>
      <c r="E21" s="35"/>
      <c r="F21" s="26" t="s">
        <v>190</v>
      </c>
      <c r="G21" s="35"/>
      <c r="H21" s="35"/>
      <c r="I21" s="35"/>
      <c r="J21" s="35"/>
      <c r="K21" s="35"/>
      <c r="L21" s="35"/>
      <c r="M21" s="35"/>
      <c r="N21" s="35"/>
      <c r="O21" s="35"/>
      <c r="P21" s="35"/>
      <c r="Q21" s="35"/>
      <c r="R21" s="35"/>
      <c r="S21" s="35"/>
      <c r="T21" s="35"/>
      <c r="U21" s="35"/>
      <c r="V21" s="35"/>
      <c r="W21" s="35"/>
      <c r="X21" s="35"/>
      <c r="Y21" s="35"/>
    </row>
    <row r="22" spans="2:25" x14ac:dyDescent="0.45">
      <c r="B22" s="25" t="s">
        <v>191</v>
      </c>
      <c r="C22" s="26" t="s">
        <v>192</v>
      </c>
      <c r="D22" s="52">
        <f ca="1">DATE(FirstYear,1,1)+End_Rev*365.25</f>
        <v>48857.044059180997</v>
      </c>
      <c r="E22" s="35"/>
      <c r="F22" s="26" t="s">
        <v>193</v>
      </c>
      <c r="G22" s="35"/>
      <c r="H22" s="35"/>
      <c r="I22" s="35"/>
      <c r="J22" s="35"/>
      <c r="K22" s="35"/>
      <c r="L22" s="35"/>
      <c r="M22" s="35"/>
      <c r="N22" s="35"/>
      <c r="O22" s="35"/>
      <c r="P22" s="35"/>
      <c r="Q22" s="35"/>
      <c r="R22" s="35"/>
      <c r="S22" s="35"/>
      <c r="T22" s="35"/>
      <c r="U22" s="35"/>
      <c r="V22" s="35"/>
      <c r="W22" s="35"/>
      <c r="X22" s="35"/>
      <c r="Y22" s="35"/>
    </row>
    <row r="23" spans="2:25" x14ac:dyDescent="0.45">
      <c r="B23" s="25" t="s">
        <v>194</v>
      </c>
      <c r="C23" s="26" t="s">
        <v>108</v>
      </c>
      <c r="D23" s="33">
        <f ca="1">Expiry-(FirstYear-1)-End_Rev</f>
        <v>8.2401257791074727</v>
      </c>
      <c r="E23" s="35"/>
      <c r="F23" s="26" t="s">
        <v>195</v>
      </c>
      <c r="G23" s="35"/>
      <c r="H23" s="35"/>
      <c r="I23" s="35"/>
      <c r="J23" s="35"/>
      <c r="K23" s="35"/>
      <c r="L23" s="35"/>
      <c r="M23" s="35"/>
      <c r="N23" s="35"/>
      <c r="O23" s="35"/>
      <c r="P23" s="35"/>
      <c r="Q23" s="35"/>
      <c r="R23" s="35"/>
      <c r="S23" s="35"/>
      <c r="T23" s="35"/>
      <c r="U23" s="35"/>
      <c r="V23" s="35"/>
      <c r="W23" s="35"/>
      <c r="X23" s="35"/>
      <c r="Y23" s="35"/>
    </row>
    <row r="24" spans="2:25" ht="8" customHeight="1" x14ac:dyDescent="0.45"/>
    <row r="25" spans="2:25" ht="22.05" customHeight="1" x14ac:dyDescent="0.5">
      <c r="B25" s="7" t="s">
        <v>196</v>
      </c>
      <c r="C25" s="8"/>
      <c r="D25" s="8"/>
      <c r="E25" s="8"/>
      <c r="F25" s="8"/>
      <c r="G25" s="8"/>
      <c r="H25" s="8"/>
      <c r="I25" s="8"/>
      <c r="J25" s="8"/>
      <c r="K25" s="8"/>
      <c r="L25" s="8"/>
      <c r="M25" s="8"/>
      <c r="N25" s="8"/>
      <c r="O25" s="8"/>
      <c r="P25" s="8"/>
      <c r="Q25" s="8"/>
      <c r="R25" s="8"/>
      <c r="S25" s="8"/>
      <c r="T25" s="8"/>
      <c r="U25" s="8"/>
      <c r="V25" s="8"/>
      <c r="W25" s="8"/>
      <c r="X25" s="8"/>
      <c r="Y25" s="8"/>
    </row>
    <row r="26" spans="2:25" ht="18" customHeight="1" x14ac:dyDescent="0.45">
      <c r="B26" s="13" t="s">
        <v>197</v>
      </c>
    </row>
    <row r="27" spans="2:25" x14ac:dyDescent="0.45">
      <c r="B27" s="25" t="s">
        <v>198</v>
      </c>
      <c r="C27" s="26" t="s">
        <v>199</v>
      </c>
      <c r="D27" s="35"/>
      <c r="E27" s="35"/>
      <c r="F27" s="53">
        <f t="shared" ref="F27:Y27" ca="1" si="2">MAX(0,MIN(F$6,End_P2)-MAX(F$6-1,0))/Dur_P2</f>
        <v>0.50854680111045114</v>
      </c>
      <c r="G27" s="53">
        <f t="shared" ca="1" si="2"/>
        <v>0.49145319888954886</v>
      </c>
      <c r="H27" s="53">
        <f t="shared" ca="1" si="2"/>
        <v>0</v>
      </c>
      <c r="I27" s="53">
        <f t="shared" ca="1" si="2"/>
        <v>0</v>
      </c>
      <c r="J27" s="53">
        <f t="shared" ca="1" si="2"/>
        <v>0</v>
      </c>
      <c r="K27" s="53">
        <f t="shared" ca="1" si="2"/>
        <v>0</v>
      </c>
      <c r="L27" s="53">
        <f t="shared" ca="1" si="2"/>
        <v>0</v>
      </c>
      <c r="M27" s="53">
        <f t="shared" ca="1" si="2"/>
        <v>0</v>
      </c>
      <c r="N27" s="53">
        <f t="shared" ca="1" si="2"/>
        <v>0</v>
      </c>
      <c r="O27" s="53">
        <f t="shared" ca="1" si="2"/>
        <v>0</v>
      </c>
      <c r="P27" s="53">
        <f t="shared" ca="1" si="2"/>
        <v>0</v>
      </c>
      <c r="Q27" s="53">
        <f t="shared" ca="1" si="2"/>
        <v>0</v>
      </c>
      <c r="R27" s="53">
        <f t="shared" ca="1" si="2"/>
        <v>0</v>
      </c>
      <c r="S27" s="53">
        <f t="shared" ca="1" si="2"/>
        <v>0</v>
      </c>
      <c r="T27" s="53">
        <f t="shared" ca="1" si="2"/>
        <v>0</v>
      </c>
      <c r="U27" s="53">
        <f t="shared" ca="1" si="2"/>
        <v>0</v>
      </c>
      <c r="V27" s="53">
        <f t="shared" ca="1" si="2"/>
        <v>0</v>
      </c>
      <c r="W27" s="53">
        <f t="shared" ca="1" si="2"/>
        <v>0</v>
      </c>
      <c r="X27" s="53">
        <f t="shared" ca="1" si="2"/>
        <v>0</v>
      </c>
      <c r="Y27" s="53">
        <f t="shared" ca="1" si="2"/>
        <v>0</v>
      </c>
    </row>
    <row r="28" spans="2:25" x14ac:dyDescent="0.45">
      <c r="B28" s="25" t="s">
        <v>200</v>
      </c>
      <c r="C28" s="26" t="s">
        <v>199</v>
      </c>
      <c r="D28" s="35"/>
      <c r="E28" s="35"/>
      <c r="F28" s="53">
        <f t="shared" ref="F28:Y28" ca="1" si="3">MAX(0,MIN(F$6,End_P3)-MAX(F$6-1,End_P2))/Dur_P3</f>
        <v>0</v>
      </c>
      <c r="G28" s="53">
        <f t="shared" ca="1" si="3"/>
        <v>9.4348441353710195E-3</v>
      </c>
      <c r="H28" s="53">
        <f t="shared" ca="1" si="3"/>
        <v>0.28069331098342198</v>
      </c>
      <c r="I28" s="53">
        <f t="shared" ca="1" si="3"/>
        <v>0.28069331098342198</v>
      </c>
      <c r="J28" s="53">
        <f t="shared" ca="1" si="3"/>
        <v>0.28069331098342198</v>
      </c>
      <c r="K28" s="53">
        <f t="shared" ca="1" si="3"/>
        <v>0.14848522291436311</v>
      </c>
      <c r="L28" s="53">
        <f t="shared" ca="1" si="3"/>
        <v>0</v>
      </c>
      <c r="M28" s="53">
        <f t="shared" ca="1" si="3"/>
        <v>0</v>
      </c>
      <c r="N28" s="53">
        <f t="shared" ca="1" si="3"/>
        <v>0</v>
      </c>
      <c r="O28" s="53">
        <f t="shared" ca="1" si="3"/>
        <v>0</v>
      </c>
      <c r="P28" s="53">
        <f t="shared" ca="1" si="3"/>
        <v>0</v>
      </c>
      <c r="Q28" s="53">
        <f t="shared" ca="1" si="3"/>
        <v>0</v>
      </c>
      <c r="R28" s="53">
        <f t="shared" ca="1" si="3"/>
        <v>0</v>
      </c>
      <c r="S28" s="53">
        <f t="shared" ca="1" si="3"/>
        <v>0</v>
      </c>
      <c r="T28" s="53">
        <f t="shared" ca="1" si="3"/>
        <v>0</v>
      </c>
      <c r="U28" s="53">
        <f t="shared" ca="1" si="3"/>
        <v>0</v>
      </c>
      <c r="V28" s="53">
        <f t="shared" ca="1" si="3"/>
        <v>0</v>
      </c>
      <c r="W28" s="53">
        <f t="shared" ca="1" si="3"/>
        <v>0</v>
      </c>
      <c r="X28" s="53">
        <f t="shared" ca="1" si="3"/>
        <v>0</v>
      </c>
      <c r="Y28" s="53">
        <f t="shared" ca="1" si="3"/>
        <v>0</v>
      </c>
    </row>
    <row r="29" spans="2:25" x14ac:dyDescent="0.45">
      <c r="B29" s="25" t="s">
        <v>201</v>
      </c>
      <c r="C29" s="26" t="s">
        <v>199</v>
      </c>
      <c r="D29" s="35"/>
      <c r="E29" s="35"/>
      <c r="F29" s="53">
        <f t="shared" ref="F29:Y29" ca="1" si="4">MAX(0,MIN(F$6,End_Rev)-MAX(F$6-1,End_P3))/Dur_Rev</f>
        <v>0</v>
      </c>
      <c r="G29" s="53">
        <f t="shared" ca="1" si="4"/>
        <v>0</v>
      </c>
      <c r="H29" s="53">
        <f t="shared" ca="1" si="4"/>
        <v>0</v>
      </c>
      <c r="I29" s="53">
        <f t="shared" ca="1" si="4"/>
        <v>0</v>
      </c>
      <c r="J29" s="53">
        <f t="shared" ca="1" si="4"/>
        <v>0</v>
      </c>
      <c r="K29" s="53">
        <f t="shared" ca="1" si="4"/>
        <v>0.38265760701924006</v>
      </c>
      <c r="L29" s="53">
        <f t="shared" ca="1" si="4"/>
        <v>0.6173423929807601</v>
      </c>
      <c r="M29" s="53">
        <f t="shared" ca="1" si="4"/>
        <v>0</v>
      </c>
      <c r="N29" s="53">
        <f t="shared" ca="1" si="4"/>
        <v>0</v>
      </c>
      <c r="O29" s="53">
        <f t="shared" ca="1" si="4"/>
        <v>0</v>
      </c>
      <c r="P29" s="53">
        <f t="shared" ca="1" si="4"/>
        <v>0</v>
      </c>
      <c r="Q29" s="53">
        <f t="shared" ca="1" si="4"/>
        <v>0</v>
      </c>
      <c r="R29" s="53">
        <f t="shared" ca="1" si="4"/>
        <v>0</v>
      </c>
      <c r="S29" s="53">
        <f t="shared" ca="1" si="4"/>
        <v>0</v>
      </c>
      <c r="T29" s="53">
        <f t="shared" ca="1" si="4"/>
        <v>0</v>
      </c>
      <c r="U29" s="53">
        <f t="shared" ca="1" si="4"/>
        <v>0</v>
      </c>
      <c r="V29" s="53">
        <f t="shared" ca="1" si="4"/>
        <v>0</v>
      </c>
      <c r="W29" s="53">
        <f t="shared" ca="1" si="4"/>
        <v>0</v>
      </c>
      <c r="X29" s="53">
        <f t="shared" ca="1" si="4"/>
        <v>0</v>
      </c>
      <c r="Y29" s="53">
        <f t="shared" ca="1" si="4"/>
        <v>0</v>
      </c>
    </row>
    <row r="30" spans="2:25" x14ac:dyDescent="0.45">
      <c r="B30" s="25" t="s">
        <v>202</v>
      </c>
      <c r="C30" s="26" t="s">
        <v>112</v>
      </c>
      <c r="D30" s="54">
        <f ca="1">SUM(F30:Y30)</f>
        <v>30.158261005990987</v>
      </c>
      <c r="E30" s="35"/>
      <c r="F30" s="33">
        <f t="shared" ref="F30:Y30" ca="1" si="5">Cost_P2*F27</f>
        <v>15.336887161650772</v>
      </c>
      <c r="G30" s="33">
        <f t="shared" ca="1" si="5"/>
        <v>14.821373844340215</v>
      </c>
      <c r="H30" s="33">
        <f t="shared" ca="1" si="5"/>
        <v>0</v>
      </c>
      <c r="I30" s="33">
        <f t="shared" ca="1" si="5"/>
        <v>0</v>
      </c>
      <c r="J30" s="33">
        <f t="shared" ca="1" si="5"/>
        <v>0</v>
      </c>
      <c r="K30" s="33">
        <f t="shared" ca="1" si="5"/>
        <v>0</v>
      </c>
      <c r="L30" s="33">
        <f t="shared" ca="1" si="5"/>
        <v>0</v>
      </c>
      <c r="M30" s="33">
        <f t="shared" ca="1" si="5"/>
        <v>0</v>
      </c>
      <c r="N30" s="33">
        <f t="shared" ca="1" si="5"/>
        <v>0</v>
      </c>
      <c r="O30" s="33">
        <f t="shared" ca="1" si="5"/>
        <v>0</v>
      </c>
      <c r="P30" s="33">
        <f t="shared" ca="1" si="5"/>
        <v>0</v>
      </c>
      <c r="Q30" s="33">
        <f t="shared" ca="1" si="5"/>
        <v>0</v>
      </c>
      <c r="R30" s="33">
        <f t="shared" ca="1" si="5"/>
        <v>0</v>
      </c>
      <c r="S30" s="33">
        <f t="shared" ca="1" si="5"/>
        <v>0</v>
      </c>
      <c r="T30" s="33">
        <f t="shared" ca="1" si="5"/>
        <v>0</v>
      </c>
      <c r="U30" s="33">
        <f t="shared" ca="1" si="5"/>
        <v>0</v>
      </c>
      <c r="V30" s="33">
        <f t="shared" ca="1" si="5"/>
        <v>0</v>
      </c>
      <c r="W30" s="33">
        <f t="shared" ca="1" si="5"/>
        <v>0</v>
      </c>
      <c r="X30" s="33">
        <f t="shared" ca="1" si="5"/>
        <v>0</v>
      </c>
      <c r="Y30" s="33">
        <f t="shared" ca="1" si="5"/>
        <v>0</v>
      </c>
    </row>
    <row r="31" spans="2:25" x14ac:dyDescent="0.45">
      <c r="B31" s="25" t="s">
        <v>203</v>
      </c>
      <c r="C31" s="26" t="s">
        <v>112</v>
      </c>
      <c r="D31" s="54">
        <f ca="1">SUM(F31:Y31)</f>
        <v>165.90185335866627</v>
      </c>
      <c r="E31" s="35"/>
      <c r="F31" s="33">
        <f t="shared" ref="F31:Y31" ca="1" si="6">Pass_P2*Cost_P3*F28</f>
        <v>0</v>
      </c>
      <c r="G31" s="33">
        <f t="shared" ca="1" si="6"/>
        <v>1.565258128208195</v>
      </c>
      <c r="H31" s="33">
        <f t="shared" ca="1" si="6"/>
        <v>46.567540517530176</v>
      </c>
      <c r="I31" s="33">
        <f t="shared" ca="1" si="6"/>
        <v>46.567540517530176</v>
      </c>
      <c r="J31" s="33">
        <f t="shared" ca="1" si="6"/>
        <v>46.567540517530176</v>
      </c>
      <c r="K31" s="33">
        <f t="shared" ca="1" si="6"/>
        <v>24.633973677867537</v>
      </c>
      <c r="L31" s="33">
        <f t="shared" ca="1" si="6"/>
        <v>0</v>
      </c>
      <c r="M31" s="33">
        <f t="shared" ca="1" si="6"/>
        <v>0</v>
      </c>
      <c r="N31" s="33">
        <f t="shared" ca="1" si="6"/>
        <v>0</v>
      </c>
      <c r="O31" s="33">
        <f t="shared" ca="1" si="6"/>
        <v>0</v>
      </c>
      <c r="P31" s="33">
        <f t="shared" ca="1" si="6"/>
        <v>0</v>
      </c>
      <c r="Q31" s="33">
        <f t="shared" ca="1" si="6"/>
        <v>0</v>
      </c>
      <c r="R31" s="33">
        <f t="shared" ca="1" si="6"/>
        <v>0</v>
      </c>
      <c r="S31" s="33">
        <f t="shared" ca="1" si="6"/>
        <v>0</v>
      </c>
      <c r="T31" s="33">
        <f t="shared" ca="1" si="6"/>
        <v>0</v>
      </c>
      <c r="U31" s="33">
        <f t="shared" ca="1" si="6"/>
        <v>0</v>
      </c>
      <c r="V31" s="33">
        <f t="shared" ca="1" si="6"/>
        <v>0</v>
      </c>
      <c r="W31" s="33">
        <f t="shared" ca="1" si="6"/>
        <v>0</v>
      </c>
      <c r="X31" s="33">
        <f t="shared" ca="1" si="6"/>
        <v>0</v>
      </c>
      <c r="Y31" s="33">
        <f t="shared" ca="1" si="6"/>
        <v>0</v>
      </c>
    </row>
    <row r="32" spans="2:25" x14ac:dyDescent="0.45">
      <c r="B32" s="25" t="s">
        <v>204</v>
      </c>
      <c r="C32" s="26" t="s">
        <v>112</v>
      </c>
      <c r="D32" s="54">
        <f ca="1">SUM(F32:Y32)</f>
        <v>4.9684349643721681</v>
      </c>
      <c r="E32" s="35"/>
      <c r="F32" s="33">
        <f t="shared" ref="F32:Y32" ca="1" si="7">Pass_P2*Pass_P3*Cost_Rev*F29</f>
        <v>0</v>
      </c>
      <c r="G32" s="33">
        <f t="shared" ca="1" si="7"/>
        <v>0</v>
      </c>
      <c r="H32" s="33">
        <f t="shared" ca="1" si="7"/>
        <v>0</v>
      </c>
      <c r="I32" s="33">
        <f t="shared" ca="1" si="7"/>
        <v>0</v>
      </c>
      <c r="J32" s="33">
        <f t="shared" ca="1" si="7"/>
        <v>0</v>
      </c>
      <c r="K32" s="33">
        <f t="shared" ca="1" si="7"/>
        <v>1.9012094340973769</v>
      </c>
      <c r="L32" s="33">
        <f t="shared" ca="1" si="7"/>
        <v>3.0672255302747913</v>
      </c>
      <c r="M32" s="33">
        <f t="shared" ca="1" si="7"/>
        <v>0</v>
      </c>
      <c r="N32" s="33">
        <f t="shared" ca="1" si="7"/>
        <v>0</v>
      </c>
      <c r="O32" s="33">
        <f t="shared" ca="1" si="7"/>
        <v>0</v>
      </c>
      <c r="P32" s="33">
        <f t="shared" ca="1" si="7"/>
        <v>0</v>
      </c>
      <c r="Q32" s="33">
        <f t="shared" ca="1" si="7"/>
        <v>0</v>
      </c>
      <c r="R32" s="33">
        <f t="shared" ca="1" si="7"/>
        <v>0</v>
      </c>
      <c r="S32" s="33">
        <f t="shared" ca="1" si="7"/>
        <v>0</v>
      </c>
      <c r="T32" s="33">
        <f t="shared" ca="1" si="7"/>
        <v>0</v>
      </c>
      <c r="U32" s="33">
        <f t="shared" ca="1" si="7"/>
        <v>0</v>
      </c>
      <c r="V32" s="33">
        <f t="shared" ca="1" si="7"/>
        <v>0</v>
      </c>
      <c r="W32" s="33">
        <f t="shared" ca="1" si="7"/>
        <v>0</v>
      </c>
      <c r="X32" s="33">
        <f t="shared" ca="1" si="7"/>
        <v>0</v>
      </c>
      <c r="Y32" s="33">
        <f t="shared" ca="1" si="7"/>
        <v>0</v>
      </c>
    </row>
    <row r="33" spans="2:25" ht="8" customHeight="1" x14ac:dyDescent="0.45"/>
    <row r="34" spans="2:25" ht="22.05" customHeight="1" x14ac:dyDescent="0.5">
      <c r="B34" s="7" t="s">
        <v>205</v>
      </c>
      <c r="C34" s="8"/>
      <c r="D34" s="8"/>
      <c r="E34" s="8"/>
      <c r="F34" s="8"/>
      <c r="G34" s="8"/>
      <c r="H34" s="8"/>
      <c r="I34" s="8"/>
      <c r="J34" s="8"/>
      <c r="K34" s="8"/>
      <c r="L34" s="8"/>
      <c r="M34" s="8"/>
      <c r="N34" s="8"/>
      <c r="O34" s="8"/>
      <c r="P34" s="8"/>
      <c r="Q34" s="8"/>
      <c r="R34" s="8"/>
      <c r="S34" s="8"/>
      <c r="T34" s="8"/>
      <c r="U34" s="8"/>
      <c r="V34" s="8"/>
      <c r="W34" s="8"/>
      <c r="X34" s="8"/>
      <c r="Y34" s="8"/>
    </row>
    <row r="35" spans="2:25" ht="18" customHeight="1" x14ac:dyDescent="0.45">
      <c r="B35" s="13" t="s">
        <v>206</v>
      </c>
    </row>
    <row r="36" spans="2:25" x14ac:dyDescent="0.45">
      <c r="B36" s="25" t="s">
        <v>207</v>
      </c>
      <c r="C36" s="26" t="s">
        <v>136</v>
      </c>
      <c r="D36" s="35"/>
      <c r="E36" s="35"/>
      <c r="F36" s="53">
        <f t="shared" ref="F36:Y36" ca="1" si="8">MAX(0,MIN(1,(F$6-0.5-End_Rev)/YearsToPeak))</f>
        <v>0</v>
      </c>
      <c r="G36" s="53">
        <f t="shared" ca="1" si="8"/>
        <v>0</v>
      </c>
      <c r="H36" s="53">
        <f t="shared" ca="1" si="8"/>
        <v>0</v>
      </c>
      <c r="I36" s="53">
        <f t="shared" ca="1" si="8"/>
        <v>0</v>
      </c>
      <c r="J36" s="53">
        <f t="shared" ca="1" si="8"/>
        <v>0</v>
      </c>
      <c r="K36" s="53">
        <f t="shared" ca="1" si="8"/>
        <v>0</v>
      </c>
      <c r="L36" s="53">
        <f t="shared" ca="1" si="8"/>
        <v>0</v>
      </c>
      <c r="M36" s="53">
        <f t="shared" ca="1" si="8"/>
        <v>0.18503144477686839</v>
      </c>
      <c r="N36" s="53">
        <f t="shared" ca="1" si="8"/>
        <v>0.43503144477686839</v>
      </c>
      <c r="O36" s="53">
        <f t="shared" ca="1" si="8"/>
        <v>0.68503144477686839</v>
      </c>
      <c r="P36" s="53">
        <f t="shared" ca="1" si="8"/>
        <v>0.93503144477686839</v>
      </c>
      <c r="Q36" s="53">
        <f t="shared" ca="1" si="8"/>
        <v>1</v>
      </c>
      <c r="R36" s="53">
        <f t="shared" ca="1" si="8"/>
        <v>1</v>
      </c>
      <c r="S36" s="53">
        <f t="shared" ca="1" si="8"/>
        <v>1</v>
      </c>
      <c r="T36" s="53">
        <f t="shared" ca="1" si="8"/>
        <v>1</v>
      </c>
      <c r="U36" s="53">
        <f t="shared" ca="1" si="8"/>
        <v>1</v>
      </c>
      <c r="V36" s="53">
        <f t="shared" ca="1" si="8"/>
        <v>1</v>
      </c>
      <c r="W36" s="53">
        <f t="shared" ca="1" si="8"/>
        <v>1</v>
      </c>
      <c r="X36" s="53">
        <f t="shared" ca="1" si="8"/>
        <v>1</v>
      </c>
      <c r="Y36" s="53">
        <f t="shared" ca="1" si="8"/>
        <v>1</v>
      </c>
    </row>
    <row r="37" spans="2:25" x14ac:dyDescent="0.45">
      <c r="B37" s="25" t="s">
        <v>208</v>
      </c>
      <c r="C37" s="26" t="s">
        <v>108</v>
      </c>
      <c r="D37" s="35"/>
      <c r="E37" s="35"/>
      <c r="F37" s="51">
        <f t="shared" ref="F37:Y37" si="9">MAX(0,FirstYear-1+F$6-Expiry)</f>
        <v>0</v>
      </c>
      <c r="G37" s="51">
        <f t="shared" si="9"/>
        <v>0</v>
      </c>
      <c r="H37" s="51">
        <f t="shared" si="9"/>
        <v>0</v>
      </c>
      <c r="I37" s="51">
        <f t="shared" si="9"/>
        <v>0</v>
      </c>
      <c r="J37" s="51">
        <f t="shared" si="9"/>
        <v>0</v>
      </c>
      <c r="K37" s="51">
        <f t="shared" si="9"/>
        <v>0</v>
      </c>
      <c r="L37" s="51">
        <f t="shared" si="9"/>
        <v>0</v>
      </c>
      <c r="M37" s="51">
        <f t="shared" si="9"/>
        <v>0</v>
      </c>
      <c r="N37" s="51">
        <f t="shared" si="9"/>
        <v>0</v>
      </c>
      <c r="O37" s="51">
        <f t="shared" si="9"/>
        <v>0</v>
      </c>
      <c r="P37" s="51">
        <f t="shared" si="9"/>
        <v>0</v>
      </c>
      <c r="Q37" s="51">
        <f t="shared" si="9"/>
        <v>0</v>
      </c>
      <c r="R37" s="51">
        <f t="shared" si="9"/>
        <v>0</v>
      </c>
      <c r="S37" s="51">
        <f t="shared" si="9"/>
        <v>0</v>
      </c>
      <c r="T37" s="51">
        <f t="shared" si="9"/>
        <v>0</v>
      </c>
      <c r="U37" s="51">
        <f t="shared" si="9"/>
        <v>1</v>
      </c>
      <c r="V37" s="51">
        <f t="shared" si="9"/>
        <v>2</v>
      </c>
      <c r="W37" s="51">
        <f t="shared" si="9"/>
        <v>3</v>
      </c>
      <c r="X37" s="51">
        <f t="shared" si="9"/>
        <v>4</v>
      </c>
      <c r="Y37" s="51">
        <f t="shared" si="9"/>
        <v>5</v>
      </c>
    </row>
    <row r="38" spans="2:25" x14ac:dyDescent="0.45">
      <c r="B38" s="25" t="s">
        <v>209</v>
      </c>
      <c r="C38" s="26" t="s">
        <v>136</v>
      </c>
      <c r="D38" s="35"/>
      <c r="E38" s="35"/>
      <c r="F38" s="53">
        <f t="shared" ref="F38:Y38" si="10">IF(F37=0,1,IF(F37&lt;=3,CHOOSE(F37,Ero_1,Ero_2,Ero_3),Ero_Tail))</f>
        <v>1</v>
      </c>
      <c r="G38" s="53">
        <f t="shared" si="10"/>
        <v>1</v>
      </c>
      <c r="H38" s="53">
        <f t="shared" si="10"/>
        <v>1</v>
      </c>
      <c r="I38" s="53">
        <f t="shared" si="10"/>
        <v>1</v>
      </c>
      <c r="J38" s="53">
        <f t="shared" si="10"/>
        <v>1</v>
      </c>
      <c r="K38" s="53">
        <f t="shared" si="10"/>
        <v>1</v>
      </c>
      <c r="L38" s="53">
        <f t="shared" si="10"/>
        <v>1</v>
      </c>
      <c r="M38" s="53">
        <f t="shared" si="10"/>
        <v>1</v>
      </c>
      <c r="N38" s="53">
        <f t="shared" si="10"/>
        <v>1</v>
      </c>
      <c r="O38" s="53">
        <f t="shared" si="10"/>
        <v>1</v>
      </c>
      <c r="P38" s="53">
        <f t="shared" si="10"/>
        <v>1</v>
      </c>
      <c r="Q38" s="53">
        <f t="shared" si="10"/>
        <v>1</v>
      </c>
      <c r="R38" s="53">
        <f t="shared" si="10"/>
        <v>1</v>
      </c>
      <c r="S38" s="53">
        <f t="shared" si="10"/>
        <v>1</v>
      </c>
      <c r="T38" s="53">
        <f t="shared" si="10"/>
        <v>1</v>
      </c>
      <c r="U38" s="53">
        <f t="shared" si="10"/>
        <v>0.35</v>
      </c>
      <c r="V38" s="53">
        <f t="shared" si="10"/>
        <v>0.15</v>
      </c>
      <c r="W38" s="53">
        <f t="shared" si="10"/>
        <v>0.1</v>
      </c>
      <c r="X38" s="53">
        <f t="shared" si="10"/>
        <v>0.05</v>
      </c>
      <c r="Y38" s="53">
        <f t="shared" si="10"/>
        <v>0.05</v>
      </c>
    </row>
    <row r="39" spans="2:25" x14ac:dyDescent="0.45">
      <c r="B39" s="55" t="s">
        <v>68</v>
      </c>
      <c r="C39" s="26" t="s">
        <v>112</v>
      </c>
      <c r="D39" s="54">
        <f ca="1">SUM(F39:Y39)</f>
        <v>4425.5826357684455</v>
      </c>
      <c r="E39" s="35"/>
      <c r="F39" s="54">
        <f t="shared" ref="F39:Y39" ca="1" si="11">Launched*Peak*MIN(F36,F38)</f>
        <v>0</v>
      </c>
      <c r="G39" s="54">
        <f t="shared" ca="1" si="11"/>
        <v>0</v>
      </c>
      <c r="H39" s="54">
        <f t="shared" ca="1" si="11"/>
        <v>0</v>
      </c>
      <c r="I39" s="54">
        <f t="shared" ca="1" si="11"/>
        <v>0</v>
      </c>
      <c r="J39" s="54">
        <f t="shared" ca="1" si="11"/>
        <v>0</v>
      </c>
      <c r="K39" s="54">
        <f t="shared" ca="1" si="11"/>
        <v>0</v>
      </c>
      <c r="L39" s="54">
        <f t="shared" ca="1" si="11"/>
        <v>0</v>
      </c>
      <c r="M39" s="54">
        <f t="shared" ca="1" si="11"/>
        <v>117.99093779262411</v>
      </c>
      <c r="N39" s="54">
        <f t="shared" ca="1" si="11"/>
        <v>277.41105410705757</v>
      </c>
      <c r="O39" s="54">
        <f t="shared" ca="1" si="11"/>
        <v>436.83117042149098</v>
      </c>
      <c r="P39" s="54">
        <f t="shared" ca="1" si="11"/>
        <v>596.2512867359244</v>
      </c>
      <c r="Q39" s="54">
        <f t="shared" ca="1" si="11"/>
        <v>637.68046525773377</v>
      </c>
      <c r="R39" s="54">
        <f t="shared" ca="1" si="11"/>
        <v>637.68046525773377</v>
      </c>
      <c r="S39" s="54">
        <f t="shared" ca="1" si="11"/>
        <v>637.68046525773377</v>
      </c>
      <c r="T39" s="54">
        <f t="shared" ca="1" si="11"/>
        <v>637.68046525773377</v>
      </c>
      <c r="U39" s="54">
        <f t="shared" ca="1" si="11"/>
        <v>223.18816284020681</v>
      </c>
      <c r="V39" s="54">
        <f t="shared" ca="1" si="11"/>
        <v>95.652069788660057</v>
      </c>
      <c r="W39" s="54">
        <f t="shared" ca="1" si="11"/>
        <v>63.768046525773379</v>
      </c>
      <c r="X39" s="54">
        <f t="shared" ca="1" si="11"/>
        <v>31.884023262886689</v>
      </c>
      <c r="Y39" s="54">
        <f t="shared" ca="1" si="11"/>
        <v>31.884023262886689</v>
      </c>
    </row>
    <row r="40" spans="2:25" ht="8" customHeight="1" x14ac:dyDescent="0.45"/>
    <row r="41" spans="2:25" ht="22.05" customHeight="1" x14ac:dyDescent="0.5">
      <c r="B41" s="7" t="s">
        <v>210</v>
      </c>
      <c r="C41" s="8"/>
      <c r="D41" s="8"/>
      <c r="E41" s="8"/>
      <c r="F41" s="8"/>
      <c r="G41" s="8"/>
      <c r="H41" s="8"/>
      <c r="I41" s="8"/>
      <c r="J41" s="8"/>
      <c r="K41" s="8"/>
      <c r="L41" s="8"/>
      <c r="M41" s="8"/>
      <c r="N41" s="8"/>
      <c r="O41" s="8"/>
      <c r="P41" s="8"/>
      <c r="Q41" s="8"/>
      <c r="R41" s="8"/>
      <c r="S41" s="8"/>
      <c r="T41" s="8"/>
      <c r="U41" s="8"/>
      <c r="V41" s="8"/>
      <c r="W41" s="8"/>
      <c r="X41" s="8"/>
      <c r="Y41" s="8"/>
    </row>
    <row r="42" spans="2:25" x14ac:dyDescent="0.45">
      <c r="B42" s="25" t="s">
        <v>211</v>
      </c>
      <c r="C42" s="26" t="s">
        <v>112</v>
      </c>
      <c r="D42" s="54">
        <f ca="1">SUM(F42:Y42)</f>
        <v>-201.02854932902943</v>
      </c>
      <c r="E42" s="35"/>
      <c r="F42" s="33">
        <f t="shared" ref="F42:Y42" ca="1" si="12">-(F30+F31+F32)</f>
        <v>-15.336887161650772</v>
      </c>
      <c r="G42" s="33">
        <f t="shared" ca="1" si="12"/>
        <v>-16.386631972548411</v>
      </c>
      <c r="H42" s="33">
        <f t="shared" ca="1" si="12"/>
        <v>-46.567540517530176</v>
      </c>
      <c r="I42" s="33">
        <f t="shared" ca="1" si="12"/>
        <v>-46.567540517530176</v>
      </c>
      <c r="J42" s="33">
        <f t="shared" ca="1" si="12"/>
        <v>-46.567540517530176</v>
      </c>
      <c r="K42" s="33">
        <f t="shared" ca="1" si="12"/>
        <v>-26.535183111964916</v>
      </c>
      <c r="L42" s="33">
        <f t="shared" ca="1" si="12"/>
        <v>-3.0672255302747913</v>
      </c>
      <c r="M42" s="33">
        <f t="shared" ca="1" si="12"/>
        <v>0</v>
      </c>
      <c r="N42" s="33">
        <f t="shared" ca="1" si="12"/>
        <v>0</v>
      </c>
      <c r="O42" s="33">
        <f t="shared" ca="1" si="12"/>
        <v>0</v>
      </c>
      <c r="P42" s="33">
        <f t="shared" ca="1" si="12"/>
        <v>0</v>
      </c>
      <c r="Q42" s="33">
        <f t="shared" ca="1" si="12"/>
        <v>0</v>
      </c>
      <c r="R42" s="33">
        <f t="shared" ca="1" si="12"/>
        <v>0</v>
      </c>
      <c r="S42" s="33">
        <f t="shared" ca="1" si="12"/>
        <v>0</v>
      </c>
      <c r="T42" s="33">
        <f t="shared" ca="1" si="12"/>
        <v>0</v>
      </c>
      <c r="U42" s="33">
        <f t="shared" ca="1" si="12"/>
        <v>0</v>
      </c>
      <c r="V42" s="33">
        <f t="shared" ca="1" si="12"/>
        <v>0</v>
      </c>
      <c r="W42" s="33">
        <f t="shared" ca="1" si="12"/>
        <v>0</v>
      </c>
      <c r="X42" s="33">
        <f t="shared" ca="1" si="12"/>
        <v>0</v>
      </c>
      <c r="Y42" s="33">
        <f t="shared" ca="1" si="12"/>
        <v>0</v>
      </c>
    </row>
    <row r="43" spans="2:25" x14ac:dyDescent="0.45">
      <c r="B43" s="25" t="s">
        <v>144</v>
      </c>
      <c r="C43" s="26" t="s">
        <v>112</v>
      </c>
      <c r="D43" s="54">
        <f ca="1">SUM(F43:Y43)</f>
        <v>-80</v>
      </c>
      <c r="E43" s="35"/>
      <c r="F43" s="33">
        <f t="shared" ref="F43:Y43" ca="1" si="13">IF(F$6=Yr_Rev,-Launched*LaunchCost,0)</f>
        <v>0</v>
      </c>
      <c r="G43" s="33">
        <f t="shared" ca="1" si="13"/>
        <v>0</v>
      </c>
      <c r="H43" s="33">
        <f t="shared" ca="1" si="13"/>
        <v>0</v>
      </c>
      <c r="I43" s="33">
        <f t="shared" ca="1" si="13"/>
        <v>0</v>
      </c>
      <c r="J43" s="33">
        <f t="shared" ca="1" si="13"/>
        <v>0</v>
      </c>
      <c r="K43" s="33">
        <f t="shared" ca="1" si="13"/>
        <v>0</v>
      </c>
      <c r="L43" s="33">
        <f t="shared" ca="1" si="13"/>
        <v>-80</v>
      </c>
      <c r="M43" s="33">
        <f t="shared" ca="1" si="13"/>
        <v>0</v>
      </c>
      <c r="N43" s="33">
        <f t="shared" ca="1" si="13"/>
        <v>0</v>
      </c>
      <c r="O43" s="33">
        <f t="shared" ca="1" si="13"/>
        <v>0</v>
      </c>
      <c r="P43" s="33">
        <f t="shared" ca="1" si="13"/>
        <v>0</v>
      </c>
      <c r="Q43" s="33">
        <f t="shared" ca="1" si="13"/>
        <v>0</v>
      </c>
      <c r="R43" s="33">
        <f t="shared" ca="1" si="13"/>
        <v>0</v>
      </c>
      <c r="S43" s="33">
        <f t="shared" ca="1" si="13"/>
        <v>0</v>
      </c>
      <c r="T43" s="33">
        <f t="shared" ca="1" si="13"/>
        <v>0</v>
      </c>
      <c r="U43" s="33">
        <f t="shared" ca="1" si="13"/>
        <v>0</v>
      </c>
      <c r="V43" s="33">
        <f t="shared" ca="1" si="13"/>
        <v>0</v>
      </c>
      <c r="W43" s="33">
        <f t="shared" ca="1" si="13"/>
        <v>0</v>
      </c>
      <c r="X43" s="33">
        <f t="shared" ca="1" si="13"/>
        <v>0</v>
      </c>
      <c r="Y43" s="33">
        <f t="shared" ca="1" si="13"/>
        <v>0</v>
      </c>
    </row>
    <row r="44" spans="2:25" x14ac:dyDescent="0.45">
      <c r="B44" s="25" t="s">
        <v>212</v>
      </c>
      <c r="C44" s="26" t="s">
        <v>112</v>
      </c>
      <c r="D44" s="54">
        <f ca="1">SUM(F44:Y44)</f>
        <v>1991.5121860958006</v>
      </c>
      <c r="E44" s="35"/>
      <c r="F44" s="33">
        <f t="shared" ref="F44:Y44" ca="1" si="14">Margin*F39</f>
        <v>0</v>
      </c>
      <c r="G44" s="33">
        <f t="shared" ca="1" si="14"/>
        <v>0</v>
      </c>
      <c r="H44" s="33">
        <f t="shared" ca="1" si="14"/>
        <v>0</v>
      </c>
      <c r="I44" s="33">
        <f t="shared" ca="1" si="14"/>
        <v>0</v>
      </c>
      <c r="J44" s="33">
        <f t="shared" ca="1" si="14"/>
        <v>0</v>
      </c>
      <c r="K44" s="33">
        <f t="shared" ca="1" si="14"/>
        <v>0</v>
      </c>
      <c r="L44" s="33">
        <f t="shared" ca="1" si="14"/>
        <v>0</v>
      </c>
      <c r="M44" s="33">
        <f t="shared" ca="1" si="14"/>
        <v>53.095922006680851</v>
      </c>
      <c r="N44" s="33">
        <f t="shared" ca="1" si="14"/>
        <v>124.8349743481759</v>
      </c>
      <c r="O44" s="33">
        <f t="shared" ca="1" si="14"/>
        <v>196.57402668967094</v>
      </c>
      <c r="P44" s="33">
        <f t="shared" ca="1" si="14"/>
        <v>268.31307903116601</v>
      </c>
      <c r="Q44" s="33">
        <f t="shared" ca="1" si="14"/>
        <v>286.95620936598021</v>
      </c>
      <c r="R44" s="33">
        <f t="shared" ca="1" si="14"/>
        <v>286.95620936598021</v>
      </c>
      <c r="S44" s="33">
        <f t="shared" ca="1" si="14"/>
        <v>286.95620936598021</v>
      </c>
      <c r="T44" s="33">
        <f t="shared" ca="1" si="14"/>
        <v>286.95620936598021</v>
      </c>
      <c r="U44" s="33">
        <f t="shared" ca="1" si="14"/>
        <v>100.43467327809307</v>
      </c>
      <c r="V44" s="33">
        <f t="shared" ca="1" si="14"/>
        <v>43.043431404897028</v>
      </c>
      <c r="W44" s="33">
        <f t="shared" ca="1" si="14"/>
        <v>28.695620936598022</v>
      </c>
      <c r="X44" s="33">
        <f t="shared" ca="1" si="14"/>
        <v>14.347810468299011</v>
      </c>
      <c r="Y44" s="33">
        <f t="shared" ca="1" si="14"/>
        <v>14.347810468299011</v>
      </c>
    </row>
    <row r="45" spans="2:25" x14ac:dyDescent="0.45">
      <c r="B45" s="55" t="s">
        <v>213</v>
      </c>
      <c r="C45" s="26" t="s">
        <v>112</v>
      </c>
      <c r="D45" s="54">
        <f ca="1">SUM(F45:Y45)</f>
        <v>1710.4836367667713</v>
      </c>
      <c r="E45" s="35"/>
      <c r="F45" s="54">
        <f t="shared" ref="F45:Y45" ca="1" si="15">F42+F43+F44</f>
        <v>-15.336887161650772</v>
      </c>
      <c r="G45" s="54">
        <f t="shared" ca="1" si="15"/>
        <v>-16.386631972548411</v>
      </c>
      <c r="H45" s="54">
        <f t="shared" ca="1" si="15"/>
        <v>-46.567540517530176</v>
      </c>
      <c r="I45" s="54">
        <f t="shared" ca="1" si="15"/>
        <v>-46.567540517530176</v>
      </c>
      <c r="J45" s="54">
        <f t="shared" ca="1" si="15"/>
        <v>-46.567540517530176</v>
      </c>
      <c r="K45" s="54">
        <f t="shared" ca="1" si="15"/>
        <v>-26.535183111964916</v>
      </c>
      <c r="L45" s="54">
        <f t="shared" ca="1" si="15"/>
        <v>-83.067225530274797</v>
      </c>
      <c r="M45" s="54">
        <f t="shared" ca="1" si="15"/>
        <v>53.095922006680851</v>
      </c>
      <c r="N45" s="54">
        <f t="shared" ca="1" si="15"/>
        <v>124.8349743481759</v>
      </c>
      <c r="O45" s="54">
        <f t="shared" ca="1" si="15"/>
        <v>196.57402668967094</v>
      </c>
      <c r="P45" s="54">
        <f t="shared" ca="1" si="15"/>
        <v>268.31307903116601</v>
      </c>
      <c r="Q45" s="54">
        <f t="shared" ca="1" si="15"/>
        <v>286.95620936598021</v>
      </c>
      <c r="R45" s="54">
        <f t="shared" ca="1" si="15"/>
        <v>286.95620936598021</v>
      </c>
      <c r="S45" s="54">
        <f t="shared" ca="1" si="15"/>
        <v>286.95620936598021</v>
      </c>
      <c r="T45" s="54">
        <f t="shared" ca="1" si="15"/>
        <v>286.95620936598021</v>
      </c>
      <c r="U45" s="54">
        <f t="shared" ca="1" si="15"/>
        <v>100.43467327809307</v>
      </c>
      <c r="V45" s="54">
        <f t="shared" ca="1" si="15"/>
        <v>43.043431404897028</v>
      </c>
      <c r="W45" s="54">
        <f t="shared" ca="1" si="15"/>
        <v>28.695620936598022</v>
      </c>
      <c r="X45" s="54">
        <f t="shared" ca="1" si="15"/>
        <v>14.347810468299011</v>
      </c>
      <c r="Y45" s="54">
        <f t="shared" ca="1" si="15"/>
        <v>14.347810468299011</v>
      </c>
    </row>
    <row r="46" spans="2:25" x14ac:dyDescent="0.45">
      <c r="B46" s="25" t="s">
        <v>214</v>
      </c>
      <c r="C46" s="26"/>
      <c r="D46" s="35"/>
      <c r="E46" s="35"/>
      <c r="F46" s="56">
        <f t="shared" ref="F46:Y46" si="16">1/(1+Disc)^(F$6-0.5)</f>
        <v>0.95346258924559224</v>
      </c>
      <c r="G46" s="56">
        <f t="shared" si="16"/>
        <v>0.86678417204144742</v>
      </c>
      <c r="H46" s="56">
        <f t="shared" si="16"/>
        <v>0.78798561094677033</v>
      </c>
      <c r="I46" s="56">
        <f t="shared" si="16"/>
        <v>0.71635055540615489</v>
      </c>
      <c r="J46" s="56">
        <f t="shared" si="16"/>
        <v>0.65122777764195883</v>
      </c>
      <c r="K46" s="56">
        <f t="shared" si="16"/>
        <v>0.59202525240178083</v>
      </c>
      <c r="L46" s="56">
        <f t="shared" si="16"/>
        <v>0.53820477491070973</v>
      </c>
      <c r="M46" s="56">
        <f t="shared" si="16"/>
        <v>0.48927706810064514</v>
      </c>
      <c r="N46" s="56">
        <f t="shared" si="16"/>
        <v>0.44479733463695009</v>
      </c>
      <c r="O46" s="56">
        <f t="shared" si="16"/>
        <v>0.4043612133063183</v>
      </c>
      <c r="P46" s="56">
        <f t="shared" si="16"/>
        <v>0.36760110300574383</v>
      </c>
      <c r="Q46" s="56">
        <f t="shared" si="16"/>
        <v>0.33418282091431251</v>
      </c>
      <c r="R46" s="56">
        <f t="shared" si="16"/>
        <v>0.30380256446755688</v>
      </c>
      <c r="S46" s="56">
        <f t="shared" si="16"/>
        <v>0.27618414951596076</v>
      </c>
      <c r="T46" s="56">
        <f t="shared" si="16"/>
        <v>0.25107649955996431</v>
      </c>
      <c r="U46" s="56">
        <f t="shared" si="16"/>
        <v>0.22825136323633116</v>
      </c>
      <c r="V46" s="56">
        <f t="shared" si="16"/>
        <v>0.20750123930575562</v>
      </c>
      <c r="W46" s="56">
        <f t="shared" si="16"/>
        <v>0.18863749027795962</v>
      </c>
      <c r="X46" s="56">
        <f t="shared" si="16"/>
        <v>0.17148862752541782</v>
      </c>
      <c r="Y46" s="56">
        <f t="shared" si="16"/>
        <v>0.15589875229583436</v>
      </c>
    </row>
    <row r="47" spans="2:25" ht="8" customHeight="1" x14ac:dyDescent="0.45"/>
    <row r="48" spans="2:25" ht="22.05" customHeight="1" x14ac:dyDescent="0.5">
      <c r="B48" s="7" t="s">
        <v>215</v>
      </c>
      <c r="C48" s="8"/>
      <c r="D48" s="8"/>
      <c r="E48" s="8"/>
      <c r="F48" s="8"/>
      <c r="G48" s="8"/>
      <c r="H48" s="8"/>
      <c r="I48" s="8"/>
      <c r="J48" s="8"/>
      <c r="K48" s="8"/>
      <c r="L48" s="8"/>
      <c r="M48" s="8"/>
      <c r="N48" s="8"/>
      <c r="O48" s="8"/>
      <c r="P48" s="8"/>
      <c r="Q48" s="8"/>
      <c r="R48" s="8"/>
      <c r="S48" s="8"/>
      <c r="T48" s="8"/>
      <c r="U48" s="8"/>
      <c r="V48" s="8"/>
      <c r="W48" s="8"/>
      <c r="X48" s="8"/>
      <c r="Y48" s="8"/>
    </row>
    <row r="49" spans="2:25" ht="18" customHeight="1" x14ac:dyDescent="0.45">
      <c r="B49" s="13" t="s">
        <v>216</v>
      </c>
    </row>
    <row r="50" spans="2:25" x14ac:dyDescent="0.45">
      <c r="B50" s="25" t="s">
        <v>202</v>
      </c>
      <c r="C50" s="26" t="s">
        <v>112</v>
      </c>
      <c r="D50" s="54">
        <f t="shared" ref="D50:D55" ca="1" si="17">SUM(F50:Y50)</f>
        <v>-30.158261005990987</v>
      </c>
      <c r="E50" s="35"/>
      <c r="F50" s="33">
        <f t="shared" ref="F50:Y50" ca="1" si="18">-F30</f>
        <v>-15.336887161650772</v>
      </c>
      <c r="G50" s="33">
        <f t="shared" ca="1" si="18"/>
        <v>-14.821373844340215</v>
      </c>
      <c r="H50" s="33">
        <f t="shared" ca="1" si="18"/>
        <v>0</v>
      </c>
      <c r="I50" s="33">
        <f t="shared" ca="1" si="18"/>
        <v>0</v>
      </c>
      <c r="J50" s="33">
        <f t="shared" ca="1" si="18"/>
        <v>0</v>
      </c>
      <c r="K50" s="33">
        <f t="shared" ca="1" si="18"/>
        <v>0</v>
      </c>
      <c r="L50" s="33">
        <f t="shared" ca="1" si="18"/>
        <v>0</v>
      </c>
      <c r="M50" s="33">
        <f t="shared" ca="1" si="18"/>
        <v>0</v>
      </c>
      <c r="N50" s="33">
        <f t="shared" ca="1" si="18"/>
        <v>0</v>
      </c>
      <c r="O50" s="33">
        <f t="shared" ca="1" si="18"/>
        <v>0</v>
      </c>
      <c r="P50" s="33">
        <f t="shared" ca="1" si="18"/>
        <v>0</v>
      </c>
      <c r="Q50" s="33">
        <f t="shared" ca="1" si="18"/>
        <v>0</v>
      </c>
      <c r="R50" s="33">
        <f t="shared" ca="1" si="18"/>
        <v>0</v>
      </c>
      <c r="S50" s="33">
        <f t="shared" ca="1" si="18"/>
        <v>0</v>
      </c>
      <c r="T50" s="33">
        <f t="shared" ca="1" si="18"/>
        <v>0</v>
      </c>
      <c r="U50" s="33">
        <f t="shared" ca="1" si="18"/>
        <v>0</v>
      </c>
      <c r="V50" s="33">
        <f t="shared" ca="1" si="18"/>
        <v>0</v>
      </c>
      <c r="W50" s="33">
        <f t="shared" ca="1" si="18"/>
        <v>0</v>
      </c>
      <c r="X50" s="33">
        <f t="shared" ca="1" si="18"/>
        <v>0</v>
      </c>
      <c r="Y50" s="33">
        <f t="shared" ca="1" si="18"/>
        <v>0</v>
      </c>
    </row>
    <row r="51" spans="2:25" x14ac:dyDescent="0.45">
      <c r="B51" s="25" t="s">
        <v>217</v>
      </c>
      <c r="C51" s="26" t="s">
        <v>112</v>
      </c>
      <c r="D51" s="54">
        <f t="shared" ca="1" si="17"/>
        <v>60</v>
      </c>
      <c r="E51" s="35"/>
      <c r="F51" s="33">
        <f t="shared" ref="F51:Y51" ca="1" si="19">IF(F$6=Yr_P2,Pass_P2*Upfront,0)</f>
        <v>0</v>
      </c>
      <c r="G51" s="33">
        <f t="shared" ca="1" si="19"/>
        <v>60</v>
      </c>
      <c r="H51" s="33">
        <f t="shared" ca="1" si="19"/>
        <v>0</v>
      </c>
      <c r="I51" s="33">
        <f t="shared" ca="1" si="19"/>
        <v>0</v>
      </c>
      <c r="J51" s="33">
        <f t="shared" ca="1" si="19"/>
        <v>0</v>
      </c>
      <c r="K51" s="33">
        <f t="shared" ca="1" si="19"/>
        <v>0</v>
      </c>
      <c r="L51" s="33">
        <f t="shared" ca="1" si="19"/>
        <v>0</v>
      </c>
      <c r="M51" s="33">
        <f t="shared" ca="1" si="19"/>
        <v>0</v>
      </c>
      <c r="N51" s="33">
        <f t="shared" ca="1" si="19"/>
        <v>0</v>
      </c>
      <c r="O51" s="33">
        <f t="shared" ca="1" si="19"/>
        <v>0</v>
      </c>
      <c r="P51" s="33">
        <f t="shared" ca="1" si="19"/>
        <v>0</v>
      </c>
      <c r="Q51" s="33">
        <f t="shared" ca="1" si="19"/>
        <v>0</v>
      </c>
      <c r="R51" s="33">
        <f t="shared" ca="1" si="19"/>
        <v>0</v>
      </c>
      <c r="S51" s="33">
        <f t="shared" ca="1" si="19"/>
        <v>0</v>
      </c>
      <c r="T51" s="33">
        <f t="shared" ca="1" si="19"/>
        <v>0</v>
      </c>
      <c r="U51" s="33">
        <f t="shared" ca="1" si="19"/>
        <v>0</v>
      </c>
      <c r="V51" s="33">
        <f t="shared" ca="1" si="19"/>
        <v>0</v>
      </c>
      <c r="W51" s="33">
        <f t="shared" ca="1" si="19"/>
        <v>0</v>
      </c>
      <c r="X51" s="33">
        <f t="shared" ca="1" si="19"/>
        <v>0</v>
      </c>
      <c r="Y51" s="33">
        <f t="shared" ca="1" si="19"/>
        <v>0</v>
      </c>
    </row>
    <row r="52" spans="2:25" x14ac:dyDescent="0.45">
      <c r="B52" s="25" t="s">
        <v>149</v>
      </c>
      <c r="C52" s="26" t="s">
        <v>112</v>
      </c>
      <c r="D52" s="54">
        <f t="shared" ca="1" si="17"/>
        <v>40</v>
      </c>
      <c r="E52" s="35"/>
      <c r="F52" s="33">
        <f t="shared" ref="F52:Y52" ca="1" si="20">IF(F$6=Yr_P3,Pass_P2*Pass_P3*Mile_P3,0)</f>
        <v>0</v>
      </c>
      <c r="G52" s="33">
        <f t="shared" ca="1" si="20"/>
        <v>0</v>
      </c>
      <c r="H52" s="33">
        <f t="shared" ca="1" si="20"/>
        <v>0</v>
      </c>
      <c r="I52" s="33">
        <f t="shared" ca="1" si="20"/>
        <v>0</v>
      </c>
      <c r="J52" s="33">
        <f t="shared" ca="1" si="20"/>
        <v>0</v>
      </c>
      <c r="K52" s="33">
        <f t="shared" ca="1" si="20"/>
        <v>40</v>
      </c>
      <c r="L52" s="33">
        <f t="shared" ca="1" si="20"/>
        <v>0</v>
      </c>
      <c r="M52" s="33">
        <f t="shared" ca="1" si="20"/>
        <v>0</v>
      </c>
      <c r="N52" s="33">
        <f t="shared" ca="1" si="20"/>
        <v>0</v>
      </c>
      <c r="O52" s="33">
        <f t="shared" ca="1" si="20"/>
        <v>0</v>
      </c>
      <c r="P52" s="33">
        <f t="shared" ca="1" si="20"/>
        <v>0</v>
      </c>
      <c r="Q52" s="33">
        <f t="shared" ca="1" si="20"/>
        <v>0</v>
      </c>
      <c r="R52" s="33">
        <f t="shared" ca="1" si="20"/>
        <v>0</v>
      </c>
      <c r="S52" s="33">
        <f t="shared" ca="1" si="20"/>
        <v>0</v>
      </c>
      <c r="T52" s="33">
        <f t="shared" ca="1" si="20"/>
        <v>0</v>
      </c>
      <c r="U52" s="33">
        <f t="shared" ca="1" si="20"/>
        <v>0</v>
      </c>
      <c r="V52" s="33">
        <f t="shared" ca="1" si="20"/>
        <v>0</v>
      </c>
      <c r="W52" s="33">
        <f t="shared" ca="1" si="20"/>
        <v>0</v>
      </c>
      <c r="X52" s="33">
        <f t="shared" ca="1" si="20"/>
        <v>0</v>
      </c>
      <c r="Y52" s="33">
        <f t="shared" ca="1" si="20"/>
        <v>0</v>
      </c>
    </row>
    <row r="53" spans="2:25" x14ac:dyDescent="0.45">
      <c r="B53" s="25" t="s">
        <v>150</v>
      </c>
      <c r="C53" s="26" t="s">
        <v>112</v>
      </c>
      <c r="D53" s="54">
        <f t="shared" ca="1" si="17"/>
        <v>60</v>
      </c>
      <c r="E53" s="35"/>
      <c r="F53" s="33">
        <f t="shared" ref="F53:Y53" ca="1" si="21">IF(F$6=Yr_Rev,Launched*Mile_Appr,0)</f>
        <v>0</v>
      </c>
      <c r="G53" s="33">
        <f t="shared" ca="1" si="21"/>
        <v>0</v>
      </c>
      <c r="H53" s="33">
        <f t="shared" ca="1" si="21"/>
        <v>0</v>
      </c>
      <c r="I53" s="33">
        <f t="shared" ca="1" si="21"/>
        <v>0</v>
      </c>
      <c r="J53" s="33">
        <f t="shared" ca="1" si="21"/>
        <v>0</v>
      </c>
      <c r="K53" s="33">
        <f t="shared" ca="1" si="21"/>
        <v>0</v>
      </c>
      <c r="L53" s="33">
        <f t="shared" ca="1" si="21"/>
        <v>60</v>
      </c>
      <c r="M53" s="33">
        <f t="shared" ca="1" si="21"/>
        <v>0</v>
      </c>
      <c r="N53" s="33">
        <f t="shared" ca="1" si="21"/>
        <v>0</v>
      </c>
      <c r="O53" s="33">
        <f t="shared" ca="1" si="21"/>
        <v>0</v>
      </c>
      <c r="P53" s="33">
        <f t="shared" ca="1" si="21"/>
        <v>0</v>
      </c>
      <c r="Q53" s="33">
        <f t="shared" ca="1" si="21"/>
        <v>0</v>
      </c>
      <c r="R53" s="33">
        <f t="shared" ca="1" si="21"/>
        <v>0</v>
      </c>
      <c r="S53" s="33">
        <f t="shared" ca="1" si="21"/>
        <v>0</v>
      </c>
      <c r="T53" s="33">
        <f t="shared" ca="1" si="21"/>
        <v>0</v>
      </c>
      <c r="U53" s="33">
        <f t="shared" ca="1" si="21"/>
        <v>0</v>
      </c>
      <c r="V53" s="33">
        <f t="shared" ca="1" si="21"/>
        <v>0</v>
      </c>
      <c r="W53" s="33">
        <f t="shared" ca="1" si="21"/>
        <v>0</v>
      </c>
      <c r="X53" s="33">
        <f t="shared" ca="1" si="21"/>
        <v>0</v>
      </c>
      <c r="Y53" s="33">
        <f t="shared" ca="1" si="21"/>
        <v>0</v>
      </c>
    </row>
    <row r="54" spans="2:25" x14ac:dyDescent="0.45">
      <c r="B54" s="25" t="s">
        <v>218</v>
      </c>
      <c r="C54" s="26" t="s">
        <v>112</v>
      </c>
      <c r="D54" s="54">
        <f t="shared" ca="1" si="17"/>
        <v>663.83739536526684</v>
      </c>
      <c r="E54" s="35"/>
      <c r="F54" s="33">
        <f t="shared" ref="F54:Y54" ca="1" si="22">Royalty*F39</f>
        <v>0</v>
      </c>
      <c r="G54" s="33">
        <f t="shared" ca="1" si="22"/>
        <v>0</v>
      </c>
      <c r="H54" s="33">
        <f t="shared" ca="1" si="22"/>
        <v>0</v>
      </c>
      <c r="I54" s="33">
        <f t="shared" ca="1" si="22"/>
        <v>0</v>
      </c>
      <c r="J54" s="33">
        <f t="shared" ca="1" si="22"/>
        <v>0</v>
      </c>
      <c r="K54" s="33">
        <f t="shared" ca="1" si="22"/>
        <v>0</v>
      </c>
      <c r="L54" s="33">
        <f t="shared" ca="1" si="22"/>
        <v>0</v>
      </c>
      <c r="M54" s="33">
        <f t="shared" ca="1" si="22"/>
        <v>17.698640668893617</v>
      </c>
      <c r="N54" s="33">
        <f t="shared" ca="1" si="22"/>
        <v>41.611658116058635</v>
      </c>
      <c r="O54" s="33">
        <f t="shared" ca="1" si="22"/>
        <v>65.524675563223639</v>
      </c>
      <c r="P54" s="33">
        <f t="shared" ca="1" si="22"/>
        <v>89.437693010388656</v>
      </c>
      <c r="Q54" s="33">
        <f t="shared" ca="1" si="22"/>
        <v>95.652069788660057</v>
      </c>
      <c r="R54" s="33">
        <f t="shared" ca="1" si="22"/>
        <v>95.652069788660057</v>
      </c>
      <c r="S54" s="33">
        <f t="shared" ca="1" si="22"/>
        <v>95.652069788660057</v>
      </c>
      <c r="T54" s="33">
        <f t="shared" ca="1" si="22"/>
        <v>95.652069788660057</v>
      </c>
      <c r="U54" s="33">
        <f t="shared" ca="1" si="22"/>
        <v>33.478224426031019</v>
      </c>
      <c r="V54" s="33">
        <f t="shared" ca="1" si="22"/>
        <v>14.347810468299008</v>
      </c>
      <c r="W54" s="33">
        <f t="shared" ca="1" si="22"/>
        <v>9.5652069788660068</v>
      </c>
      <c r="X54" s="33">
        <f t="shared" ca="1" si="22"/>
        <v>4.7826034894330034</v>
      </c>
      <c r="Y54" s="33">
        <f t="shared" ca="1" si="22"/>
        <v>4.7826034894330034</v>
      </c>
    </row>
    <row r="55" spans="2:25" x14ac:dyDescent="0.45">
      <c r="B55" s="55" t="s">
        <v>213</v>
      </c>
      <c r="C55" s="26" t="s">
        <v>112</v>
      </c>
      <c r="D55" s="54">
        <f t="shared" ca="1" si="17"/>
        <v>793.67913435927574</v>
      </c>
      <c r="E55" s="35"/>
      <c r="F55" s="54">
        <f t="shared" ref="F55:Y55" ca="1" si="23">F50+F51+F52+F53+F54</f>
        <v>-15.336887161650772</v>
      </c>
      <c r="G55" s="54">
        <f t="shared" ca="1" si="23"/>
        <v>45.178626155659785</v>
      </c>
      <c r="H55" s="54">
        <f t="shared" ca="1" si="23"/>
        <v>0</v>
      </c>
      <c r="I55" s="54">
        <f t="shared" ca="1" si="23"/>
        <v>0</v>
      </c>
      <c r="J55" s="54">
        <f t="shared" ca="1" si="23"/>
        <v>0</v>
      </c>
      <c r="K55" s="54">
        <f t="shared" ca="1" si="23"/>
        <v>40</v>
      </c>
      <c r="L55" s="54">
        <f t="shared" ca="1" si="23"/>
        <v>60</v>
      </c>
      <c r="M55" s="54">
        <f t="shared" ca="1" si="23"/>
        <v>17.698640668893617</v>
      </c>
      <c r="N55" s="54">
        <f t="shared" ca="1" si="23"/>
        <v>41.611658116058635</v>
      </c>
      <c r="O55" s="54">
        <f t="shared" ca="1" si="23"/>
        <v>65.524675563223639</v>
      </c>
      <c r="P55" s="54">
        <f t="shared" ca="1" si="23"/>
        <v>89.437693010388656</v>
      </c>
      <c r="Q55" s="54">
        <f t="shared" ca="1" si="23"/>
        <v>95.652069788660057</v>
      </c>
      <c r="R55" s="54">
        <f t="shared" ca="1" si="23"/>
        <v>95.652069788660057</v>
      </c>
      <c r="S55" s="54">
        <f t="shared" ca="1" si="23"/>
        <v>95.652069788660057</v>
      </c>
      <c r="T55" s="54">
        <f t="shared" ca="1" si="23"/>
        <v>95.652069788660057</v>
      </c>
      <c r="U55" s="54">
        <f t="shared" ca="1" si="23"/>
        <v>33.478224426031019</v>
      </c>
      <c r="V55" s="54">
        <f t="shared" ca="1" si="23"/>
        <v>14.347810468299008</v>
      </c>
      <c r="W55" s="54">
        <f t="shared" ca="1" si="23"/>
        <v>9.5652069788660068</v>
      </c>
      <c r="X55" s="54">
        <f t="shared" ca="1" si="23"/>
        <v>4.7826034894330034</v>
      </c>
      <c r="Y55" s="54">
        <f t="shared" ca="1" si="23"/>
        <v>4.7826034894330034</v>
      </c>
    </row>
    <row r="56" spans="2:25" ht="8" customHeight="1" x14ac:dyDescent="0.45"/>
    <row r="57" spans="2:25" ht="22.05" customHeight="1" x14ac:dyDescent="0.5">
      <c r="B57" s="7" t="s">
        <v>219</v>
      </c>
      <c r="C57" s="8"/>
      <c r="D57" s="8"/>
      <c r="E57" s="8"/>
      <c r="F57" s="8"/>
      <c r="G57" s="8"/>
      <c r="H57" s="8"/>
      <c r="I57" s="8"/>
      <c r="J57" s="8"/>
      <c r="K57" s="8"/>
      <c r="L57" s="8"/>
      <c r="M57" s="8"/>
      <c r="N57" s="8"/>
      <c r="O57" s="8"/>
      <c r="P57" s="8"/>
      <c r="Q57" s="8"/>
      <c r="R57" s="8"/>
      <c r="S57" s="8"/>
      <c r="T57" s="8"/>
      <c r="U57" s="8"/>
      <c r="V57" s="8"/>
      <c r="W57" s="8"/>
      <c r="X57" s="8"/>
      <c r="Y57" s="8"/>
    </row>
    <row r="58" spans="2:25" ht="18" customHeight="1" x14ac:dyDescent="0.45">
      <c r="B58" s="13" t="s">
        <v>220</v>
      </c>
    </row>
    <row r="59" spans="2:25" ht="18" customHeight="1" x14ac:dyDescent="0.45">
      <c r="B59" s="47" t="s">
        <v>164</v>
      </c>
      <c r="C59" s="47" t="s">
        <v>99</v>
      </c>
      <c r="D59" s="49" t="s">
        <v>165</v>
      </c>
      <c r="E59" s="5"/>
      <c r="F59" s="47" t="s">
        <v>166</v>
      </c>
      <c r="G59" s="5"/>
      <c r="H59" s="5"/>
      <c r="I59" s="5"/>
      <c r="J59" s="5"/>
      <c r="K59" s="5"/>
      <c r="L59" s="5"/>
      <c r="M59" s="5"/>
      <c r="N59" s="5"/>
      <c r="O59" s="5"/>
      <c r="P59" s="5"/>
      <c r="Q59" s="5"/>
      <c r="R59" s="5"/>
      <c r="S59" s="5"/>
      <c r="T59" s="5"/>
      <c r="U59" s="5"/>
      <c r="V59" s="5"/>
      <c r="W59" s="5"/>
      <c r="X59" s="5"/>
      <c r="Y59" s="5"/>
    </row>
    <row r="60" spans="2:25" x14ac:dyDescent="0.45">
      <c r="B60" s="25" t="s">
        <v>221</v>
      </c>
      <c r="C60" s="26" t="s">
        <v>127</v>
      </c>
      <c r="D60" s="39">
        <f>Peak_Mean</f>
        <v>694.50368213594049</v>
      </c>
      <c r="E60" s="35"/>
      <c r="F60" s="26" t="s">
        <v>222</v>
      </c>
      <c r="G60" s="35"/>
      <c r="H60" s="35"/>
      <c r="I60" s="35"/>
      <c r="J60" s="35"/>
      <c r="K60" s="35"/>
      <c r="L60" s="35"/>
      <c r="M60" s="35"/>
      <c r="N60" s="35"/>
      <c r="O60" s="35"/>
      <c r="P60" s="35"/>
      <c r="Q60" s="35"/>
      <c r="R60" s="35"/>
      <c r="S60" s="35"/>
      <c r="T60" s="35"/>
      <c r="U60" s="35"/>
      <c r="V60" s="35"/>
      <c r="W60" s="35"/>
      <c r="X60" s="35"/>
      <c r="Y60" s="35"/>
    </row>
    <row r="61" spans="2:25" x14ac:dyDescent="0.45">
      <c r="B61" s="25" t="s">
        <v>223</v>
      </c>
      <c r="C61" s="26" t="s">
        <v>108</v>
      </c>
      <c r="D61" s="29">
        <f>Dur_P2_ML</f>
        <v>2</v>
      </c>
      <c r="E61" s="35"/>
      <c r="F61" s="35"/>
      <c r="G61" s="35"/>
      <c r="H61" s="35"/>
      <c r="I61" s="35"/>
      <c r="J61" s="35"/>
      <c r="K61" s="35"/>
      <c r="L61" s="35"/>
      <c r="M61" s="35"/>
      <c r="N61" s="35"/>
      <c r="O61" s="35"/>
      <c r="P61" s="35"/>
      <c r="Q61" s="35"/>
      <c r="R61" s="35"/>
      <c r="S61" s="35"/>
      <c r="T61" s="35"/>
      <c r="U61" s="35"/>
      <c r="V61" s="35"/>
      <c r="W61" s="35"/>
      <c r="X61" s="35"/>
      <c r="Y61" s="35"/>
    </row>
    <row r="62" spans="2:25" x14ac:dyDescent="0.45">
      <c r="B62" s="25" t="s">
        <v>224</v>
      </c>
      <c r="C62" s="26" t="s">
        <v>108</v>
      </c>
      <c r="D62" s="29">
        <f>B_P2+Dur_P3_ML</f>
        <v>5</v>
      </c>
      <c r="E62" s="35"/>
      <c r="F62" s="35"/>
      <c r="G62" s="35"/>
      <c r="H62" s="35"/>
      <c r="I62" s="35"/>
      <c r="J62" s="35"/>
      <c r="K62" s="35"/>
      <c r="L62" s="35"/>
      <c r="M62" s="35"/>
      <c r="N62" s="35"/>
      <c r="O62" s="35"/>
      <c r="P62" s="35"/>
      <c r="Q62" s="35"/>
      <c r="R62" s="35"/>
      <c r="S62" s="35"/>
      <c r="T62" s="35"/>
      <c r="U62" s="35"/>
      <c r="V62" s="35"/>
      <c r="W62" s="35"/>
      <c r="X62" s="35"/>
      <c r="Y62" s="35"/>
    </row>
    <row r="63" spans="2:25" x14ac:dyDescent="0.45">
      <c r="B63" s="25" t="s">
        <v>225</v>
      </c>
      <c r="C63" s="26" t="s">
        <v>108</v>
      </c>
      <c r="D63" s="29">
        <f>B_P3+Dur_Rev_ML</f>
        <v>6</v>
      </c>
      <c r="E63" s="35"/>
      <c r="F63" s="35"/>
      <c r="G63" s="35"/>
      <c r="H63" s="35"/>
      <c r="I63" s="35"/>
      <c r="J63" s="35"/>
      <c r="K63" s="35"/>
      <c r="L63" s="35"/>
      <c r="M63" s="35"/>
      <c r="N63" s="35"/>
      <c r="O63" s="35"/>
      <c r="P63" s="35"/>
      <c r="Q63" s="35"/>
      <c r="R63" s="35"/>
      <c r="S63" s="35"/>
      <c r="T63" s="35"/>
      <c r="U63" s="35"/>
      <c r="V63" s="35"/>
      <c r="W63" s="35"/>
      <c r="X63" s="35"/>
      <c r="Y63" s="35"/>
    </row>
    <row r="64" spans="2:25" x14ac:dyDescent="0.45">
      <c r="B64" s="25" t="s">
        <v>226</v>
      </c>
      <c r="C64" s="26" t="s">
        <v>185</v>
      </c>
      <c r="D64" s="51">
        <f>CEILING(B_P2,1)</f>
        <v>2</v>
      </c>
      <c r="E64" s="35"/>
      <c r="F64" s="35"/>
      <c r="G64" s="35"/>
      <c r="H64" s="35"/>
      <c r="I64" s="35"/>
      <c r="J64" s="35"/>
      <c r="K64" s="35"/>
      <c r="L64" s="35"/>
      <c r="M64" s="35"/>
      <c r="N64" s="35"/>
      <c r="O64" s="35"/>
      <c r="P64" s="35"/>
      <c r="Q64" s="35"/>
      <c r="R64" s="35"/>
      <c r="S64" s="35"/>
      <c r="T64" s="35"/>
      <c r="U64" s="35"/>
      <c r="V64" s="35"/>
      <c r="W64" s="35"/>
      <c r="X64" s="35"/>
      <c r="Y64" s="35"/>
    </row>
    <row r="65" spans="2:25" x14ac:dyDescent="0.45">
      <c r="B65" s="25" t="s">
        <v>227</v>
      </c>
      <c r="C65" s="26" t="s">
        <v>185</v>
      </c>
      <c r="D65" s="51">
        <f>CEILING(B_P3,1)</f>
        <v>5</v>
      </c>
      <c r="E65" s="35"/>
      <c r="F65" s="35"/>
      <c r="G65" s="35"/>
      <c r="H65" s="35"/>
      <c r="I65" s="35"/>
      <c r="J65" s="35"/>
      <c r="K65" s="35"/>
      <c r="L65" s="35"/>
      <c r="M65" s="35"/>
      <c r="N65" s="35"/>
      <c r="O65" s="35"/>
      <c r="P65" s="35"/>
      <c r="Q65" s="35"/>
      <c r="R65" s="35"/>
      <c r="S65" s="35"/>
      <c r="T65" s="35"/>
      <c r="U65" s="35"/>
      <c r="V65" s="35"/>
      <c r="W65" s="35"/>
      <c r="X65" s="35"/>
      <c r="Y65" s="35"/>
    </row>
    <row r="66" spans="2:25" x14ac:dyDescent="0.45">
      <c r="B66" s="25" t="s">
        <v>228</v>
      </c>
      <c r="C66" s="26" t="s">
        <v>185</v>
      </c>
      <c r="D66" s="51">
        <f>CEILING(B_Rev,1)</f>
        <v>6</v>
      </c>
      <c r="E66" s="35"/>
      <c r="F66" s="35"/>
      <c r="G66" s="35"/>
      <c r="H66" s="35"/>
      <c r="I66" s="35"/>
      <c r="J66" s="35"/>
      <c r="K66" s="35"/>
      <c r="L66" s="35"/>
      <c r="M66" s="35"/>
      <c r="N66" s="35"/>
      <c r="O66" s="35"/>
      <c r="P66" s="35"/>
      <c r="Q66" s="35"/>
      <c r="R66" s="35"/>
      <c r="S66" s="35"/>
      <c r="T66" s="35"/>
      <c r="U66" s="35"/>
      <c r="V66" s="35"/>
      <c r="W66" s="35"/>
      <c r="X66" s="35"/>
      <c r="Y66" s="35"/>
    </row>
    <row r="67" spans="2:25" ht="4.05" customHeight="1" x14ac:dyDescent="0.45"/>
    <row r="68" spans="2:25" x14ac:dyDescent="0.45">
      <c r="B68" s="25" t="s">
        <v>198</v>
      </c>
      <c r="C68" s="26" t="s">
        <v>199</v>
      </c>
      <c r="D68" s="35"/>
      <c r="E68" s="35"/>
      <c r="F68" s="53">
        <f t="shared" ref="F68:Y68" si="24">MAX(0,MIN(F$6,B_P2)-MAX(F$6-1,0))/Dur_P2_ML</f>
        <v>0.5</v>
      </c>
      <c r="G68" s="53">
        <f t="shared" si="24"/>
        <v>0.5</v>
      </c>
      <c r="H68" s="53">
        <f t="shared" si="24"/>
        <v>0</v>
      </c>
      <c r="I68" s="53">
        <f t="shared" si="24"/>
        <v>0</v>
      </c>
      <c r="J68" s="53">
        <f t="shared" si="24"/>
        <v>0</v>
      </c>
      <c r="K68" s="53">
        <f t="shared" si="24"/>
        <v>0</v>
      </c>
      <c r="L68" s="53">
        <f t="shared" si="24"/>
        <v>0</v>
      </c>
      <c r="M68" s="53">
        <f t="shared" si="24"/>
        <v>0</v>
      </c>
      <c r="N68" s="53">
        <f t="shared" si="24"/>
        <v>0</v>
      </c>
      <c r="O68" s="53">
        <f t="shared" si="24"/>
        <v>0</v>
      </c>
      <c r="P68" s="53">
        <f t="shared" si="24"/>
        <v>0</v>
      </c>
      <c r="Q68" s="53">
        <f t="shared" si="24"/>
        <v>0</v>
      </c>
      <c r="R68" s="53">
        <f t="shared" si="24"/>
        <v>0</v>
      </c>
      <c r="S68" s="53">
        <f t="shared" si="24"/>
        <v>0</v>
      </c>
      <c r="T68" s="53">
        <f t="shared" si="24"/>
        <v>0</v>
      </c>
      <c r="U68" s="53">
        <f t="shared" si="24"/>
        <v>0</v>
      </c>
      <c r="V68" s="53">
        <f t="shared" si="24"/>
        <v>0</v>
      </c>
      <c r="W68" s="53">
        <f t="shared" si="24"/>
        <v>0</v>
      </c>
      <c r="X68" s="53">
        <f t="shared" si="24"/>
        <v>0</v>
      </c>
      <c r="Y68" s="53">
        <f t="shared" si="24"/>
        <v>0</v>
      </c>
    </row>
    <row r="69" spans="2:25" x14ac:dyDescent="0.45">
      <c r="B69" s="25" t="s">
        <v>200</v>
      </c>
      <c r="C69" s="26" t="s">
        <v>199</v>
      </c>
      <c r="D69" s="35"/>
      <c r="E69" s="35"/>
      <c r="F69" s="53">
        <f t="shared" ref="F69:Y69" si="25">MAX(0,MIN(F$6,B_P3)-MAX(F$6-1,B_P2))/Dur_P3_ML</f>
        <v>0</v>
      </c>
      <c r="G69" s="53">
        <f t="shared" si="25"/>
        <v>0</v>
      </c>
      <c r="H69" s="53">
        <f t="shared" si="25"/>
        <v>0.33333333333333331</v>
      </c>
      <c r="I69" s="53">
        <f t="shared" si="25"/>
        <v>0.33333333333333331</v>
      </c>
      <c r="J69" s="53">
        <f t="shared" si="25"/>
        <v>0.33333333333333331</v>
      </c>
      <c r="K69" s="53">
        <f t="shared" si="25"/>
        <v>0</v>
      </c>
      <c r="L69" s="53">
        <f t="shared" si="25"/>
        <v>0</v>
      </c>
      <c r="M69" s="53">
        <f t="shared" si="25"/>
        <v>0</v>
      </c>
      <c r="N69" s="53">
        <f t="shared" si="25"/>
        <v>0</v>
      </c>
      <c r="O69" s="53">
        <f t="shared" si="25"/>
        <v>0</v>
      </c>
      <c r="P69" s="53">
        <f t="shared" si="25"/>
        <v>0</v>
      </c>
      <c r="Q69" s="53">
        <f t="shared" si="25"/>
        <v>0</v>
      </c>
      <c r="R69" s="53">
        <f t="shared" si="25"/>
        <v>0</v>
      </c>
      <c r="S69" s="53">
        <f t="shared" si="25"/>
        <v>0</v>
      </c>
      <c r="T69" s="53">
        <f t="shared" si="25"/>
        <v>0</v>
      </c>
      <c r="U69" s="53">
        <f t="shared" si="25"/>
        <v>0</v>
      </c>
      <c r="V69" s="53">
        <f t="shared" si="25"/>
        <v>0</v>
      </c>
      <c r="W69" s="53">
        <f t="shared" si="25"/>
        <v>0</v>
      </c>
      <c r="X69" s="53">
        <f t="shared" si="25"/>
        <v>0</v>
      </c>
      <c r="Y69" s="53">
        <f t="shared" si="25"/>
        <v>0</v>
      </c>
    </row>
    <row r="70" spans="2:25" x14ac:dyDescent="0.45">
      <c r="B70" s="25" t="s">
        <v>201</v>
      </c>
      <c r="C70" s="26" t="s">
        <v>199</v>
      </c>
      <c r="D70" s="35"/>
      <c r="E70" s="35"/>
      <c r="F70" s="53">
        <f t="shared" ref="F70:Y70" si="26">MAX(0,MIN(F$6,B_Rev)-MAX(F$6-1,B_P3))/Dur_Rev_ML</f>
        <v>0</v>
      </c>
      <c r="G70" s="53">
        <f t="shared" si="26"/>
        <v>0</v>
      </c>
      <c r="H70" s="53">
        <f t="shared" si="26"/>
        <v>0</v>
      </c>
      <c r="I70" s="53">
        <f t="shared" si="26"/>
        <v>0</v>
      </c>
      <c r="J70" s="53">
        <f t="shared" si="26"/>
        <v>0</v>
      </c>
      <c r="K70" s="53">
        <f t="shared" si="26"/>
        <v>1</v>
      </c>
      <c r="L70" s="53">
        <f t="shared" si="26"/>
        <v>0</v>
      </c>
      <c r="M70" s="53">
        <f t="shared" si="26"/>
        <v>0</v>
      </c>
      <c r="N70" s="53">
        <f t="shared" si="26"/>
        <v>0</v>
      </c>
      <c r="O70" s="53">
        <f t="shared" si="26"/>
        <v>0</v>
      </c>
      <c r="P70" s="53">
        <f t="shared" si="26"/>
        <v>0</v>
      </c>
      <c r="Q70" s="53">
        <f t="shared" si="26"/>
        <v>0</v>
      </c>
      <c r="R70" s="53">
        <f t="shared" si="26"/>
        <v>0</v>
      </c>
      <c r="S70" s="53">
        <f t="shared" si="26"/>
        <v>0</v>
      </c>
      <c r="T70" s="53">
        <f t="shared" si="26"/>
        <v>0</v>
      </c>
      <c r="U70" s="53">
        <f t="shared" si="26"/>
        <v>0</v>
      </c>
      <c r="V70" s="53">
        <f t="shared" si="26"/>
        <v>0</v>
      </c>
      <c r="W70" s="53">
        <f t="shared" si="26"/>
        <v>0</v>
      </c>
      <c r="X70" s="53">
        <f t="shared" si="26"/>
        <v>0</v>
      </c>
      <c r="Y70" s="53">
        <f t="shared" si="26"/>
        <v>0</v>
      </c>
    </row>
    <row r="71" spans="2:25" x14ac:dyDescent="0.45">
      <c r="B71" s="25" t="s">
        <v>229</v>
      </c>
      <c r="C71" s="26" t="s">
        <v>112</v>
      </c>
      <c r="D71" s="54">
        <f>SUM(F71:Y71)</f>
        <v>-30</v>
      </c>
      <c r="E71" s="35"/>
      <c r="F71" s="33">
        <f t="shared" ref="F71:Y71" si="27">-Cost_P2_ML*F68</f>
        <v>-15</v>
      </c>
      <c r="G71" s="33">
        <f t="shared" si="27"/>
        <v>-15</v>
      </c>
      <c r="H71" s="33">
        <f t="shared" si="27"/>
        <v>0</v>
      </c>
      <c r="I71" s="33">
        <f t="shared" si="27"/>
        <v>0</v>
      </c>
      <c r="J71" s="33">
        <f t="shared" si="27"/>
        <v>0</v>
      </c>
      <c r="K71" s="33">
        <f t="shared" si="27"/>
        <v>0</v>
      </c>
      <c r="L71" s="33">
        <f t="shared" si="27"/>
        <v>0</v>
      </c>
      <c r="M71" s="33">
        <f t="shared" si="27"/>
        <v>0</v>
      </c>
      <c r="N71" s="33">
        <f t="shared" si="27"/>
        <v>0</v>
      </c>
      <c r="O71" s="33">
        <f t="shared" si="27"/>
        <v>0</v>
      </c>
      <c r="P71" s="33">
        <f t="shared" si="27"/>
        <v>0</v>
      </c>
      <c r="Q71" s="33">
        <f t="shared" si="27"/>
        <v>0</v>
      </c>
      <c r="R71" s="33">
        <f t="shared" si="27"/>
        <v>0</v>
      </c>
      <c r="S71" s="33">
        <f t="shared" si="27"/>
        <v>0</v>
      </c>
      <c r="T71" s="33">
        <f t="shared" si="27"/>
        <v>0</v>
      </c>
      <c r="U71" s="33">
        <f t="shared" si="27"/>
        <v>0</v>
      </c>
      <c r="V71" s="33">
        <f t="shared" si="27"/>
        <v>0</v>
      </c>
      <c r="W71" s="33">
        <f t="shared" si="27"/>
        <v>0</v>
      </c>
      <c r="X71" s="33">
        <f t="shared" si="27"/>
        <v>0</v>
      </c>
      <c r="Y71" s="33">
        <f t="shared" si="27"/>
        <v>0</v>
      </c>
    </row>
    <row r="72" spans="2:25" x14ac:dyDescent="0.45">
      <c r="B72" s="25" t="s">
        <v>230</v>
      </c>
      <c r="C72" s="26" t="s">
        <v>112</v>
      </c>
      <c r="D72" s="54">
        <f>SUM(F72:Y72)</f>
        <v>-150</v>
      </c>
      <c r="E72" s="35"/>
      <c r="F72" s="33">
        <f t="shared" ref="F72:Y72" si="28">-Cost_P3_ML*F69</f>
        <v>0</v>
      </c>
      <c r="G72" s="33">
        <f t="shared" si="28"/>
        <v>0</v>
      </c>
      <c r="H72" s="33">
        <f t="shared" si="28"/>
        <v>-50</v>
      </c>
      <c r="I72" s="33">
        <f t="shared" si="28"/>
        <v>-50</v>
      </c>
      <c r="J72" s="33">
        <f t="shared" si="28"/>
        <v>-50</v>
      </c>
      <c r="K72" s="33">
        <f t="shared" si="28"/>
        <v>0</v>
      </c>
      <c r="L72" s="33">
        <f t="shared" si="28"/>
        <v>0</v>
      </c>
      <c r="M72" s="33">
        <f t="shared" si="28"/>
        <v>0</v>
      </c>
      <c r="N72" s="33">
        <f t="shared" si="28"/>
        <v>0</v>
      </c>
      <c r="O72" s="33">
        <f t="shared" si="28"/>
        <v>0</v>
      </c>
      <c r="P72" s="33">
        <f t="shared" si="28"/>
        <v>0</v>
      </c>
      <c r="Q72" s="33">
        <f t="shared" si="28"/>
        <v>0</v>
      </c>
      <c r="R72" s="33">
        <f t="shared" si="28"/>
        <v>0</v>
      </c>
      <c r="S72" s="33">
        <f t="shared" si="28"/>
        <v>0</v>
      </c>
      <c r="T72" s="33">
        <f t="shared" si="28"/>
        <v>0</v>
      </c>
      <c r="U72" s="33">
        <f t="shared" si="28"/>
        <v>0</v>
      </c>
      <c r="V72" s="33">
        <f t="shared" si="28"/>
        <v>0</v>
      </c>
      <c r="W72" s="33">
        <f t="shared" si="28"/>
        <v>0</v>
      </c>
      <c r="X72" s="33">
        <f t="shared" si="28"/>
        <v>0</v>
      </c>
      <c r="Y72" s="33">
        <f t="shared" si="28"/>
        <v>0</v>
      </c>
    </row>
    <row r="73" spans="2:25" x14ac:dyDescent="0.45">
      <c r="B73" s="25" t="s">
        <v>231</v>
      </c>
      <c r="C73" s="26" t="s">
        <v>112</v>
      </c>
      <c r="D73" s="54">
        <f>SUM(F73:Y73)</f>
        <v>-5</v>
      </c>
      <c r="E73" s="35"/>
      <c r="F73" s="33">
        <f t="shared" ref="F73:Y73" si="29">-Cost_Rev_ML*F70</f>
        <v>0</v>
      </c>
      <c r="G73" s="33">
        <f t="shared" si="29"/>
        <v>0</v>
      </c>
      <c r="H73" s="33">
        <f t="shared" si="29"/>
        <v>0</v>
      </c>
      <c r="I73" s="33">
        <f t="shared" si="29"/>
        <v>0</v>
      </c>
      <c r="J73" s="33">
        <f t="shared" si="29"/>
        <v>0</v>
      </c>
      <c r="K73" s="33">
        <f t="shared" si="29"/>
        <v>-5</v>
      </c>
      <c r="L73" s="33">
        <f t="shared" si="29"/>
        <v>0</v>
      </c>
      <c r="M73" s="33">
        <f t="shared" si="29"/>
        <v>0</v>
      </c>
      <c r="N73" s="33">
        <f t="shared" si="29"/>
        <v>0</v>
      </c>
      <c r="O73" s="33">
        <f t="shared" si="29"/>
        <v>0</v>
      </c>
      <c r="P73" s="33">
        <f t="shared" si="29"/>
        <v>0</v>
      </c>
      <c r="Q73" s="33">
        <f t="shared" si="29"/>
        <v>0</v>
      </c>
      <c r="R73" s="33">
        <f t="shared" si="29"/>
        <v>0</v>
      </c>
      <c r="S73" s="33">
        <f t="shared" si="29"/>
        <v>0</v>
      </c>
      <c r="T73" s="33">
        <f t="shared" si="29"/>
        <v>0</v>
      </c>
      <c r="U73" s="33">
        <f t="shared" si="29"/>
        <v>0</v>
      </c>
      <c r="V73" s="33">
        <f t="shared" si="29"/>
        <v>0</v>
      </c>
      <c r="W73" s="33">
        <f t="shared" si="29"/>
        <v>0</v>
      </c>
      <c r="X73" s="33">
        <f t="shared" si="29"/>
        <v>0</v>
      </c>
      <c r="Y73" s="33">
        <f t="shared" si="29"/>
        <v>0</v>
      </c>
    </row>
    <row r="74" spans="2:25" x14ac:dyDescent="0.45">
      <c r="B74" s="25" t="s">
        <v>207</v>
      </c>
      <c r="C74" s="26" t="s">
        <v>136</v>
      </c>
      <c r="D74" s="35"/>
      <c r="E74" s="35"/>
      <c r="F74" s="53">
        <f t="shared" ref="F74:Y74" si="30">MAX(0,MIN(1,(F$6-0.5-B_Rev)/YearsToPeak))</f>
        <v>0</v>
      </c>
      <c r="G74" s="53">
        <f t="shared" si="30"/>
        <v>0</v>
      </c>
      <c r="H74" s="53">
        <f t="shared" si="30"/>
        <v>0</v>
      </c>
      <c r="I74" s="53">
        <f t="shared" si="30"/>
        <v>0</v>
      </c>
      <c r="J74" s="53">
        <f t="shared" si="30"/>
        <v>0</v>
      </c>
      <c r="K74" s="53">
        <f t="shared" si="30"/>
        <v>0</v>
      </c>
      <c r="L74" s="53">
        <f t="shared" si="30"/>
        <v>0.125</v>
      </c>
      <c r="M74" s="53">
        <f t="shared" si="30"/>
        <v>0.375</v>
      </c>
      <c r="N74" s="53">
        <f t="shared" si="30"/>
        <v>0.625</v>
      </c>
      <c r="O74" s="53">
        <f t="shared" si="30"/>
        <v>0.875</v>
      </c>
      <c r="P74" s="53">
        <f t="shared" si="30"/>
        <v>1</v>
      </c>
      <c r="Q74" s="53">
        <f t="shared" si="30"/>
        <v>1</v>
      </c>
      <c r="R74" s="53">
        <f t="shared" si="30"/>
        <v>1</v>
      </c>
      <c r="S74" s="53">
        <f t="shared" si="30"/>
        <v>1</v>
      </c>
      <c r="T74" s="53">
        <f t="shared" si="30"/>
        <v>1</v>
      </c>
      <c r="U74" s="53">
        <f t="shared" si="30"/>
        <v>1</v>
      </c>
      <c r="V74" s="53">
        <f t="shared" si="30"/>
        <v>1</v>
      </c>
      <c r="W74" s="53">
        <f t="shared" si="30"/>
        <v>1</v>
      </c>
      <c r="X74" s="53">
        <f t="shared" si="30"/>
        <v>1</v>
      </c>
      <c r="Y74" s="53">
        <f t="shared" si="30"/>
        <v>1</v>
      </c>
    </row>
    <row r="75" spans="2:25" x14ac:dyDescent="0.45">
      <c r="B75" s="25" t="s">
        <v>68</v>
      </c>
      <c r="C75" s="26" t="s">
        <v>112</v>
      </c>
      <c r="D75" s="54">
        <f>SUM(F75:Y75)</f>
        <v>5347.6783524467419</v>
      </c>
      <c r="E75" s="35"/>
      <c r="F75" s="33">
        <f t="shared" ref="F75:Y75" si="31">PeakMean*MIN(F74,F38)</f>
        <v>0</v>
      </c>
      <c r="G75" s="33">
        <f t="shared" si="31"/>
        <v>0</v>
      </c>
      <c r="H75" s="33">
        <f t="shared" si="31"/>
        <v>0</v>
      </c>
      <c r="I75" s="33">
        <f t="shared" si="31"/>
        <v>0</v>
      </c>
      <c r="J75" s="33">
        <f t="shared" si="31"/>
        <v>0</v>
      </c>
      <c r="K75" s="33">
        <f t="shared" si="31"/>
        <v>0</v>
      </c>
      <c r="L75" s="33">
        <f t="shared" si="31"/>
        <v>86.812960266992562</v>
      </c>
      <c r="M75" s="33">
        <f t="shared" si="31"/>
        <v>260.4388808009777</v>
      </c>
      <c r="N75" s="33">
        <f t="shared" si="31"/>
        <v>434.06480133496279</v>
      </c>
      <c r="O75" s="33">
        <f t="shared" si="31"/>
        <v>607.69072186894789</v>
      </c>
      <c r="P75" s="33">
        <f t="shared" si="31"/>
        <v>694.50368213594049</v>
      </c>
      <c r="Q75" s="33">
        <f t="shared" si="31"/>
        <v>694.50368213594049</v>
      </c>
      <c r="R75" s="33">
        <f t="shared" si="31"/>
        <v>694.50368213594049</v>
      </c>
      <c r="S75" s="33">
        <f t="shared" si="31"/>
        <v>694.50368213594049</v>
      </c>
      <c r="T75" s="33">
        <f t="shared" si="31"/>
        <v>694.50368213594049</v>
      </c>
      <c r="U75" s="33">
        <f t="shared" si="31"/>
        <v>243.07628874757916</v>
      </c>
      <c r="V75" s="33">
        <f t="shared" si="31"/>
        <v>104.17555232039108</v>
      </c>
      <c r="W75" s="33">
        <f t="shared" si="31"/>
        <v>69.450368213594047</v>
      </c>
      <c r="X75" s="33">
        <f t="shared" si="31"/>
        <v>34.725184106797023</v>
      </c>
      <c r="Y75" s="33">
        <f t="shared" si="31"/>
        <v>34.725184106797023</v>
      </c>
    </row>
    <row r="76" spans="2:25" x14ac:dyDescent="0.45">
      <c r="B76" s="25" t="s">
        <v>232</v>
      </c>
      <c r="C76" s="26" t="s">
        <v>112</v>
      </c>
      <c r="D76" s="54">
        <f>SUM(F76:Y76)</f>
        <v>2326.4552586010332</v>
      </c>
      <c r="E76" s="35"/>
      <c r="F76" s="33">
        <f t="shared" ref="F76:Y76" si="32">Margin*F75-IF(F$6=B_Yr_Rev,LaunchCost,0)</f>
        <v>0</v>
      </c>
      <c r="G76" s="33">
        <f t="shared" si="32"/>
        <v>0</v>
      </c>
      <c r="H76" s="33">
        <f t="shared" si="32"/>
        <v>0</v>
      </c>
      <c r="I76" s="33">
        <f t="shared" si="32"/>
        <v>0</v>
      </c>
      <c r="J76" s="33">
        <f t="shared" si="32"/>
        <v>0</v>
      </c>
      <c r="K76" s="33">
        <f t="shared" si="32"/>
        <v>-80</v>
      </c>
      <c r="L76" s="33">
        <f t="shared" si="32"/>
        <v>39.065832120146652</v>
      </c>
      <c r="M76" s="33">
        <f t="shared" si="32"/>
        <v>117.19749636043997</v>
      </c>
      <c r="N76" s="33">
        <f t="shared" si="32"/>
        <v>195.32916060073327</v>
      </c>
      <c r="O76" s="33">
        <f t="shared" si="32"/>
        <v>273.46082484102658</v>
      </c>
      <c r="P76" s="33">
        <f t="shared" si="32"/>
        <v>312.52665696117322</v>
      </c>
      <c r="Q76" s="33">
        <f t="shared" si="32"/>
        <v>312.52665696117322</v>
      </c>
      <c r="R76" s="33">
        <f t="shared" si="32"/>
        <v>312.52665696117322</v>
      </c>
      <c r="S76" s="33">
        <f t="shared" si="32"/>
        <v>312.52665696117322</v>
      </c>
      <c r="T76" s="33">
        <f t="shared" si="32"/>
        <v>312.52665696117322</v>
      </c>
      <c r="U76" s="33">
        <f t="shared" si="32"/>
        <v>109.38432993641062</v>
      </c>
      <c r="V76" s="33">
        <f t="shared" si="32"/>
        <v>46.878998544175985</v>
      </c>
      <c r="W76" s="33">
        <f t="shared" si="32"/>
        <v>31.252665696117322</v>
      </c>
      <c r="X76" s="33">
        <f t="shared" si="32"/>
        <v>15.626332848058661</v>
      </c>
      <c r="Y76" s="33">
        <f t="shared" si="32"/>
        <v>15.626332848058661</v>
      </c>
    </row>
    <row r="77" spans="2:25" ht="4.05" customHeight="1" x14ac:dyDescent="0.45"/>
    <row r="78" spans="2:25" ht="18" customHeight="1" x14ac:dyDescent="0.45">
      <c r="B78" s="57" t="s">
        <v>233</v>
      </c>
      <c r="C78" s="58" t="s">
        <v>234</v>
      </c>
      <c r="D78" s="58" t="s">
        <v>235</v>
      </c>
      <c r="E78" s="59"/>
      <c r="F78" s="58" t="s">
        <v>236</v>
      </c>
      <c r="G78" s="5"/>
      <c r="H78" s="5"/>
      <c r="I78" s="5"/>
      <c r="J78" s="5"/>
      <c r="K78" s="5"/>
      <c r="L78" s="5"/>
      <c r="M78" s="5"/>
      <c r="N78" s="5"/>
      <c r="O78" s="5"/>
      <c r="P78" s="5"/>
      <c r="Q78" s="5"/>
      <c r="R78" s="5"/>
      <c r="S78" s="5"/>
      <c r="T78" s="5"/>
      <c r="U78" s="5"/>
      <c r="V78" s="5"/>
      <c r="W78" s="5"/>
      <c r="X78" s="5"/>
      <c r="Y78" s="5"/>
    </row>
    <row r="79" spans="2:25" x14ac:dyDescent="0.45">
      <c r="B79" s="60"/>
      <c r="C79" s="60" t="s">
        <v>237</v>
      </c>
      <c r="D79" s="60" t="s">
        <v>238</v>
      </c>
      <c r="E79" s="60"/>
      <c r="F79" s="60" t="s">
        <v>112</v>
      </c>
    </row>
    <row r="80" spans="2:25" x14ac:dyDescent="0.45">
      <c r="B80" s="25" t="s">
        <v>202</v>
      </c>
      <c r="C80" s="33">
        <f>SUMPRODUCT(F71:Y71,F46:Y46)</f>
        <v>-27.303701419305597</v>
      </c>
      <c r="D80" s="61">
        <f>1</f>
        <v>1</v>
      </c>
      <c r="E80" s="35"/>
      <c r="F80" s="33">
        <f>C80*D80</f>
        <v>-27.303701419305597</v>
      </c>
      <c r="G80" s="35"/>
      <c r="H80" s="35"/>
    </row>
    <row r="81" spans="2:25" x14ac:dyDescent="0.45">
      <c r="B81" s="25" t="s">
        <v>203</v>
      </c>
      <c r="C81" s="33">
        <f>SUMPRODUCT(F72:Y72,F46:Y46)</f>
        <v>-107.7781971997442</v>
      </c>
      <c r="D81" s="61">
        <f>Prob_P2</f>
        <v>0.35</v>
      </c>
      <c r="E81" s="35"/>
      <c r="F81" s="33">
        <f>C81*D81</f>
        <v>-37.722369019910467</v>
      </c>
      <c r="G81" s="35"/>
      <c r="H81" s="35"/>
    </row>
    <row r="82" spans="2:25" x14ac:dyDescent="0.45">
      <c r="B82" s="25" t="s">
        <v>204</v>
      </c>
      <c r="C82" s="33">
        <f>SUMPRODUCT(F73:Y73,F46:Y46)</f>
        <v>-2.9601262620089042</v>
      </c>
      <c r="D82" s="61">
        <f>Prob_P2*Prob_P3</f>
        <v>0.21</v>
      </c>
      <c r="E82" s="35"/>
      <c r="F82" s="33">
        <f>C82*D82</f>
        <v>-0.62162651502186983</v>
      </c>
      <c r="G82" s="35"/>
      <c r="H82" s="35"/>
    </row>
    <row r="83" spans="2:25" x14ac:dyDescent="0.45">
      <c r="B83" s="25" t="s">
        <v>239</v>
      </c>
      <c r="C83" s="33">
        <f>SUMPRODUCT(F76:Y76,F46:Y46)</f>
        <v>753.22573834803927</v>
      </c>
      <c r="D83" s="61">
        <f>Prob_P2*Prob_P3*Prob_Rev</f>
        <v>0.189</v>
      </c>
      <c r="E83" s="35"/>
      <c r="F83" s="33">
        <f>C83*D83</f>
        <v>142.35966454777943</v>
      </c>
      <c r="G83" s="35"/>
      <c r="H83" s="35"/>
    </row>
    <row r="84" spans="2:25" x14ac:dyDescent="0.45">
      <c r="B84" s="55" t="s">
        <v>240</v>
      </c>
      <c r="C84" s="35"/>
      <c r="D84" s="35"/>
      <c r="E84" s="35"/>
      <c r="F84" s="54">
        <f>SUM(F80:F83)</f>
        <v>76.711967593541502</v>
      </c>
      <c r="G84" s="35"/>
      <c r="H84" s="35"/>
    </row>
    <row r="85" spans="2:25" x14ac:dyDescent="0.45">
      <c r="B85" s="25" t="s">
        <v>241</v>
      </c>
      <c r="C85" s="33">
        <f>SUMPRODUCT(F71:Y71,F46:Y46)</f>
        <v>-27.303701419305597</v>
      </c>
      <c r="D85" s="61">
        <f>1</f>
        <v>1</v>
      </c>
      <c r="E85" s="35"/>
      <c r="F85" s="33">
        <f>C85*D85</f>
        <v>-27.303701419305597</v>
      </c>
      <c r="G85" s="35"/>
      <c r="H85" s="35"/>
    </row>
    <row r="86" spans="2:25" x14ac:dyDescent="0.45">
      <c r="B86" s="25" t="s">
        <v>242</v>
      </c>
      <c r="C86" s="33" cm="1">
        <f t="array" ref="C86">Upfront*INDEX(F46:Y46,B_Yr_P2)</f>
        <v>52.007050322486847</v>
      </c>
      <c r="D86" s="61">
        <f>Prob_P2</f>
        <v>0.35</v>
      </c>
      <c r="E86" s="35"/>
      <c r="F86" s="33">
        <f>C86*D86</f>
        <v>18.202467612870397</v>
      </c>
      <c r="G86" s="35"/>
      <c r="H86" s="35"/>
    </row>
    <row r="87" spans="2:25" x14ac:dyDescent="0.45">
      <c r="B87" s="25" t="s">
        <v>243</v>
      </c>
      <c r="C87" s="33" cm="1">
        <f t="array" ref="C87">Mile_P3*INDEX(F46:Y46,B_Yr_P3)</f>
        <v>26.049111105678353</v>
      </c>
      <c r="D87" s="61">
        <f>Prob_P2*Prob_P3</f>
        <v>0.21</v>
      </c>
      <c r="E87" s="35"/>
      <c r="F87" s="33">
        <f>C87*D87</f>
        <v>5.470313332192454</v>
      </c>
      <c r="G87" s="35"/>
      <c r="H87" s="35"/>
    </row>
    <row r="88" spans="2:25" x14ac:dyDescent="0.45">
      <c r="B88" s="25" t="s">
        <v>244</v>
      </c>
      <c r="C88" s="33" cm="1">
        <f t="array" ref="C88">Mile_Appr*INDEX(F46:Y46,B_Yr_Rev)+Royalty*SUMPRODUCT(F75:Y75,F46:Y46)</f>
        <v>302.38410132416743</v>
      </c>
      <c r="D88" s="61">
        <f>Prob_P2*Prob_P3*Prob_Rev</f>
        <v>0.189</v>
      </c>
      <c r="E88" s="35"/>
      <c r="F88" s="33">
        <f>C88*D88</f>
        <v>57.150595150267648</v>
      </c>
      <c r="G88" s="35"/>
      <c r="H88" s="35"/>
    </row>
    <row r="89" spans="2:25" x14ac:dyDescent="0.45">
      <c r="B89" s="55" t="s">
        <v>245</v>
      </c>
      <c r="C89" s="35"/>
      <c r="D89" s="35"/>
      <c r="E89" s="35"/>
      <c r="F89" s="54">
        <f>SUM(F85:F88)</f>
        <v>53.519674676024906</v>
      </c>
      <c r="G89" s="35"/>
      <c r="H89" s="35"/>
    </row>
    <row r="90" spans="2:25" x14ac:dyDescent="0.45">
      <c r="B90" s="25" t="s">
        <v>246</v>
      </c>
      <c r="C90" s="26" t="s">
        <v>112</v>
      </c>
      <c r="D90" s="33">
        <f>SUM(C80:C83)</f>
        <v>615.18371346698052</v>
      </c>
      <c r="E90" s="35"/>
      <c r="F90" s="26" t="s">
        <v>247</v>
      </c>
      <c r="G90" s="35"/>
      <c r="H90" s="35"/>
      <c r="I90" s="35"/>
      <c r="J90" s="35"/>
      <c r="K90" s="35"/>
      <c r="L90" s="35"/>
      <c r="M90" s="35"/>
      <c r="N90" s="35"/>
      <c r="O90" s="35"/>
      <c r="P90" s="35"/>
      <c r="Q90" s="35"/>
      <c r="R90" s="35"/>
      <c r="S90" s="35"/>
      <c r="T90" s="35"/>
      <c r="U90" s="35"/>
      <c r="V90" s="35"/>
      <c r="W90" s="35"/>
      <c r="X90" s="35"/>
      <c r="Y90" s="35"/>
    </row>
    <row r="91" spans="2:25" ht="8" customHeight="1" x14ac:dyDescent="0.45"/>
    <row r="92" spans="2:25" ht="22.05" customHeight="1" x14ac:dyDescent="0.5">
      <c r="B92" s="7" t="s">
        <v>248</v>
      </c>
      <c r="C92" s="8"/>
      <c r="D92" s="8"/>
      <c r="E92" s="8"/>
      <c r="F92" s="8"/>
      <c r="G92" s="8"/>
      <c r="H92" s="8"/>
      <c r="I92" s="8"/>
      <c r="J92" s="8"/>
      <c r="K92" s="8"/>
      <c r="L92" s="8"/>
      <c r="M92" s="8"/>
      <c r="N92" s="8"/>
      <c r="O92" s="8"/>
      <c r="P92" s="8"/>
      <c r="Q92" s="8"/>
      <c r="R92" s="8"/>
      <c r="S92" s="8"/>
      <c r="T92" s="8"/>
      <c r="U92" s="8"/>
      <c r="V92" s="8"/>
      <c r="W92" s="8"/>
      <c r="X92" s="8"/>
      <c r="Y92" s="8"/>
    </row>
    <row r="93" spans="2:25" ht="18" customHeight="1" x14ac:dyDescent="0.45">
      <c r="B93" s="13" t="s">
        <v>249</v>
      </c>
    </row>
    <row r="94" spans="2:25" ht="18" customHeight="1" x14ac:dyDescent="0.45">
      <c r="B94" s="47" t="s">
        <v>250</v>
      </c>
      <c r="C94" s="47" t="s">
        <v>99</v>
      </c>
      <c r="D94" s="49" t="s">
        <v>165</v>
      </c>
      <c r="E94" s="5"/>
      <c r="F94" s="47" t="s">
        <v>251</v>
      </c>
      <c r="G94" s="5"/>
      <c r="H94" s="5"/>
      <c r="I94" s="5"/>
      <c r="J94" s="5"/>
      <c r="K94" s="5"/>
      <c r="L94" s="5"/>
      <c r="M94" s="5"/>
      <c r="N94" s="5"/>
      <c r="O94" s="5"/>
      <c r="P94" s="5"/>
      <c r="Q94" s="5"/>
      <c r="R94" s="5"/>
      <c r="S94" s="5"/>
      <c r="T94" s="5"/>
      <c r="U94" s="5"/>
      <c r="V94" s="5"/>
      <c r="W94" s="5"/>
      <c r="X94" s="5"/>
      <c r="Y94" s="5"/>
    </row>
    <row r="95" spans="2:25" x14ac:dyDescent="0.45">
      <c r="B95" s="25" t="s">
        <v>252</v>
      </c>
      <c r="C95" s="26" t="s">
        <v>112</v>
      </c>
      <c r="D95" s="62" cm="1">
        <f t="array" aca="1" ref="D95" ca="1">_xll.VoseOutput("NPV, самостоятельная разработка","млн долл.")+SUMPRODUCT(F45:Y45,F46:Y46)</f>
        <v>446.34203154706717</v>
      </c>
      <c r="E95" s="35"/>
      <c r="F95" s="26"/>
      <c r="G95" s="35"/>
      <c r="H95" s="35"/>
      <c r="I95" s="35"/>
      <c r="J95" s="35"/>
      <c r="K95" s="35"/>
      <c r="L95" s="35"/>
      <c r="M95" s="35"/>
      <c r="N95" s="35"/>
      <c r="O95" s="35"/>
      <c r="P95" s="35"/>
      <c r="Q95" s="35"/>
      <c r="R95" s="35"/>
      <c r="S95" s="35"/>
      <c r="T95" s="35"/>
      <c r="U95" s="35"/>
      <c r="V95" s="35"/>
      <c r="W95" s="35"/>
      <c r="X95" s="35"/>
      <c r="Y95" s="35"/>
    </row>
    <row r="96" spans="2:25" x14ac:dyDescent="0.45">
      <c r="B96" s="25" t="s">
        <v>253</v>
      </c>
      <c r="C96" s="26" t="s">
        <v>112</v>
      </c>
      <c r="D96" s="62" cm="1">
        <f t="array" aca="1" ref="D96" ca="1">_xll.VoseOutput("NPV, лицензия","млн долл.")+SUMPRODUCT(F55:Y55,F46:Y46)</f>
        <v>292.49854655174624</v>
      </c>
      <c r="E96" s="35"/>
      <c r="F96" s="26"/>
      <c r="G96" s="35"/>
      <c r="H96" s="35"/>
      <c r="I96" s="35"/>
      <c r="J96" s="35"/>
      <c r="K96" s="35"/>
      <c r="L96" s="35"/>
      <c r="M96" s="35"/>
      <c r="N96" s="35"/>
      <c r="O96" s="35"/>
      <c r="P96" s="35"/>
      <c r="Q96" s="35"/>
      <c r="R96" s="35"/>
      <c r="S96" s="35"/>
      <c r="T96" s="35"/>
      <c r="U96" s="35"/>
      <c r="V96" s="35"/>
      <c r="W96" s="35"/>
      <c r="X96" s="35"/>
      <c r="Y96" s="35"/>
    </row>
    <row r="97" spans="2:25" x14ac:dyDescent="0.45">
      <c r="B97" s="25" t="s">
        <v>254</v>
      </c>
      <c r="C97" s="26" t="s">
        <v>168</v>
      </c>
      <c r="D97" s="63" cm="1">
        <f t="array" aca="1" ref="D97" ca="1">_xll.VoseOutput("Лицензирование выгоднее","1 = да")+IF(NPV_L&gt;NPV_A,1,0)</f>
        <v>0</v>
      </c>
      <c r="E97" s="35"/>
      <c r="F97" s="26" t="s">
        <v>255</v>
      </c>
      <c r="G97" s="35"/>
      <c r="H97" s="35"/>
      <c r="I97" s="35"/>
      <c r="J97" s="35"/>
      <c r="K97" s="35"/>
      <c r="L97" s="35"/>
      <c r="M97" s="35"/>
      <c r="N97" s="35"/>
      <c r="O97" s="35"/>
      <c r="P97" s="35"/>
      <c r="Q97" s="35"/>
      <c r="R97" s="35"/>
      <c r="S97" s="35"/>
      <c r="T97" s="35"/>
      <c r="U97" s="35"/>
      <c r="V97" s="35"/>
      <c r="W97" s="35"/>
      <c r="X97" s="35"/>
      <c r="Y97" s="35"/>
    </row>
    <row r="98" spans="2:25" x14ac:dyDescent="0.45">
      <c r="B98" s="25" t="s">
        <v>256</v>
      </c>
      <c r="C98" s="26" t="s">
        <v>168</v>
      </c>
      <c r="D98" s="63" cm="1">
        <f t="array" aca="1" ref="D98" ca="1">_xll.VoseOutput("Исход 1","1 = да")+IF(Outcome=1,1,0)</f>
        <v>0</v>
      </c>
      <c r="E98" s="35"/>
      <c r="F98" s="26" t="s">
        <v>257</v>
      </c>
      <c r="G98" s="35"/>
      <c r="H98" s="35"/>
      <c r="I98" s="35"/>
      <c r="J98" s="35"/>
      <c r="K98" s="35"/>
      <c r="L98" s="35"/>
      <c r="M98" s="35"/>
      <c r="N98" s="35"/>
      <c r="O98" s="35"/>
      <c r="P98" s="35"/>
      <c r="Q98" s="35"/>
      <c r="R98" s="35"/>
      <c r="S98" s="35"/>
      <c r="T98" s="35"/>
      <c r="U98" s="35"/>
      <c r="V98" s="35"/>
      <c r="W98" s="35"/>
      <c r="X98" s="35"/>
      <c r="Y98" s="35"/>
    </row>
    <row r="99" spans="2:25" x14ac:dyDescent="0.45">
      <c r="B99" s="25" t="s">
        <v>258</v>
      </c>
      <c r="C99" s="26" t="s">
        <v>168</v>
      </c>
      <c r="D99" s="63" cm="1">
        <f t="array" aca="1" ref="D99" ca="1">_xll.VoseOutput("Исход 2","1 = да")+IF(Outcome=2,1,0)</f>
        <v>0</v>
      </c>
      <c r="E99" s="35"/>
      <c r="F99" s="26"/>
      <c r="G99" s="35"/>
      <c r="H99" s="35"/>
      <c r="I99" s="35"/>
      <c r="J99" s="35"/>
      <c r="K99" s="35"/>
      <c r="L99" s="35"/>
      <c r="M99" s="35"/>
      <c r="N99" s="35"/>
      <c r="O99" s="35"/>
      <c r="P99" s="35"/>
      <c r="Q99" s="35"/>
      <c r="R99" s="35"/>
      <c r="S99" s="35"/>
      <c r="T99" s="35"/>
      <c r="U99" s="35"/>
      <c r="V99" s="35"/>
      <c r="W99" s="35"/>
      <c r="X99" s="35"/>
      <c r="Y99" s="35"/>
    </row>
    <row r="100" spans="2:25" x14ac:dyDescent="0.45">
      <c r="B100" s="25" t="s">
        <v>259</v>
      </c>
      <c r="C100" s="26" t="s">
        <v>168</v>
      </c>
      <c r="D100" s="63" cm="1">
        <f t="array" aca="1" ref="D100" ca="1">_xll.VoseOutput("Исход 3","1 = да")+IF(Outcome=3,1,0)</f>
        <v>0</v>
      </c>
      <c r="E100" s="35"/>
      <c r="F100" s="26"/>
      <c r="G100" s="35"/>
      <c r="H100" s="35"/>
      <c r="I100" s="35"/>
      <c r="J100" s="35"/>
      <c r="K100" s="35"/>
      <c r="L100" s="35"/>
      <c r="M100" s="35"/>
      <c r="N100" s="35"/>
      <c r="O100" s="35"/>
      <c r="P100" s="35"/>
      <c r="Q100" s="35"/>
      <c r="R100" s="35"/>
      <c r="S100" s="35"/>
      <c r="T100" s="35"/>
      <c r="U100" s="35"/>
      <c r="V100" s="35"/>
      <c r="W100" s="35"/>
      <c r="X100" s="35"/>
      <c r="Y100" s="35"/>
    </row>
    <row r="101" spans="2:25" x14ac:dyDescent="0.45">
      <c r="B101" s="25" t="s">
        <v>174</v>
      </c>
      <c r="C101" s="26" t="s">
        <v>168</v>
      </c>
      <c r="D101" s="63" cm="1">
        <f t="array" aca="1" ref="D101" ca="1">_xll.VoseOutput("Исход 4","1 = да")+IF(Outcome=4,1,0)</f>
        <v>1</v>
      </c>
      <c r="E101" s="35"/>
      <c r="F101" s="26"/>
      <c r="G101" s="35"/>
      <c r="H101" s="35"/>
      <c r="I101" s="35"/>
      <c r="J101" s="35"/>
      <c r="K101" s="35"/>
      <c r="L101" s="35"/>
      <c r="M101" s="35"/>
      <c r="N101" s="35"/>
      <c r="O101" s="35"/>
      <c r="P101" s="35"/>
      <c r="Q101" s="35"/>
      <c r="R101" s="35"/>
      <c r="S101" s="35"/>
      <c r="T101" s="35"/>
      <c r="U101" s="35"/>
      <c r="V101" s="35"/>
      <c r="W101" s="35"/>
      <c r="X101" s="35"/>
      <c r="Y101" s="35"/>
    </row>
    <row r="102" spans="2:25" x14ac:dyDescent="0.45">
      <c r="B102" s="25" t="s">
        <v>260</v>
      </c>
      <c r="C102" s="26" t="s">
        <v>112</v>
      </c>
      <c r="D102" s="62" cm="1">
        <f t="array" aca="1" ref="D102" ca="1">_xll.VoseOutput("NPV самим x исход 1","млн долл.")+NPV_A*Is_1</f>
        <v>0</v>
      </c>
      <c r="E102" s="35"/>
      <c r="F102" s="26" t="s">
        <v>261</v>
      </c>
      <c r="G102" s="35"/>
      <c r="H102" s="35"/>
      <c r="I102" s="35"/>
      <c r="J102" s="35"/>
      <c r="K102" s="35"/>
      <c r="L102" s="35"/>
      <c r="M102" s="35"/>
      <c r="N102" s="35"/>
      <c r="O102" s="35"/>
      <c r="P102" s="35"/>
      <c r="Q102" s="35"/>
      <c r="R102" s="35"/>
      <c r="S102" s="35"/>
      <c r="T102" s="35"/>
      <c r="U102" s="35"/>
      <c r="V102" s="35"/>
      <c r="W102" s="35"/>
      <c r="X102" s="35"/>
      <c r="Y102" s="35"/>
    </row>
    <row r="103" spans="2:25" x14ac:dyDescent="0.45">
      <c r="B103" s="25" t="s">
        <v>262</v>
      </c>
      <c r="C103" s="26" t="s">
        <v>112</v>
      </c>
      <c r="D103" s="62" cm="1">
        <f t="array" aca="1" ref="D103" ca="1">_xll.VoseOutput("NPV самим x исход 2","млн долл.")+NPV_A*Is_2</f>
        <v>0</v>
      </c>
      <c r="E103" s="35"/>
      <c r="F103" s="26"/>
      <c r="G103" s="35"/>
      <c r="H103" s="35"/>
      <c r="I103" s="35"/>
      <c r="J103" s="35"/>
      <c r="K103" s="35"/>
      <c r="L103" s="35"/>
      <c r="M103" s="35"/>
      <c r="N103" s="35"/>
      <c r="O103" s="35"/>
      <c r="P103" s="35"/>
      <c r="Q103" s="35"/>
      <c r="R103" s="35"/>
      <c r="S103" s="35"/>
      <c r="T103" s="35"/>
      <c r="U103" s="35"/>
      <c r="V103" s="35"/>
      <c r="W103" s="35"/>
      <c r="X103" s="35"/>
      <c r="Y103" s="35"/>
    </row>
    <row r="104" spans="2:25" x14ac:dyDescent="0.45">
      <c r="B104" s="25" t="s">
        <v>263</v>
      </c>
      <c r="C104" s="26" t="s">
        <v>112</v>
      </c>
      <c r="D104" s="62" cm="1">
        <f t="array" aca="1" ref="D104" ca="1">_xll.VoseOutput("NPV самим x исход 3","млн долл.")+NPV_A*Is_3</f>
        <v>0</v>
      </c>
      <c r="E104" s="35"/>
      <c r="F104" s="26"/>
      <c r="G104" s="35"/>
      <c r="H104" s="35"/>
      <c r="I104" s="35"/>
      <c r="J104" s="35"/>
      <c r="K104" s="35"/>
      <c r="L104" s="35"/>
      <c r="M104" s="35"/>
      <c r="N104" s="35"/>
      <c r="O104" s="35"/>
      <c r="P104" s="35"/>
      <c r="Q104" s="35"/>
      <c r="R104" s="35"/>
      <c r="S104" s="35"/>
      <c r="T104" s="35"/>
      <c r="U104" s="35"/>
      <c r="V104" s="35"/>
      <c r="W104" s="35"/>
      <c r="X104" s="35"/>
      <c r="Y104" s="35"/>
    </row>
    <row r="105" spans="2:25" x14ac:dyDescent="0.45">
      <c r="B105" s="25" t="s">
        <v>264</v>
      </c>
      <c r="C105" s="26" t="s">
        <v>112</v>
      </c>
      <c r="D105" s="62" cm="1">
        <f t="array" aca="1" ref="D105" ca="1">_xll.VoseOutput("NPV самим x исход 4","млн долл.")+NPV_A*Is_4</f>
        <v>446.34203154706717</v>
      </c>
      <c r="E105" s="35"/>
      <c r="F105" s="26"/>
      <c r="G105" s="35"/>
      <c r="H105" s="35"/>
      <c r="I105" s="35"/>
      <c r="J105" s="35"/>
      <c r="K105" s="35"/>
      <c r="L105" s="35"/>
      <c r="M105" s="35"/>
      <c r="N105" s="35"/>
      <c r="O105" s="35"/>
      <c r="P105" s="35"/>
      <c r="Q105" s="35"/>
      <c r="R105" s="35"/>
      <c r="S105" s="35"/>
      <c r="T105" s="35"/>
      <c r="U105" s="35"/>
      <c r="V105" s="35"/>
      <c r="W105" s="35"/>
      <c r="X105" s="35"/>
      <c r="Y105" s="35"/>
    </row>
    <row r="106" spans="2:25" x14ac:dyDescent="0.45">
      <c r="B106" s="25" t="s">
        <v>265</v>
      </c>
      <c r="C106" s="26" t="s">
        <v>112</v>
      </c>
      <c r="D106" s="62" cm="1">
        <f t="array" aca="1" ref="D106" ca="1">_xll.VoseOutput("NPV лицензия x исход 1","млн долл.")+NPV_L*Is_1</f>
        <v>0</v>
      </c>
      <c r="E106" s="35"/>
      <c r="F106" s="26"/>
      <c r="G106" s="35"/>
      <c r="H106" s="35"/>
      <c r="I106" s="35"/>
      <c r="J106" s="35"/>
      <c r="K106" s="35"/>
      <c r="L106" s="35"/>
      <c r="M106" s="35"/>
      <c r="N106" s="35"/>
      <c r="O106" s="35"/>
      <c r="P106" s="35"/>
      <c r="Q106" s="35"/>
      <c r="R106" s="35"/>
      <c r="S106" s="35"/>
      <c r="T106" s="35"/>
      <c r="U106" s="35"/>
      <c r="V106" s="35"/>
      <c r="W106" s="35"/>
      <c r="X106" s="35"/>
      <c r="Y106" s="35"/>
    </row>
    <row r="107" spans="2:25" x14ac:dyDescent="0.45">
      <c r="B107" s="25" t="s">
        <v>266</v>
      </c>
      <c r="C107" s="26" t="s">
        <v>112</v>
      </c>
      <c r="D107" s="62" cm="1">
        <f t="array" aca="1" ref="D107" ca="1">_xll.VoseOutput("NPV лицензия x исход 2","млн долл.")+NPV_L*Is_2</f>
        <v>0</v>
      </c>
      <c r="E107" s="35"/>
      <c r="F107" s="26"/>
      <c r="G107" s="35"/>
      <c r="H107" s="35"/>
      <c r="I107" s="35"/>
      <c r="J107" s="35"/>
      <c r="K107" s="35"/>
      <c r="L107" s="35"/>
      <c r="M107" s="35"/>
      <c r="N107" s="35"/>
      <c r="O107" s="35"/>
      <c r="P107" s="35"/>
      <c r="Q107" s="35"/>
      <c r="R107" s="35"/>
      <c r="S107" s="35"/>
      <c r="T107" s="35"/>
      <c r="U107" s="35"/>
      <c r="V107" s="35"/>
      <c r="W107" s="35"/>
      <c r="X107" s="35"/>
      <c r="Y107" s="35"/>
    </row>
    <row r="108" spans="2:25" x14ac:dyDescent="0.45">
      <c r="B108" s="25" t="s">
        <v>267</v>
      </c>
      <c r="C108" s="26" t="s">
        <v>112</v>
      </c>
      <c r="D108" s="62" cm="1">
        <f t="array" aca="1" ref="D108" ca="1">_xll.VoseOutput("NPV лицензия x исход 3","млн долл.")+NPV_L*Is_3</f>
        <v>0</v>
      </c>
      <c r="E108" s="35"/>
      <c r="F108" s="26"/>
      <c r="G108" s="35"/>
      <c r="H108" s="35"/>
      <c r="I108" s="35"/>
      <c r="J108" s="35"/>
      <c r="K108" s="35"/>
      <c r="L108" s="35"/>
      <c r="M108" s="35"/>
      <c r="N108" s="35"/>
      <c r="O108" s="35"/>
      <c r="P108" s="35"/>
      <c r="Q108" s="35"/>
      <c r="R108" s="35"/>
      <c r="S108" s="35"/>
      <c r="T108" s="35"/>
      <c r="U108" s="35"/>
      <c r="V108" s="35"/>
      <c r="W108" s="35"/>
      <c r="X108" s="35"/>
      <c r="Y108" s="35"/>
    </row>
    <row r="109" spans="2:25" x14ac:dyDescent="0.45">
      <c r="B109" s="25" t="s">
        <v>268</v>
      </c>
      <c r="C109" s="26" t="s">
        <v>112</v>
      </c>
      <c r="D109" s="62" cm="1">
        <f t="array" aca="1" ref="D109" ca="1">_xll.VoseOutput("NPV лицензия x исход 4","млн долл.")+NPV_L*Is_4</f>
        <v>292.49854655174624</v>
      </c>
      <c r="E109" s="35"/>
      <c r="F109" s="26"/>
      <c r="G109" s="35"/>
      <c r="H109" s="35"/>
      <c r="I109" s="35"/>
      <c r="J109" s="35"/>
      <c r="K109" s="35"/>
      <c r="L109" s="35"/>
      <c r="M109" s="35"/>
      <c r="N109" s="35"/>
      <c r="O109" s="35"/>
      <c r="P109" s="35"/>
      <c r="Q109" s="35"/>
      <c r="R109" s="35"/>
      <c r="S109" s="35"/>
      <c r="T109" s="35"/>
      <c r="U109" s="35"/>
      <c r="V109" s="35"/>
      <c r="W109" s="35"/>
      <c r="X109" s="35"/>
      <c r="Y109" s="35"/>
    </row>
    <row r="110" spans="2:25" ht="8" customHeight="1" x14ac:dyDescent="0.45"/>
    <row r="111" spans="2:25" ht="22.05" customHeight="1" x14ac:dyDescent="0.5">
      <c r="B111" s="7" t="s">
        <v>269</v>
      </c>
      <c r="C111" s="8"/>
      <c r="D111" s="8"/>
      <c r="E111" s="8"/>
      <c r="F111" s="8"/>
      <c r="G111" s="8"/>
      <c r="H111" s="8"/>
      <c r="I111" s="8"/>
      <c r="J111" s="8"/>
      <c r="K111" s="8"/>
      <c r="L111" s="8"/>
      <c r="M111" s="8"/>
      <c r="N111" s="8"/>
      <c r="O111" s="8"/>
      <c r="P111" s="8"/>
      <c r="Q111" s="8"/>
      <c r="R111" s="8"/>
      <c r="S111" s="8"/>
      <c r="T111" s="8"/>
      <c r="U111" s="8"/>
      <c r="V111" s="8"/>
      <c r="W111" s="8"/>
      <c r="X111" s="8"/>
      <c r="Y111" s="8"/>
    </row>
    <row r="112" spans="2:25" ht="18" customHeight="1" x14ac:dyDescent="0.45">
      <c r="B112" s="13" t="s">
        <v>270</v>
      </c>
    </row>
    <row r="113" spans="2:25" x14ac:dyDescent="0.45">
      <c r="B113" s="25" t="s">
        <v>271</v>
      </c>
      <c r="C113" s="35"/>
      <c r="D113" s="64" t="str">
        <f>IF(AND(Prob_P2&gt;=0,Prob_P2&lt;=1,Prob_P3&gt;=0,Prob_P3&lt;=1,Prob_Rev&gt;=0,Prob_Rev&lt;=1),"ОК","ПРОВЕРИТЬ")</f>
        <v>ОК</v>
      </c>
      <c r="E113" s="35"/>
      <c r="F113" s="35"/>
      <c r="G113" s="35"/>
      <c r="H113" s="35"/>
      <c r="I113" s="35"/>
      <c r="J113" s="35"/>
      <c r="K113" s="35"/>
      <c r="L113" s="35"/>
      <c r="M113" s="35"/>
      <c r="N113" s="35"/>
      <c r="O113" s="35"/>
      <c r="P113" s="35"/>
      <c r="Q113" s="35"/>
      <c r="R113" s="35"/>
      <c r="S113" s="35"/>
      <c r="T113" s="35"/>
      <c r="U113" s="35"/>
      <c r="V113" s="35"/>
      <c r="W113" s="35"/>
      <c r="X113" s="35"/>
      <c r="Y113" s="35"/>
    </row>
    <row r="114" spans="2:25" x14ac:dyDescent="0.45">
      <c r="B114" s="25" t="s">
        <v>272</v>
      </c>
      <c r="C114" s="35"/>
      <c r="D114" s="64" t="str">
        <f>IF(Expiry-(FirstYear-1)&gt;Dur_P2_Hi+Dur_P3_Hi+Dur_Rev_Hi,"ОК","ПРОВЕРИТЬ")</f>
        <v>ОК</v>
      </c>
      <c r="E114" s="35"/>
      <c r="F114" s="35"/>
      <c r="G114" s="35"/>
      <c r="H114" s="35"/>
      <c r="I114" s="35"/>
      <c r="J114" s="35"/>
      <c r="K114" s="35"/>
      <c r="L114" s="35"/>
      <c r="M114" s="35"/>
      <c r="N114" s="35"/>
      <c r="O114" s="35"/>
      <c r="P114" s="35"/>
      <c r="Q114" s="35"/>
      <c r="R114" s="35"/>
      <c r="S114" s="35"/>
      <c r="T114" s="35"/>
      <c r="U114" s="35"/>
      <c r="V114" s="35"/>
      <c r="W114" s="35"/>
      <c r="X114" s="35"/>
      <c r="Y114" s="35"/>
    </row>
    <row r="115" spans="2:25" x14ac:dyDescent="0.45">
      <c r="B115" s="25" t="s">
        <v>273</v>
      </c>
      <c r="C115" s="35"/>
      <c r="D115" s="64" t="str">
        <f>IF(FirstYear-1+20&gt;Expiry+3,"ОК","ПРОВЕРИТЬ")</f>
        <v>ОК</v>
      </c>
      <c r="E115" s="35"/>
      <c r="F115" s="35"/>
      <c r="G115" s="35"/>
      <c r="H115" s="35"/>
      <c r="I115" s="35"/>
      <c r="J115" s="35"/>
      <c r="K115" s="35"/>
      <c r="L115" s="35"/>
      <c r="M115" s="35"/>
      <c r="N115" s="35"/>
      <c r="O115" s="35"/>
      <c r="P115" s="35"/>
      <c r="Q115" s="35"/>
      <c r="R115" s="35"/>
      <c r="S115" s="35"/>
      <c r="T115" s="35"/>
      <c r="U115" s="35"/>
      <c r="V115" s="35"/>
      <c r="W115" s="35"/>
      <c r="X115" s="35"/>
      <c r="Y115" s="35"/>
    </row>
    <row r="116" spans="2:25" x14ac:dyDescent="0.45">
      <c r="B116" s="25" t="s">
        <v>274</v>
      </c>
      <c r="C116" s="35"/>
      <c r="D116" s="64" t="str">
        <f ca="1">IF(OR(Launched=1,SUM(F39:Y39)=0),"ОК","ПРОВЕРИТЬ")</f>
        <v>ОК</v>
      </c>
      <c r="E116" s="35"/>
      <c r="F116" s="35"/>
      <c r="G116" s="35"/>
      <c r="H116" s="35"/>
      <c r="I116" s="35"/>
      <c r="J116" s="35"/>
      <c r="K116" s="35"/>
      <c r="L116" s="35"/>
      <c r="M116" s="35"/>
      <c r="N116" s="35"/>
      <c r="O116" s="35"/>
      <c r="P116" s="35"/>
      <c r="Q116" s="35"/>
      <c r="R116" s="35"/>
      <c r="S116" s="35"/>
      <c r="T116" s="35"/>
      <c r="U116" s="35"/>
      <c r="V116" s="35"/>
      <c r="W116" s="35"/>
      <c r="X116" s="35"/>
      <c r="Y116" s="35"/>
    </row>
    <row r="117" spans="2:25" ht="14" customHeight="1" x14ac:dyDescent="0.45"/>
  </sheetData>
  <conditionalFormatting sqref="D113:D116">
    <cfRule type="expression" dxfId="4" priority="1">
      <formula>D113="CHECK"</formula>
    </cfRule>
  </conditionalFormatting>
  <hyperlinks>
    <hyperlink ref="B4" location="'Исходные данные'!A1" display="◂  Исходные данные" xr:uid="{00000000-0004-0000-0200-000000000000}"/>
    <hyperlink ref="Y4" location="'Результаты'!A1" display="Далее:  Результаты  ▸" xr:uid="{00000000-0004-0000-0200-000001000000}"/>
  </hyperlinks>
  <printOptions horizontalCentered="1"/>
  <pageMargins left="0.4" right="0.4" top="0.5" bottom="0.6" header="0.25" footer="0.25"/>
  <pageSetup paperSize="8" scale="67" fitToHeight="0" orientation="landscape" r:id="rId1"/>
  <headerFooter>
    <oddFooter>&amp;L&amp;K3F5876&amp;8&amp;F · &amp;A&amp;R&amp;K3F5876&amp;8Page &amp;P of &amp;N</oddFooter>
  </headerFooter>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5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275</v>
      </c>
      <c r="C3" s="1"/>
      <c r="D3" s="1"/>
      <c r="E3" s="1"/>
      <c r="F3" s="1"/>
      <c r="G3" s="1"/>
      <c r="H3" s="1"/>
      <c r="I3" s="1"/>
      <c r="J3" s="1"/>
      <c r="K3" s="1"/>
      <c r="L3" s="1"/>
      <c r="M3" s="1"/>
      <c r="N3" s="1"/>
      <c r="O3" s="1"/>
      <c r="P3" s="1"/>
      <c r="Q3" s="1"/>
      <c r="R3" s="1"/>
    </row>
    <row r="4" spans="1:18" ht="20" customHeight="1" x14ac:dyDescent="0.45">
      <c r="A4" s="5"/>
      <c r="B4" s="22" t="s">
        <v>276</v>
      </c>
      <c r="C4" s="5"/>
      <c r="D4" s="5"/>
      <c r="E4" s="5"/>
      <c r="F4" s="5"/>
      <c r="G4" s="5"/>
      <c r="H4" s="5"/>
      <c r="I4" s="5"/>
      <c r="J4" s="5"/>
      <c r="K4" s="5"/>
      <c r="L4" s="5"/>
      <c r="M4" s="5"/>
      <c r="N4" s="5"/>
      <c r="O4" s="5"/>
      <c r="P4" s="5"/>
      <c r="Q4" s="5"/>
      <c r="R4" s="5"/>
    </row>
    <row r="5" spans="1:18" ht="8" customHeight="1" x14ac:dyDescent="0.45"/>
    <row r="6" spans="1:18" ht="26" customHeight="1" x14ac:dyDescent="0.45">
      <c r="B6" s="65" t="str" cm="1">
        <f t="array" aca="1" ref="B6" ca="1">IF(ISNUMBER(_xll.VoseSimMean(NPV_A)),"✔  Показаны результаты последнего моделирования в этом сеансе Excel. После изменения исходных данных запустите моделирование снова.","▶  Результатов моделирования пока нет. Запустите моделирование на ленте МоделРиск — лист заполнится автоматически.")</f>
        <v>✔  Показаны результаты последнего моделирования в этом сеансе Excel. После изменения исходных данных запустите моделирование снова.</v>
      </c>
      <c r="C6" s="66"/>
      <c r="D6" s="66"/>
      <c r="E6" s="66"/>
      <c r="F6" s="66"/>
      <c r="G6" s="66"/>
    </row>
    <row r="7" spans="1:18" x14ac:dyDescent="0.45">
      <c r="B7" s="67" t="str">
        <f ca="1">IF(COUNTIF(Checks,"ПРОВЕРИТЬ")=0,"✔  Все проверки модели пройдены («ОК»).","✗  "&amp;COUNTIF(Checks,"ПРОВЕРИТЬ")&amp;" проверок не пройдено («ПРОВЕРИТЬ»): см. раздел «Проверки модели» в конце расчетного листа.")</f>
        <v>✔  Все проверки модели пройдены («ОК»).</v>
      </c>
    </row>
    <row r="8" spans="1:18" ht="8" customHeight="1" x14ac:dyDescent="0.45"/>
    <row r="9" spans="1:18" ht="22.05" customHeight="1" x14ac:dyDescent="0.5">
      <c r="B9" s="7" t="s">
        <v>277</v>
      </c>
      <c r="C9" s="8"/>
      <c r="D9" s="8"/>
      <c r="E9" s="8"/>
      <c r="F9" s="8"/>
      <c r="G9" s="8"/>
      <c r="I9" s="68" t="s">
        <v>278</v>
      </c>
      <c r="J9" s="8"/>
      <c r="K9" s="8"/>
      <c r="L9" s="8"/>
      <c r="M9" s="8"/>
      <c r="N9" s="8"/>
      <c r="O9" s="8"/>
      <c r="P9" s="8"/>
      <c r="Q9" s="8"/>
      <c r="R9" s="8"/>
    </row>
    <row r="10" spans="1:18" ht="18" customHeight="1" x14ac:dyDescent="0.45">
      <c r="B10" s="13" t="s">
        <v>279</v>
      </c>
    </row>
    <row r="11" spans="1:18" ht="18" customHeight="1" x14ac:dyDescent="0.45">
      <c r="B11" s="69" t="s">
        <v>280</v>
      </c>
      <c r="C11" s="70" t="s">
        <v>61</v>
      </c>
      <c r="D11" s="70" t="s">
        <v>281</v>
      </c>
      <c r="E11" s="70" t="s">
        <v>235</v>
      </c>
      <c r="F11" s="70" t="s">
        <v>282</v>
      </c>
      <c r="G11" s="70" t="s">
        <v>282</v>
      </c>
    </row>
    <row r="12" spans="1:18" x14ac:dyDescent="0.45">
      <c r="B12" s="60"/>
      <c r="C12" s="60" t="s">
        <v>283</v>
      </c>
      <c r="D12" s="60" t="s">
        <v>284</v>
      </c>
      <c r="E12" s="60" t="s">
        <v>285</v>
      </c>
      <c r="F12" s="60" t="s">
        <v>286</v>
      </c>
      <c r="G12" s="60" t="s">
        <v>287</v>
      </c>
    </row>
    <row r="13" spans="1:18" x14ac:dyDescent="0.45">
      <c r="B13" s="55" t="s">
        <v>288</v>
      </c>
      <c r="C13" s="33">
        <f>rNPV_A</f>
        <v>76.711967593541502</v>
      </c>
      <c r="D13" s="71" cm="1">
        <f t="array" aca="1" ref="D13" ca="1">_xll.VoseSimMean(NPV_A)</f>
        <v>61.489622651126609</v>
      </c>
      <c r="E13" s="72" cm="1">
        <f t="array" aca="1" ref="E13" ca="1">_xll.VoseSimProbability(NPV_A,0)</f>
        <v>0.81991800819918004</v>
      </c>
      <c r="F13" s="71" cm="1">
        <f t="array" aca="1" ref="F13" ca="1">_xll.VoseSimPercentile(NPV_A,0.05)</f>
        <v>-143.13887381393204</v>
      </c>
      <c r="G13" s="71" cm="1">
        <f t="array" aca="1" ref="G13" ca="1">_xll.VoseSimPercentile(NPV_A,0.95)</f>
        <v>713.21103881204226</v>
      </c>
    </row>
    <row r="14" spans="1:18" x14ac:dyDescent="0.45">
      <c r="B14" s="25" t="s">
        <v>289</v>
      </c>
      <c r="C14" s="33">
        <f>rNPV_L</f>
        <v>53.519674676024906</v>
      </c>
      <c r="D14" s="71" cm="1">
        <f t="array" aca="1" ref="D14" ca="1">_xll.VoseSimMean(NPV_L)</f>
        <v>45.522854329925188</v>
      </c>
      <c r="E14" s="72" cm="1">
        <f t="array" aca="1" ref="E14" ca="1">_xll.VoseSimProbability(NPV_L,0)</f>
        <v>0.6506349365063494</v>
      </c>
      <c r="F14" s="71" cm="1">
        <f t="array" aca="1" ref="F14" ca="1">_xll.VoseSimPercentile(NPV_L,0.05)</f>
        <v>-31.827323186380909</v>
      </c>
      <c r="G14" s="71" cm="1">
        <f t="array" aca="1" ref="G14" ca="1">_xll.VoseSimPercentile(NPV_L,0.95)</f>
        <v>379.16032317469922</v>
      </c>
    </row>
    <row r="15" spans="1:18" x14ac:dyDescent="0.45">
      <c r="B15" s="25" t="s">
        <v>290</v>
      </c>
      <c r="C15" s="35"/>
      <c r="D15" s="72" cm="1">
        <f t="array" aca="1" ref="D15" ca="1">_xll.VoseSimMean(LicBetter)</f>
        <v>0.20050000000000001</v>
      </c>
      <c r="E15" s="35"/>
      <c r="F15" s="35"/>
      <c r="G15" s="35"/>
    </row>
    <row r="16" spans="1:18" ht="8" customHeight="1" x14ac:dyDescent="0.45"/>
    <row r="25" spans="2:18" ht="22.05" customHeight="1" x14ac:dyDescent="0.5">
      <c r="B25" s="7" t="s">
        <v>291</v>
      </c>
      <c r="C25" s="8"/>
      <c r="D25" s="8"/>
      <c r="E25" s="8"/>
      <c r="F25" s="8"/>
      <c r="G25" s="8"/>
      <c r="I25" s="68" t="s">
        <v>292</v>
      </c>
      <c r="J25" s="8"/>
      <c r="K25" s="8"/>
      <c r="L25" s="8"/>
      <c r="M25" s="8"/>
      <c r="N25" s="8"/>
      <c r="O25" s="8"/>
      <c r="P25" s="8"/>
      <c r="Q25" s="8"/>
      <c r="R25" s="8"/>
    </row>
    <row r="26" spans="2:18" ht="18" customHeight="1" x14ac:dyDescent="0.45">
      <c r="B26" s="13" t="s">
        <v>293</v>
      </c>
    </row>
    <row r="27" spans="2:18" ht="18" customHeight="1" x14ac:dyDescent="0.45">
      <c r="B27" s="69" t="s">
        <v>176</v>
      </c>
      <c r="C27" s="70" t="s">
        <v>235</v>
      </c>
      <c r="D27" s="70" t="s">
        <v>294</v>
      </c>
      <c r="E27" s="70" t="s">
        <v>295</v>
      </c>
      <c r="F27" s="70" t="s">
        <v>294</v>
      </c>
      <c r="G27" s="70" t="s">
        <v>295</v>
      </c>
    </row>
    <row r="28" spans="2:18" x14ac:dyDescent="0.45">
      <c r="B28" s="60"/>
      <c r="C28" s="60"/>
      <c r="D28" s="60" t="s">
        <v>296</v>
      </c>
      <c r="E28" s="60" t="s">
        <v>296</v>
      </c>
      <c r="F28" s="60" t="s">
        <v>297</v>
      </c>
      <c r="G28" s="60" t="s">
        <v>297</v>
      </c>
    </row>
    <row r="29" spans="2:18" x14ac:dyDescent="0.45">
      <c r="B29" s="25" t="s">
        <v>298</v>
      </c>
      <c r="C29" s="73" cm="1">
        <f t="array" aca="1" ref="C29" ca="1">_xll.VoseSimMean(Is_1)</f>
        <v>0.65069999999999995</v>
      </c>
      <c r="D29" s="71">
        <f ca="1">IFERROR(F29/C29,"–")</f>
        <v>-27.907924956888376</v>
      </c>
      <c r="E29" s="71">
        <f ca="1">IFERROR(G29/C29,"–")</f>
        <v>-27.907924956888376</v>
      </c>
      <c r="F29" s="71" cm="1">
        <f t="array" aca="1" ref="F29" ca="1">_xll.VoseSimMean(AxO_1)</f>
        <v>-18.159686769447266</v>
      </c>
      <c r="G29" s="71" cm="1">
        <f t="array" aca="1" ref="G29" ca="1">_xll.VoseSimMean(LxO_1)</f>
        <v>-18.159686769447266</v>
      </c>
    </row>
    <row r="30" spans="2:18" x14ac:dyDescent="0.45">
      <c r="B30" s="25" t="s">
        <v>299</v>
      </c>
      <c r="C30" s="73" cm="1">
        <f t="array" aca="1" ref="C30" ca="1">_xll.VoseSimMean(Is_2)</f>
        <v>0.14680000000000001</v>
      </c>
      <c r="D30" s="71">
        <f ca="1">IFERROR(F30/C30,"–")</f>
        <v>-136.64935967280209</v>
      </c>
      <c r="E30" s="71">
        <f ca="1">IFERROR(G30/C30,"–")</f>
        <v>21.366523217015001</v>
      </c>
      <c r="F30" s="71" cm="1">
        <f t="array" aca="1" ref="F30" ca="1">_xll.VoseSimMean(AxO_2)</f>
        <v>-20.060125999967351</v>
      </c>
      <c r="G30" s="71" cm="1">
        <f t="array" aca="1" ref="G30" ca="1">_xll.VoseSimMean(LxO_2)</f>
        <v>3.1366056082578022</v>
      </c>
    </row>
    <row r="31" spans="2:18" x14ac:dyDescent="0.45">
      <c r="B31" s="25" t="s">
        <v>300</v>
      </c>
      <c r="C31" s="73" cm="1">
        <f t="array" aca="1" ref="C31" ca="1">_xll.VoseSimMean(Is_3)</f>
        <v>2.1299999999999999E-2</v>
      </c>
      <c r="D31" s="71">
        <f ca="1">IFERROR(F31/C31,"–")</f>
        <v>-139.21021851006066</v>
      </c>
      <c r="E31" s="71">
        <f ca="1">IFERROR(G31/C31,"–")</f>
        <v>46.27911189613944</v>
      </c>
      <c r="F31" s="71" cm="1">
        <f t="array" aca="1" ref="F31" ca="1">_xll.VoseSimMean(AxO_3)</f>
        <v>-2.9651776542642918</v>
      </c>
      <c r="G31" s="71" cm="1">
        <f t="array" aca="1" ref="G31" ca="1">_xll.VoseSimMean(LxO_3)</f>
        <v>0.98574508338777012</v>
      </c>
    </row>
    <row r="32" spans="2:18" x14ac:dyDescent="0.45">
      <c r="B32" s="55" t="s">
        <v>301</v>
      </c>
      <c r="C32" s="73" cm="1">
        <f t="array" aca="1" ref="C32" ca="1">_xll.VoseSimMean(Is_4)</f>
        <v>0.1812</v>
      </c>
      <c r="D32" s="71">
        <f ca="1">IFERROR(F32/C32,"–")</f>
        <v>566.63693749892661</v>
      </c>
      <c r="E32" s="71">
        <f ca="1">IFERROR(G32/C32,"–")</f>
        <v>328.69862255920066</v>
      </c>
      <c r="F32" s="71" cm="1">
        <f t="array" aca="1" ref="F32" ca="1">_xll.VoseSimMean(AxO_4)</f>
        <v>102.67461307480549</v>
      </c>
      <c r="G32" s="71" cm="1">
        <f t="array" aca="1" ref="G32" ca="1">_xll.VoseSimMean(LxO_4)</f>
        <v>59.560190407727156</v>
      </c>
    </row>
    <row r="33" spans="2:7" x14ac:dyDescent="0.45">
      <c r="B33" s="55" t="s">
        <v>302</v>
      </c>
      <c r="C33" s="73">
        <f ca="1">IFERROR(IF(ISNUMBER(C29),SUM(C29:C32),NA()),"–")</f>
        <v>1</v>
      </c>
      <c r="D33" s="35"/>
      <c r="E33" s="35"/>
      <c r="F33" s="71">
        <f ca="1">IFERROR(IF(ISNUMBER(F29),SUM(F29:F32),NA()),"–")</f>
        <v>61.489622651126581</v>
      </c>
      <c r="G33" s="71">
        <f ca="1">IFERROR(IF(ISNUMBER(G29),SUM(G29:G32),NA()),"–")</f>
        <v>45.522854329925465</v>
      </c>
    </row>
    <row r="34" spans="2:7" x14ac:dyDescent="0.45">
      <c r="B34" s="74" t="s">
        <v>303</v>
      </c>
    </row>
    <row r="35" spans="2:7" ht="8" customHeight="1" x14ac:dyDescent="0.45"/>
    <row r="40" spans="2:7" ht="22.05" customHeight="1" x14ac:dyDescent="0.5">
      <c r="B40" s="7" t="s">
        <v>304</v>
      </c>
      <c r="C40" s="8"/>
      <c r="D40" s="8"/>
      <c r="E40" s="8"/>
      <c r="F40" s="8"/>
      <c r="G40" s="8"/>
    </row>
    <row r="41" spans="2:7" ht="18" customHeight="1" x14ac:dyDescent="0.45">
      <c r="B41" s="13" t="s">
        <v>305</v>
      </c>
    </row>
    <row r="42" spans="2:7" ht="18" customHeight="1" x14ac:dyDescent="0.45">
      <c r="B42" s="23" t="s">
        <v>306</v>
      </c>
      <c r="C42" s="23" t="s">
        <v>99</v>
      </c>
      <c r="D42" s="24" t="s">
        <v>165</v>
      </c>
      <c r="E42" s="5"/>
      <c r="F42" s="5"/>
      <c r="G42" s="5"/>
    </row>
    <row r="43" spans="2:7" x14ac:dyDescent="0.45">
      <c r="B43" s="75" t="s">
        <v>202</v>
      </c>
      <c r="C43" s="26" t="s">
        <v>112</v>
      </c>
      <c r="D43" s="33">
        <f>PV_P2</f>
        <v>-27.303701419305597</v>
      </c>
      <c r="E43" s="35"/>
      <c r="F43" s="35"/>
      <c r="G43" s="35"/>
    </row>
    <row r="44" spans="2:7" x14ac:dyDescent="0.45">
      <c r="B44" s="75" t="s">
        <v>307</v>
      </c>
      <c r="C44" s="26" t="s">
        <v>112</v>
      </c>
      <c r="D44" s="33">
        <f>PV_P3</f>
        <v>-37.722369019910467</v>
      </c>
      <c r="E44" s="35"/>
      <c r="F44" s="35"/>
      <c r="G44" s="35"/>
    </row>
    <row r="45" spans="2:7" x14ac:dyDescent="0.45">
      <c r="B45" s="75" t="s">
        <v>308</v>
      </c>
      <c r="C45" s="26" t="s">
        <v>112</v>
      </c>
      <c r="D45" s="33">
        <f>PV_Rev</f>
        <v>-0.62162651502186983</v>
      </c>
      <c r="E45" s="35"/>
      <c r="F45" s="35"/>
      <c r="G45" s="35"/>
    </row>
    <row r="46" spans="2:7" x14ac:dyDescent="0.45">
      <c r="B46" s="75" t="s">
        <v>309</v>
      </c>
      <c r="C46" s="26" t="s">
        <v>112</v>
      </c>
      <c r="D46" s="33">
        <f>PV_Mkt</f>
        <v>142.35966454777943</v>
      </c>
      <c r="E46" s="35"/>
      <c r="F46" s="35"/>
      <c r="G46" s="35"/>
    </row>
    <row r="47" spans="2:7" x14ac:dyDescent="0.45">
      <c r="B47" s="76" t="s">
        <v>240</v>
      </c>
      <c r="C47" s="26" t="s">
        <v>112</v>
      </c>
      <c r="D47" s="33">
        <f>rNPV_A</f>
        <v>76.711967593541502</v>
      </c>
      <c r="E47" s="35"/>
      <c r="F47" s="35"/>
      <c r="G47" s="35"/>
    </row>
    <row r="48" spans="2:7" x14ac:dyDescent="0.45">
      <c r="B48" s="75" t="s">
        <v>246</v>
      </c>
      <c r="C48" s="26" t="s">
        <v>112</v>
      </c>
      <c r="D48" s="33">
        <f>Unrisked</f>
        <v>615.18371346698052</v>
      </c>
      <c r="E48" s="35"/>
      <c r="F48" s="35"/>
      <c r="G48" s="35"/>
    </row>
    <row r="49" spans="2:7" x14ac:dyDescent="0.45">
      <c r="B49" s="25" t="s">
        <v>310</v>
      </c>
      <c r="C49" s="26" t="s">
        <v>112</v>
      </c>
      <c r="D49" s="71" cm="1">
        <f t="array" aca="1" ref="D49" ca="1">_xll.VoseSimMean(NPV_A)</f>
        <v>61.489622651126609</v>
      </c>
      <c r="E49" s="35"/>
      <c r="F49" s="35"/>
      <c r="G49" s="35"/>
    </row>
    <row r="50" spans="2:7" x14ac:dyDescent="0.45">
      <c r="B50" s="25" t="s">
        <v>311</v>
      </c>
      <c r="C50" s="26" t="s">
        <v>112</v>
      </c>
      <c r="D50" s="71">
        <f ca="1">IFERROR(D49-D47,"–")</f>
        <v>-15.222344942414892</v>
      </c>
      <c r="E50" s="35"/>
      <c r="F50" s="35"/>
      <c r="G50" s="35"/>
    </row>
    <row r="51" spans="2:7" ht="8" customHeight="1" x14ac:dyDescent="0.45"/>
    <row r="52" spans="2:7" ht="22.05" customHeight="1" x14ac:dyDescent="0.5">
      <c r="B52" s="7" t="s">
        <v>312</v>
      </c>
      <c r="C52" s="8"/>
      <c r="D52" s="8"/>
      <c r="E52" s="8"/>
      <c r="F52" s="8"/>
      <c r="G52" s="8"/>
    </row>
    <row r="53" spans="2:7" ht="18" customHeight="1" x14ac:dyDescent="0.45">
      <c r="B53" s="13" t="s">
        <v>313</v>
      </c>
    </row>
    <row r="54" spans="2:7" ht="18" customHeight="1" x14ac:dyDescent="0.45">
      <c r="B54" s="23" t="s">
        <v>306</v>
      </c>
      <c r="C54" s="23" t="s">
        <v>99</v>
      </c>
      <c r="D54" s="24" t="s">
        <v>165</v>
      </c>
      <c r="E54" s="5"/>
      <c r="F54" s="5"/>
      <c r="G54" s="5"/>
    </row>
    <row r="55" spans="2:7" x14ac:dyDescent="0.45">
      <c r="B55" s="25" t="s">
        <v>314</v>
      </c>
      <c r="C55" s="26" t="s">
        <v>112</v>
      </c>
      <c r="D55" s="71">
        <f ca="1">IFERROR(D13,"–")</f>
        <v>61.489622651126609</v>
      </c>
      <c r="E55" s="35"/>
      <c r="F55" s="35"/>
      <c r="G55" s="35"/>
    </row>
    <row r="56" spans="2:7" x14ac:dyDescent="0.45">
      <c r="B56" s="25" t="s">
        <v>315</v>
      </c>
      <c r="C56" s="26" t="s">
        <v>112</v>
      </c>
      <c r="D56" s="71">
        <f ca="1">IFERROR((F30+F31+F32)/(C30+C31+C32),"–")</f>
        <v>228.02550650035451</v>
      </c>
      <c r="E56" s="35"/>
      <c r="F56" s="35"/>
      <c r="G56" s="35"/>
    </row>
    <row r="57" spans="2:7" x14ac:dyDescent="0.45">
      <c r="B57" s="25" t="s">
        <v>316</v>
      </c>
      <c r="C57" s="26" t="s">
        <v>112</v>
      </c>
      <c r="D57" s="71">
        <f ca="1">IFERROR((F31+F32)/(C31+C32),"–")</f>
        <v>492.39227368168491</v>
      </c>
      <c r="E57" s="35"/>
      <c r="F57" s="35"/>
      <c r="G57" s="35"/>
    </row>
    <row r="58" spans="2:7" x14ac:dyDescent="0.45">
      <c r="B58" s="55" t="s">
        <v>317</v>
      </c>
      <c r="C58" s="26" t="s">
        <v>112</v>
      </c>
      <c r="D58" s="71">
        <f ca="1">IFERROR(D32,"–")</f>
        <v>566.63693749892661</v>
      </c>
      <c r="E58" s="35"/>
      <c r="F58" s="35"/>
      <c r="G58" s="35"/>
    </row>
    <row r="59" spans="2:7" x14ac:dyDescent="0.45">
      <c r="B59" s="25" t="s">
        <v>318</v>
      </c>
      <c r="C59" s="26" t="s">
        <v>112</v>
      </c>
      <c r="D59" s="71">
        <f ca="1">IFERROR((G30+G31+G32)/(C30+C31+C32),"–")</f>
        <v>182.31474692062042</v>
      </c>
      <c r="E59" s="35"/>
      <c r="F59" s="35"/>
      <c r="G59" s="35"/>
    </row>
    <row r="60" spans="2:7" ht="8" customHeight="1" x14ac:dyDescent="0.45"/>
    <row r="61" spans="2:7" ht="22.05" customHeight="1" x14ac:dyDescent="0.5">
      <c r="B61" s="7" t="s">
        <v>319</v>
      </c>
      <c r="C61" s="8"/>
      <c r="D61" s="8"/>
      <c r="E61" s="8"/>
      <c r="F61" s="8"/>
      <c r="G61" s="8"/>
    </row>
    <row r="62" spans="2:7" ht="58.05" customHeight="1" x14ac:dyDescent="0.45">
      <c r="B62" s="84" t="s">
        <v>320</v>
      </c>
      <c r="C62" s="83"/>
      <c r="D62" s="83"/>
      <c r="E62" s="83"/>
      <c r="F62" s="83"/>
      <c r="G62" s="83"/>
    </row>
    <row r="63" spans="2:7" ht="32" customHeight="1" x14ac:dyDescent="0.45">
      <c r="B63" s="84" t="s">
        <v>321</v>
      </c>
      <c r="C63" s="83"/>
      <c r="D63" s="83"/>
      <c r="E63" s="83"/>
      <c r="F63" s="83"/>
      <c r="G63" s="83"/>
    </row>
    <row r="64" spans="2:7" ht="45" customHeight="1" x14ac:dyDescent="0.45">
      <c r="B64" s="84" t="s">
        <v>322</v>
      </c>
      <c r="C64" s="83"/>
      <c r="D64" s="83"/>
      <c r="E64" s="83"/>
      <c r="F64" s="83"/>
      <c r="G64" s="83"/>
    </row>
    <row r="65" spans="2:7" ht="45" customHeight="1" x14ac:dyDescent="0.45">
      <c r="B65" s="84" t="s">
        <v>323</v>
      </c>
      <c r="C65" s="83"/>
      <c r="D65" s="83"/>
      <c r="E65" s="83"/>
      <c r="F65" s="83"/>
      <c r="G65" s="83"/>
    </row>
    <row r="66" spans="2:7" ht="45" customHeight="1" x14ac:dyDescent="0.45">
      <c r="B66" s="84" t="s">
        <v>324</v>
      </c>
      <c r="C66" s="83"/>
      <c r="D66" s="83"/>
      <c r="E66" s="83"/>
      <c r="F66" s="83"/>
      <c r="G66" s="83"/>
    </row>
    <row r="67" spans="2:7" ht="14" customHeight="1" x14ac:dyDescent="0.45"/>
    <row r="68" spans="2:7" ht="14" customHeight="1" x14ac:dyDescent="0.45"/>
    <row r="69" spans="2:7" ht="22.05" customHeight="1" x14ac:dyDescent="0.5">
      <c r="B69" s="7" t="s">
        <v>325</v>
      </c>
      <c r="C69" s="8"/>
      <c r="D69" s="8"/>
      <c r="E69" s="8"/>
      <c r="F69" s="8"/>
      <c r="G69" s="8"/>
    </row>
    <row r="70" spans="2:7" ht="18" customHeight="1" x14ac:dyDescent="0.45">
      <c r="B70" s="13" t="s">
        <v>326</v>
      </c>
    </row>
    <row r="71" spans="2:7" ht="28.05" hidden="1" customHeight="1" outlineLevel="1" x14ac:dyDescent="0.45">
      <c r="B71" s="24" t="s">
        <v>327</v>
      </c>
      <c r="C71" s="24" t="s">
        <v>328</v>
      </c>
      <c r="D71" s="24" t="s">
        <v>329</v>
      </c>
      <c r="E71" s="24" t="s">
        <v>330</v>
      </c>
      <c r="F71" s="5"/>
      <c r="G71" s="5"/>
    </row>
    <row r="72" spans="2:7" hidden="1" outlineLevel="1" x14ac:dyDescent="0.45">
      <c r="B72" s="77">
        <v>0.01</v>
      </c>
      <c r="C72" s="77">
        <f t="shared" ref="C72:C103" si="0">1-B72</f>
        <v>0.99</v>
      </c>
      <c r="D72" s="78" cm="1">
        <f t="array" aca="1" ref="D72" ca="1">IF(ISNUMBER(_xll.VoseSimPercentile(NPV_A,$B72)),_xll.VoseSimPercentile(NPV_A,$B72),NA())</f>
        <v>-156.6991537858828</v>
      </c>
      <c r="E72" s="78" cm="1">
        <f t="array" aca="1" ref="E72" ca="1">IF(ISNUMBER(_xll.VoseSimPercentile(NPV_L,$B72)),_xll.VoseSimPercentile(NPV_L,$B72),NA())</f>
        <v>-33.58890345306348</v>
      </c>
    </row>
    <row r="73" spans="2:7" hidden="1" outlineLevel="1" x14ac:dyDescent="0.45">
      <c r="B73" s="77">
        <v>0.03</v>
      </c>
      <c r="C73" s="77">
        <f t="shared" si="0"/>
        <v>0.97</v>
      </c>
      <c r="D73" s="78" cm="1">
        <f t="array" aca="1" ref="D73" ca="1">IF(ISNUMBER(_xll.VoseSimPercentile(NPV_A,$B73)),_xll.VoseSimPercentile(NPV_A,$B73),NA())</f>
        <v>-148.63490392720857</v>
      </c>
      <c r="E73" s="78" cm="1">
        <f t="array" aca="1" ref="E73" ca="1">IF(ISNUMBER(_xll.VoseSimPercentile(NPV_L,$B73)),_xll.VoseSimPercentile(NPV_L,$B73),NA())</f>
        <v>-32.525596401314239</v>
      </c>
    </row>
    <row r="74" spans="2:7" hidden="1" outlineLevel="1" x14ac:dyDescent="0.45">
      <c r="B74" s="77">
        <v>0.05</v>
      </c>
      <c r="C74" s="77">
        <f t="shared" si="0"/>
        <v>0.95</v>
      </c>
      <c r="D74" s="78" cm="1">
        <f t="array" aca="1" ref="D74" ca="1">IF(ISNUMBER(_xll.VoseSimPercentile(NPV_A,$B74)),_xll.VoseSimPercentile(NPV_A,$B74),NA())</f>
        <v>-143.13887381393204</v>
      </c>
      <c r="E74" s="78" cm="1">
        <f t="array" aca="1" ref="E74" ca="1">IF(ISNUMBER(_xll.VoseSimPercentile(NPV_L,$B74)),_xll.VoseSimPercentile(NPV_L,$B74),NA())</f>
        <v>-31.827323186380909</v>
      </c>
    </row>
    <row r="75" spans="2:7" hidden="1" outlineLevel="1" x14ac:dyDescent="0.45">
      <c r="B75" s="77">
        <v>7.0000000000000007E-2</v>
      </c>
      <c r="C75" s="77">
        <f t="shared" si="0"/>
        <v>0.92999999999999994</v>
      </c>
      <c r="D75" s="78" cm="1">
        <f t="array" aca="1" ref="D75" ca="1">IF(ISNUMBER(_xll.VoseSimPercentile(NPV_A,$B75)),_xll.VoseSimPercentile(NPV_A,$B75),NA())</f>
        <v>-138.90401592921938</v>
      </c>
      <c r="E75" s="78" cm="1">
        <f t="array" aca="1" ref="E75" ca="1">IF(ISNUMBER(_xll.VoseSimPercentile(NPV_L,$B75)),_xll.VoseSimPercentile(NPV_L,$B75),NA())</f>
        <v>-31.289397277802205</v>
      </c>
    </row>
    <row r="76" spans="2:7" hidden="1" outlineLevel="1" x14ac:dyDescent="0.45">
      <c r="B76" s="77">
        <v>0.09</v>
      </c>
      <c r="C76" s="77">
        <f t="shared" si="0"/>
        <v>0.91</v>
      </c>
      <c r="D76" s="78" cm="1">
        <f t="array" aca="1" ref="D76" ca="1">IF(ISNUMBER(_xll.VoseSimPercentile(NPV_A,$B76)),_xll.VoseSimPercentile(NPV_A,$B76),NA())</f>
        <v>-135.38648527197233</v>
      </c>
      <c r="E76" s="78" cm="1">
        <f t="array" aca="1" ref="E76" ca="1">IF(ISNUMBER(_xll.VoseSimPercentile(NPV_L,$B76)),_xll.VoseSimPercentile(NPV_L,$B76),NA())</f>
        <v>-30.903870248302415</v>
      </c>
    </row>
    <row r="77" spans="2:7" hidden="1" outlineLevel="1" x14ac:dyDescent="0.45">
      <c r="B77" s="77">
        <v>0.11</v>
      </c>
      <c r="C77" s="77">
        <f t="shared" si="0"/>
        <v>0.89</v>
      </c>
      <c r="D77" s="78" cm="1">
        <f t="array" aca="1" ref="D77" ca="1">IF(ISNUMBER(_xll.VoseSimPercentile(NPV_A,$B77)),_xll.VoseSimPercentile(NPV_A,$B77),NA())</f>
        <v>-131.35911630029793</v>
      </c>
      <c r="E77" s="78" cm="1">
        <f t="array" aca="1" ref="E77" ca="1">IF(ISNUMBER(_xll.VoseSimPercentile(NPV_L,$B77)),_xll.VoseSimPercentile(NPV_L,$B77),NA())</f>
        <v>-30.563384699378485</v>
      </c>
    </row>
    <row r="78" spans="2:7" hidden="1" outlineLevel="1" x14ac:dyDescent="0.45">
      <c r="B78" s="77">
        <v>0.13</v>
      </c>
      <c r="C78" s="77">
        <f t="shared" si="0"/>
        <v>0.87</v>
      </c>
      <c r="D78" s="78" cm="1">
        <f t="array" aca="1" ref="D78" ca="1">IF(ISNUMBER(_xll.VoseSimPercentile(NPV_A,$B78)),_xll.VoseSimPercentile(NPV_A,$B78),NA())</f>
        <v>-127.07506672268468</v>
      </c>
      <c r="E78" s="78" cm="1">
        <f t="array" aca="1" ref="E78" ca="1">IF(ISNUMBER(_xll.VoseSimPercentile(NPV_L,$B78)),_xll.VoseSimPercentile(NPV_L,$B78),NA())</f>
        <v>-30.214858315442676</v>
      </c>
    </row>
    <row r="79" spans="2:7" hidden="1" outlineLevel="1" x14ac:dyDescent="0.45">
      <c r="B79" s="77">
        <v>0.15</v>
      </c>
      <c r="C79" s="77">
        <f t="shared" si="0"/>
        <v>0.85</v>
      </c>
      <c r="D79" s="78" cm="1">
        <f t="array" aca="1" ref="D79" ca="1">IF(ISNUMBER(_xll.VoseSimPercentile(NPV_A,$B79)),_xll.VoseSimPercentile(NPV_A,$B79),NA())</f>
        <v>-122.71173117545568</v>
      </c>
      <c r="E79" s="78" cm="1">
        <f t="array" aca="1" ref="E79" ca="1">IF(ISNUMBER(_xll.VoseSimPercentile(NPV_L,$B79)),_xll.VoseSimPercentile(NPV_L,$B79),NA())</f>
        <v>-29.901929348406686</v>
      </c>
    </row>
    <row r="80" spans="2:7" hidden="1" outlineLevel="1" x14ac:dyDescent="0.45">
      <c r="B80" s="77">
        <v>0.17</v>
      </c>
      <c r="C80" s="77">
        <f t="shared" si="0"/>
        <v>0.83</v>
      </c>
      <c r="D80" s="78" cm="1">
        <f t="array" aca="1" ref="D80" ca="1">IF(ISNUMBER(_xll.VoseSimPercentile(NPV_A,$B80)),_xll.VoseSimPercentile(NPV_A,$B80),NA())</f>
        <v>-34.682027789845122</v>
      </c>
      <c r="E80" s="78" cm="1">
        <f t="array" aca="1" ref="E80" ca="1">IF(ISNUMBER(_xll.VoseSimPercentile(NPV_L,$B80)),_xll.VoseSimPercentile(NPV_L,$B80),NA())</f>
        <v>-29.624462279596475</v>
      </c>
    </row>
    <row r="81" spans="2:5" hidden="1" outlineLevel="1" x14ac:dyDescent="0.45">
      <c r="B81" s="77">
        <v>0.19</v>
      </c>
      <c r="C81" s="77">
        <f t="shared" si="0"/>
        <v>0.81</v>
      </c>
      <c r="D81" s="78" cm="1">
        <f t="array" aca="1" ref="D81" ca="1">IF(ISNUMBER(_xll.VoseSimPercentile(NPV_A,$B81)),_xll.VoseSimPercentile(NPV_A,$B81),NA())</f>
        <v>-32.879672175083904</v>
      </c>
      <c r="E81" s="78" cm="1">
        <f t="array" aca="1" ref="E81" ca="1">IF(ISNUMBER(_xll.VoseSimPercentile(NPV_L,$B81)),_xll.VoseSimPercentile(NPV_L,$B81),NA())</f>
        <v>-29.355814027492137</v>
      </c>
    </row>
    <row r="82" spans="2:5" hidden="1" outlineLevel="1" x14ac:dyDescent="0.45">
      <c r="B82" s="77">
        <v>0.21</v>
      </c>
      <c r="C82" s="77">
        <f t="shared" si="0"/>
        <v>0.79</v>
      </c>
      <c r="D82" s="78" cm="1">
        <f t="array" aca="1" ref="D82" ca="1">IF(ISNUMBER(_xll.VoseSimPercentile(NPV_A,$B82)),_xll.VoseSimPercentile(NPV_A,$B82),NA())</f>
        <v>-32.086310820528304</v>
      </c>
      <c r="E82" s="78" cm="1">
        <f t="array" aca="1" ref="E82" ca="1">IF(ISNUMBER(_xll.VoseSimPercentile(NPV_L,$B82)),_xll.VoseSimPercentile(NPV_L,$B82),NA())</f>
        <v>-29.046089150293014</v>
      </c>
    </row>
    <row r="83" spans="2:5" hidden="1" outlineLevel="1" x14ac:dyDescent="0.45">
      <c r="B83" s="77">
        <v>0.23</v>
      </c>
      <c r="C83" s="77">
        <f t="shared" si="0"/>
        <v>0.77</v>
      </c>
      <c r="D83" s="78" cm="1">
        <f t="array" aca="1" ref="D83" ca="1">IF(ISNUMBER(_xll.VoseSimPercentile(NPV_A,$B83)),_xll.VoseSimPercentile(NPV_A,$B83),NA())</f>
        <v>-31.508891019284171</v>
      </c>
      <c r="E83" s="78" cm="1">
        <f t="array" aca="1" ref="E83" ca="1">IF(ISNUMBER(_xll.VoseSimPercentile(NPV_L,$B83)),_xll.VoseSimPercentile(NPV_L,$B83),NA())</f>
        <v>-28.792985963202188</v>
      </c>
    </row>
    <row r="84" spans="2:5" hidden="1" outlineLevel="1" x14ac:dyDescent="0.45">
      <c r="B84" s="77">
        <v>0.25</v>
      </c>
      <c r="C84" s="77">
        <f t="shared" si="0"/>
        <v>0.75</v>
      </c>
      <c r="D84" s="78" cm="1">
        <f t="array" aca="1" ref="D84" ca="1">IF(ISNUMBER(_xll.VoseSimPercentile(NPV_A,$B84)),_xll.VoseSimPercentile(NPV_A,$B84),NA())</f>
        <v>-31.069696821152281</v>
      </c>
      <c r="E84" s="78" cm="1">
        <f t="array" aca="1" ref="E84" ca="1">IF(ISNUMBER(_xll.VoseSimPercentile(NPV_L,$B84)),_xll.VoseSimPercentile(NPV_L,$B84),NA())</f>
        <v>-28.558307822806867</v>
      </c>
    </row>
    <row r="85" spans="2:5" hidden="1" outlineLevel="1" x14ac:dyDescent="0.45">
      <c r="B85" s="77">
        <v>0.27</v>
      </c>
      <c r="C85" s="77">
        <f t="shared" si="0"/>
        <v>0.73</v>
      </c>
      <c r="D85" s="78" cm="1">
        <f t="array" aca="1" ref="D85" ca="1">IF(ISNUMBER(_xll.VoseSimPercentile(NPV_A,$B85)),_xll.VoseSimPercentile(NPV_A,$B85),NA())</f>
        <v>-30.704602166374556</v>
      </c>
      <c r="E85" s="78" cm="1">
        <f t="array" aca="1" ref="E85" ca="1">IF(ISNUMBER(_xll.VoseSimPercentile(NPV_L,$B85)),_xll.VoseSimPercentile(NPV_L,$B85),NA())</f>
        <v>-28.320008752688018</v>
      </c>
    </row>
    <row r="86" spans="2:5" hidden="1" outlineLevel="1" x14ac:dyDescent="0.45">
      <c r="B86" s="77">
        <v>0.28999999999999998</v>
      </c>
      <c r="C86" s="77">
        <f t="shared" si="0"/>
        <v>0.71</v>
      </c>
      <c r="D86" s="78" cm="1">
        <f t="array" aca="1" ref="D86" ca="1">IF(ISNUMBER(_xll.VoseSimPercentile(NPV_A,$B86)),_xll.VoseSimPercentile(NPV_A,$B86),NA())</f>
        <v>-30.359905121931199</v>
      </c>
      <c r="E86" s="78" cm="1">
        <f t="array" aca="1" ref="E86" ca="1">IF(ISNUMBER(_xll.VoseSimPercentile(NPV_L,$B86)),_xll.VoseSimPercentile(NPV_L,$B86),NA())</f>
        <v>-28.109435495598913</v>
      </c>
    </row>
    <row r="87" spans="2:5" hidden="1" outlineLevel="1" x14ac:dyDescent="0.45">
      <c r="B87" s="77">
        <v>0.31</v>
      </c>
      <c r="C87" s="77">
        <f t="shared" si="0"/>
        <v>0.69</v>
      </c>
      <c r="D87" s="78" cm="1">
        <f t="array" aca="1" ref="D87" ca="1">IF(ISNUMBER(_xll.VoseSimPercentile(NPV_A,$B87)),_xll.VoseSimPercentile(NPV_A,$B87),NA())</f>
        <v>-30.046795775590823</v>
      </c>
      <c r="E87" s="78" cm="1">
        <f t="array" aca="1" ref="E87" ca="1">IF(ISNUMBER(_xll.VoseSimPercentile(NPV_L,$B87)),_xll.VoseSimPercentile(NPV_L,$B87),NA())</f>
        <v>-27.904478423334222</v>
      </c>
    </row>
    <row r="88" spans="2:5" hidden="1" outlineLevel="1" x14ac:dyDescent="0.45">
      <c r="B88" s="77">
        <v>0.33</v>
      </c>
      <c r="C88" s="77">
        <f t="shared" si="0"/>
        <v>0.66999999999999993</v>
      </c>
      <c r="D88" s="78" cm="1">
        <f t="array" aca="1" ref="D88" ca="1">IF(ISNUMBER(_xll.VoseSimPercentile(NPV_A,$B88)),_xll.VoseSimPercentile(NPV_A,$B88),NA())</f>
        <v>-29.742472160510232</v>
      </c>
      <c r="E88" s="78" cm="1">
        <f t="array" aca="1" ref="E88" ca="1">IF(ISNUMBER(_xll.VoseSimPercentile(NPV_L,$B88)),_xll.VoseSimPercentile(NPV_L,$B88),NA())</f>
        <v>-27.656294971749208</v>
      </c>
    </row>
    <row r="89" spans="2:5" hidden="1" outlineLevel="1" x14ac:dyDescent="0.45">
      <c r="B89" s="77">
        <v>0.35</v>
      </c>
      <c r="C89" s="77">
        <f t="shared" si="0"/>
        <v>0.65</v>
      </c>
      <c r="D89" s="78" cm="1">
        <f t="array" aca="1" ref="D89" ca="1">IF(ISNUMBER(_xll.VoseSimPercentile(NPV_A,$B89)),_xll.VoseSimPercentile(NPV_A,$B89),NA())</f>
        <v>-29.480354078133999</v>
      </c>
      <c r="E89" s="78" cm="1">
        <f t="array" aca="1" ref="E89" ca="1">IF(ISNUMBER(_xll.VoseSimPercentile(NPV_L,$B89)),_xll.VoseSimPercentile(NPV_L,$B89),NA())</f>
        <v>-27.457370359800336</v>
      </c>
    </row>
    <row r="90" spans="2:5" hidden="1" outlineLevel="1" x14ac:dyDescent="0.45">
      <c r="B90" s="77">
        <v>0.37</v>
      </c>
      <c r="C90" s="77">
        <f t="shared" si="0"/>
        <v>0.63</v>
      </c>
      <c r="D90" s="78" cm="1">
        <f t="array" aca="1" ref="D90" ca="1">IF(ISNUMBER(_xll.VoseSimPercentile(NPV_A,$B90)),_xll.VoseSimPercentile(NPV_A,$B90),NA())</f>
        <v>-29.172567572361135</v>
      </c>
      <c r="E90" s="78" cm="1">
        <f t="array" aca="1" ref="E90" ca="1">IF(ISNUMBER(_xll.VoseSimPercentile(NPV_L,$B90)),_xll.VoseSimPercentile(NPV_L,$B90),NA())</f>
        <v>-27.231883570527089</v>
      </c>
    </row>
    <row r="91" spans="2:5" hidden="1" outlineLevel="1" x14ac:dyDescent="0.45">
      <c r="B91" s="77">
        <v>0.39</v>
      </c>
      <c r="C91" s="77">
        <f t="shared" si="0"/>
        <v>0.61</v>
      </c>
      <c r="D91" s="78" cm="1">
        <f t="array" aca="1" ref="D91" ca="1">IF(ISNUMBER(_xll.VoseSimPercentile(NPV_A,$B91)),_xll.VoseSimPercentile(NPV_A,$B91),NA())</f>
        <v>-28.906516200705319</v>
      </c>
      <c r="E91" s="78" cm="1">
        <f t="array" aca="1" ref="E91" ca="1">IF(ISNUMBER(_xll.VoseSimPercentile(NPV_L,$B91)),_xll.VoseSimPercentile(NPV_L,$B91),NA())</f>
        <v>-27.010371969770418</v>
      </c>
    </row>
    <row r="92" spans="2:5" hidden="1" outlineLevel="1" x14ac:dyDescent="0.45">
      <c r="B92" s="77">
        <v>0.41</v>
      </c>
      <c r="C92" s="77">
        <f t="shared" si="0"/>
        <v>0.59000000000000008</v>
      </c>
      <c r="D92" s="78" cm="1">
        <f t="array" aca="1" ref="D92" ca="1">IF(ISNUMBER(_xll.VoseSimPercentile(NPV_A,$B92)),_xll.VoseSimPercentile(NPV_A,$B92),NA())</f>
        <v>-28.655385461710736</v>
      </c>
      <c r="E92" s="78" cm="1">
        <f t="array" aca="1" ref="E92" ca="1">IF(ISNUMBER(_xll.VoseSimPercentile(NPV_L,$B92)),_xll.VoseSimPercentile(NPV_L,$B92),NA())</f>
        <v>-26.792880162858545</v>
      </c>
    </row>
    <row r="93" spans="2:5" hidden="1" outlineLevel="1" x14ac:dyDescent="0.45">
      <c r="B93" s="77">
        <v>0.43</v>
      </c>
      <c r="C93" s="77">
        <f t="shared" si="0"/>
        <v>0.57000000000000006</v>
      </c>
      <c r="D93" s="78" cm="1">
        <f t="array" aca="1" ref="D93" ca="1">IF(ISNUMBER(_xll.VoseSimPercentile(NPV_A,$B93)),_xll.VoseSimPercentile(NPV_A,$B93),NA())</f>
        <v>-28.426707643018251</v>
      </c>
      <c r="E93" s="78" cm="1">
        <f t="array" aca="1" ref="E93" ca="1">IF(ISNUMBER(_xll.VoseSimPercentile(NPV_L,$B93)),_xll.VoseSimPercentile(NPV_L,$B93),NA())</f>
        <v>-26.576218961845271</v>
      </c>
    </row>
    <row r="94" spans="2:5" hidden="1" outlineLevel="1" x14ac:dyDescent="0.45">
      <c r="B94" s="77">
        <v>0.45</v>
      </c>
      <c r="C94" s="77">
        <f t="shared" si="0"/>
        <v>0.55000000000000004</v>
      </c>
      <c r="D94" s="78" cm="1">
        <f t="array" aca="1" ref="D94" ca="1">IF(ISNUMBER(_xll.VoseSimPercentile(NPV_A,$B94)),_xll.VoseSimPercentile(NPV_A,$B94),NA())</f>
        <v>-28.212428372365085</v>
      </c>
      <c r="E94" s="78" cm="1">
        <f t="array" aca="1" ref="E94" ca="1">IF(ISNUMBER(_xll.VoseSimPercentile(NPV_L,$B94)),_xll.VoseSimPercentile(NPV_L,$B94),NA())</f>
        <v>-26.368942647781072</v>
      </c>
    </row>
    <row r="95" spans="2:5" hidden="1" outlineLevel="1" x14ac:dyDescent="0.45">
      <c r="B95" s="77">
        <v>0.47</v>
      </c>
      <c r="C95" s="77">
        <f t="shared" si="0"/>
        <v>0.53</v>
      </c>
      <c r="D95" s="78" cm="1">
        <f t="array" aca="1" ref="D95" ca="1">IF(ISNUMBER(_xll.VoseSimPercentile(NPV_A,$B95)),_xll.VoseSimPercentile(NPV_A,$B95),NA())</f>
        <v>-27.991871054583005</v>
      </c>
      <c r="E95" s="78" cm="1">
        <f t="array" aca="1" ref="E95" ca="1">IF(ISNUMBER(_xll.VoseSimPercentile(NPV_L,$B95)),_xll.VoseSimPercentile(NPV_L,$B95),NA())</f>
        <v>-26.143705245706265</v>
      </c>
    </row>
    <row r="96" spans="2:5" hidden="1" outlineLevel="1" x14ac:dyDescent="0.45">
      <c r="B96" s="77">
        <v>0.49</v>
      </c>
      <c r="C96" s="77">
        <f t="shared" si="0"/>
        <v>0.51</v>
      </c>
      <c r="D96" s="78" cm="1">
        <f t="array" aca="1" ref="D96" ca="1">IF(ISNUMBER(_xll.VoseSimPercentile(NPV_A,$B96)),_xll.VoseSimPercentile(NPV_A,$B96),NA())</f>
        <v>-27.758227834414825</v>
      </c>
      <c r="E96" s="78" cm="1">
        <f t="array" aca="1" ref="E96" ca="1">IF(ISNUMBER(_xll.VoseSimPercentile(NPV_L,$B96)),_xll.VoseSimPercentile(NPV_L,$B96),NA())</f>
        <v>-25.906276820350406</v>
      </c>
    </row>
    <row r="97" spans="2:5" hidden="1" outlineLevel="1" x14ac:dyDescent="0.45">
      <c r="B97" s="77">
        <v>0.51</v>
      </c>
      <c r="C97" s="77">
        <f t="shared" si="0"/>
        <v>0.49</v>
      </c>
      <c r="D97" s="78" cm="1">
        <f t="array" aca="1" ref="D97" ca="1">IF(ISNUMBER(_xll.VoseSimPercentile(NPV_A,$B97)),_xll.VoseSimPercentile(NPV_A,$B97),NA())</f>
        <v>-27.538109722568304</v>
      </c>
      <c r="E97" s="78" cm="1">
        <f t="array" aca="1" ref="E97" ca="1">IF(ISNUMBER(_xll.VoseSimPercentile(NPV_L,$B97)),_xll.VoseSimPercentile(NPV_L,$B97),NA())</f>
        <v>-25.694782276853147</v>
      </c>
    </row>
    <row r="98" spans="2:5" hidden="1" outlineLevel="1" x14ac:dyDescent="0.45">
      <c r="B98" s="77">
        <v>0.53</v>
      </c>
      <c r="C98" s="77">
        <f t="shared" si="0"/>
        <v>0.47</v>
      </c>
      <c r="D98" s="78" cm="1">
        <f t="array" aca="1" ref="D98" ca="1">IF(ISNUMBER(_xll.VoseSimPercentile(NPV_A,$B98)),_xll.VoseSimPercentile(NPV_A,$B98),NA())</f>
        <v>-27.340976298944611</v>
      </c>
      <c r="E98" s="78" cm="1">
        <f t="array" aca="1" ref="E98" ca="1">IF(ISNUMBER(_xll.VoseSimPercentile(NPV_L,$B98)),_xll.VoseSimPercentile(NPV_L,$B98),NA())</f>
        <v>-25.462411813275843</v>
      </c>
    </row>
    <row r="99" spans="2:5" hidden="1" outlineLevel="1" x14ac:dyDescent="0.45">
      <c r="B99" s="77">
        <v>0.55000000000000004</v>
      </c>
      <c r="C99" s="77">
        <f t="shared" si="0"/>
        <v>0.44999999999999996</v>
      </c>
      <c r="D99" s="78" cm="1">
        <f t="array" aca="1" ref="D99" ca="1">IF(ISNUMBER(_xll.VoseSimPercentile(NPV_A,$B99)),_xll.VoseSimPercentile(NPV_A,$B99),NA())</f>
        <v>-27.114552572846264</v>
      </c>
      <c r="E99" s="78" cm="1">
        <f t="array" aca="1" ref="E99" ca="1">IF(ISNUMBER(_xll.VoseSimPercentile(NPV_L,$B99)),_xll.VoseSimPercentile(NPV_L,$B99),NA())</f>
        <v>-25.199789587092074</v>
      </c>
    </row>
    <row r="100" spans="2:5" hidden="1" outlineLevel="1" x14ac:dyDescent="0.45">
      <c r="B100" s="77">
        <v>0.56999999999999995</v>
      </c>
      <c r="C100" s="77">
        <f t="shared" si="0"/>
        <v>0.43000000000000005</v>
      </c>
      <c r="D100" s="78" cm="1">
        <f t="array" aca="1" ref="D100" ca="1">IF(ISNUMBER(_xll.VoseSimPercentile(NPV_A,$B100)),_xll.VoseSimPercentile(NPV_A,$B100),NA())</f>
        <v>-26.889421812194339</v>
      </c>
      <c r="E100" s="78" cm="1">
        <f t="array" aca="1" ref="E100" ca="1">IF(ISNUMBER(_xll.VoseSimPercentile(NPV_L,$B100)),_xll.VoseSimPercentile(NPV_L,$B100),NA())</f>
        <v>-24.943462857413774</v>
      </c>
    </row>
    <row r="101" spans="2:5" hidden="1" outlineLevel="1" x14ac:dyDescent="0.45">
      <c r="B101" s="77">
        <v>0.59</v>
      </c>
      <c r="C101" s="77">
        <f t="shared" si="0"/>
        <v>0.41000000000000003</v>
      </c>
      <c r="D101" s="78" cm="1">
        <f t="array" aca="1" ref="D101" ca="1">IF(ISNUMBER(_xll.VoseSimPercentile(NPV_A,$B101)),_xll.VoseSimPercentile(NPV_A,$B101),NA())</f>
        <v>-26.670592706356391</v>
      </c>
      <c r="E101" s="78" cm="1">
        <f t="array" aca="1" ref="E101" ca="1">IF(ISNUMBER(_xll.VoseSimPercentile(NPV_L,$B101)),_xll.VoseSimPercentile(NPV_L,$B101),NA())</f>
        <v>-24.626046952981888</v>
      </c>
    </row>
    <row r="102" spans="2:5" hidden="1" outlineLevel="1" x14ac:dyDescent="0.45">
      <c r="B102" s="77">
        <v>0.61</v>
      </c>
      <c r="C102" s="77">
        <f t="shared" si="0"/>
        <v>0.39</v>
      </c>
      <c r="D102" s="78" cm="1">
        <f t="array" aca="1" ref="D102" ca="1">IF(ISNUMBER(_xll.VoseSimPercentile(NPV_A,$B102)),_xll.VoseSimPercentile(NPV_A,$B102),NA())</f>
        <v>-26.446700352849454</v>
      </c>
      <c r="E102" s="78" cm="1">
        <f t="array" aca="1" ref="E102" ca="1">IF(ISNUMBER(_xll.VoseSimPercentile(NPV_L,$B102)),_xll.VoseSimPercentile(NPV_L,$B102),NA())</f>
        <v>-24.218045298696651</v>
      </c>
    </row>
    <row r="103" spans="2:5" hidden="1" outlineLevel="1" x14ac:dyDescent="0.45">
      <c r="B103" s="77">
        <v>0.63</v>
      </c>
      <c r="C103" s="77">
        <f t="shared" si="0"/>
        <v>0.37</v>
      </c>
      <c r="D103" s="78" cm="1">
        <f t="array" aca="1" ref="D103" ca="1">IF(ISNUMBER(_xll.VoseSimPercentile(NPV_A,$B103)),_xll.VoseSimPercentile(NPV_A,$B103),NA())</f>
        <v>-26.246286484071909</v>
      </c>
      <c r="E103" s="78" cm="1">
        <f t="array" aca="1" ref="E103" ca="1">IF(ISNUMBER(_xll.VoseSimPercentile(NPV_L,$B103)),_xll.VoseSimPercentile(NPV_L,$B103),NA())</f>
        <v>-23.756263174375668</v>
      </c>
    </row>
    <row r="104" spans="2:5" hidden="1" outlineLevel="1" x14ac:dyDescent="0.45">
      <c r="B104" s="77">
        <v>0.65</v>
      </c>
      <c r="C104" s="77">
        <f t="shared" ref="C104:C135" si="1">1-B104</f>
        <v>0.35</v>
      </c>
      <c r="D104" s="78" cm="1">
        <f t="array" aca="1" ref="D104" ca="1">IF(ISNUMBER(_xll.VoseSimPercentile(NPV_A,$B104)),_xll.VoseSimPercentile(NPV_A,$B104),NA())</f>
        <v>-26.007936365545163</v>
      </c>
      <c r="E104" s="78" cm="1">
        <f t="array" aca="1" ref="E104" ca="1">IF(ISNUMBER(_xll.VoseSimPercentile(NPV_L,$B104)),_xll.VoseSimPercentile(NPV_L,$B104),NA())</f>
        <v>-22.628179032199903</v>
      </c>
    </row>
    <row r="105" spans="2:5" hidden="1" outlineLevel="1" x14ac:dyDescent="0.45">
      <c r="B105" s="77">
        <v>0.67</v>
      </c>
      <c r="C105" s="77">
        <f t="shared" si="1"/>
        <v>0.32999999999999996</v>
      </c>
      <c r="D105" s="78" cm="1">
        <f t="array" aca="1" ref="D105" ca="1">IF(ISNUMBER(_xll.VoseSimPercentile(NPV_A,$B105)),_xll.VoseSimPercentile(NPV_A,$B105),NA())</f>
        <v>-25.791767345866351</v>
      </c>
      <c r="E105" s="78" cm="1">
        <f t="array" aca="1" ref="E105" ca="1">IF(ISNUMBER(_xll.VoseSimPercentile(NPV_L,$B105)),_xll.VoseSimPercentile(NPV_L,$B105),NA())</f>
        <v>17.724196039382299</v>
      </c>
    </row>
    <row r="106" spans="2:5" hidden="1" outlineLevel="1" x14ac:dyDescent="0.45">
      <c r="B106" s="77">
        <v>0.69</v>
      </c>
      <c r="C106" s="77">
        <f t="shared" si="1"/>
        <v>0.31000000000000005</v>
      </c>
      <c r="D106" s="78" cm="1">
        <f t="array" aca="1" ref="D106" ca="1">IF(ISNUMBER(_xll.VoseSimPercentile(NPV_A,$B106)),_xll.VoseSimPercentile(NPV_A,$B106),NA())</f>
        <v>-25.55924982490124</v>
      </c>
      <c r="E106" s="78" cm="1">
        <f t="array" aca="1" ref="E106" ca="1">IF(ISNUMBER(_xll.VoseSimPercentile(NPV_L,$B106)),_xll.VoseSimPercentile(NPV_L,$B106),NA())</f>
        <v>19.331775834787216</v>
      </c>
    </row>
    <row r="107" spans="2:5" hidden="1" outlineLevel="1" x14ac:dyDescent="0.45">
      <c r="B107" s="77">
        <v>0.71</v>
      </c>
      <c r="C107" s="77">
        <f t="shared" si="1"/>
        <v>0.29000000000000004</v>
      </c>
      <c r="D107" s="78" cm="1">
        <f t="array" aca="1" ref="D107" ca="1">IF(ISNUMBER(_xll.VoseSimPercentile(NPV_A,$B107)),_xll.VoseSimPercentile(NPV_A,$B107),NA())</f>
        <v>-25.32242854879286</v>
      </c>
      <c r="E107" s="78" cm="1">
        <f t="array" aca="1" ref="E107" ca="1">IF(ISNUMBER(_xll.VoseSimPercentile(NPV_L,$B107)),_xll.VoseSimPercentile(NPV_L,$B107),NA())</f>
        <v>20.550840274638212</v>
      </c>
    </row>
    <row r="108" spans="2:5" hidden="1" outlineLevel="1" x14ac:dyDescent="0.45">
      <c r="B108" s="77">
        <v>0.73</v>
      </c>
      <c r="C108" s="77">
        <f t="shared" si="1"/>
        <v>0.27</v>
      </c>
      <c r="D108" s="78" cm="1">
        <f t="array" aca="1" ref="D108" ca="1">IF(ISNUMBER(_xll.VoseSimPercentile(NPV_A,$B108)),_xll.VoseSimPercentile(NPV_A,$B108),NA())</f>
        <v>-25.064088105555076</v>
      </c>
      <c r="E108" s="78" cm="1">
        <f t="array" aca="1" ref="E108" ca="1">IF(ISNUMBER(_xll.VoseSimPercentile(NPV_L,$B108)),_xll.VoseSimPercentile(NPV_L,$B108),NA())</f>
        <v>21.799655098211108</v>
      </c>
    </row>
    <row r="109" spans="2:5" hidden="1" outlineLevel="1" x14ac:dyDescent="0.45">
      <c r="B109" s="77">
        <v>0.75</v>
      </c>
      <c r="C109" s="77">
        <f t="shared" si="1"/>
        <v>0.25</v>
      </c>
      <c r="D109" s="78" cm="1">
        <f t="array" aca="1" ref="D109" ca="1">IF(ISNUMBER(_xll.VoseSimPercentile(NPV_A,$B109)),_xll.VoseSimPercentile(NPV_A,$B109),NA())</f>
        <v>-24.781986516782219</v>
      </c>
      <c r="E109" s="78" cm="1">
        <f t="array" aca="1" ref="E109" ca="1">IF(ISNUMBER(_xll.VoseSimPercentile(NPV_L,$B109)),_xll.VoseSimPercentile(NPV_L,$B109),NA())</f>
        <v>22.940808892792361</v>
      </c>
    </row>
    <row r="110" spans="2:5" hidden="1" outlineLevel="1" x14ac:dyDescent="0.45">
      <c r="B110" s="77">
        <v>0.77</v>
      </c>
      <c r="C110" s="77">
        <f t="shared" si="1"/>
        <v>0.22999999999999998</v>
      </c>
      <c r="D110" s="78" cm="1">
        <f t="array" aca="1" ref="D110" ca="1">IF(ISNUMBER(_xll.VoseSimPercentile(NPV_A,$B110)),_xll.VoseSimPercentile(NPV_A,$B110),NA())</f>
        <v>-24.409842220492724</v>
      </c>
      <c r="E110" s="78" cm="1">
        <f t="array" aca="1" ref="E110" ca="1">IF(ISNUMBER(_xll.VoseSimPercentile(NPV_L,$B110)),_xll.VoseSimPercentile(NPV_L,$B110),NA())</f>
        <v>24.163904659367763</v>
      </c>
    </row>
    <row r="111" spans="2:5" hidden="1" outlineLevel="1" x14ac:dyDescent="0.45">
      <c r="B111" s="77">
        <v>0.79</v>
      </c>
      <c r="C111" s="77">
        <f t="shared" si="1"/>
        <v>0.20999999999999996</v>
      </c>
      <c r="D111" s="78" cm="1">
        <f t="array" aca="1" ref="D111" ca="1">IF(ISNUMBER(_xll.VoseSimPercentile(NPV_A,$B111)),_xll.VoseSimPercentile(NPV_A,$B111),NA())</f>
        <v>-23.969945061811547</v>
      </c>
      <c r="E111" s="78" cm="1">
        <f t="array" aca="1" ref="E111" ca="1">IF(ISNUMBER(_xll.VoseSimPercentile(NPV_L,$B111)),_xll.VoseSimPercentile(NPV_L,$B111),NA())</f>
        <v>26.775239960882487</v>
      </c>
    </row>
    <row r="112" spans="2:5" hidden="1" outlineLevel="1" x14ac:dyDescent="0.45">
      <c r="B112" s="77">
        <v>0.81</v>
      </c>
      <c r="C112" s="77">
        <f t="shared" si="1"/>
        <v>0.18999999999999995</v>
      </c>
      <c r="D112" s="78" cm="1">
        <f t="array" aca="1" ref="D112" ca="1">IF(ISNUMBER(_xll.VoseSimPercentile(NPV_A,$B112)),_xll.VoseSimPercentile(NPV_A,$B112),NA())</f>
        <v>-23.362098809671672</v>
      </c>
      <c r="E112" s="78" cm="1">
        <f t="array" aca="1" ref="E112" ca="1">IF(ISNUMBER(_xll.VoseSimPercentile(NPV_L,$B112)),_xll.VoseSimPercentile(NPV_L,$B112),NA())</f>
        <v>46.875087908343716</v>
      </c>
    </row>
    <row r="113" spans="2:7" hidden="1" outlineLevel="1" x14ac:dyDescent="0.45">
      <c r="B113" s="77">
        <v>0.83</v>
      </c>
      <c r="C113" s="77">
        <f t="shared" si="1"/>
        <v>0.17000000000000004</v>
      </c>
      <c r="D113" s="78" cm="1">
        <f t="array" aca="1" ref="D113" ca="1">IF(ISNUMBER(_xll.VoseSimPercentile(NPV_A,$B113)),_xll.VoseSimPercentile(NPV_A,$B113),NA())</f>
        <v>107.82376024160526</v>
      </c>
      <c r="E113" s="78" cm="1">
        <f t="array" aca="1" ref="E113" ca="1">IF(ISNUMBER(_xll.VoseSimPercentile(NPV_L,$B113)),_xll.VoseSimPercentile(NPV_L,$B113),NA())</f>
        <v>173.83244361456843</v>
      </c>
    </row>
    <row r="114" spans="2:7" hidden="1" outlineLevel="1" x14ac:dyDescent="0.45">
      <c r="B114" s="77">
        <v>0.85</v>
      </c>
      <c r="C114" s="77">
        <f t="shared" si="1"/>
        <v>0.15000000000000002</v>
      </c>
      <c r="D114" s="78" cm="1">
        <f t="array" aca="1" ref="D114" ca="1">IF(ISNUMBER(_xll.VoseSimPercentile(NPV_A,$B114)),_xll.VoseSimPercentile(NPV_A,$B114),NA())</f>
        <v>200.14409352522526</v>
      </c>
      <c r="E114" s="78" cm="1">
        <f t="array" aca="1" ref="E114" ca="1">IF(ISNUMBER(_xll.VoseSimPercentile(NPV_L,$B114)),_xll.VoseSimPercentile(NPV_L,$B114),NA())</f>
        <v>205.89471200727039</v>
      </c>
    </row>
    <row r="115" spans="2:7" hidden="1" outlineLevel="1" x14ac:dyDescent="0.45">
      <c r="B115" s="77">
        <v>0.87</v>
      </c>
      <c r="C115" s="77">
        <f t="shared" si="1"/>
        <v>0.13</v>
      </c>
      <c r="D115" s="78" cm="1">
        <f t="array" aca="1" ref="D115" ca="1">IF(ISNUMBER(_xll.VoseSimPercentile(NPV_A,$B115)),_xll.VoseSimPercentile(NPV_A,$B115),NA())</f>
        <v>292.87752902242318</v>
      </c>
      <c r="E115" s="78" cm="1">
        <f t="array" aca="1" ref="E115" ca="1">IF(ISNUMBER(_xll.VoseSimPercentile(NPV_L,$B115)),_xll.VoseSimPercentile(NPV_L,$B115),NA())</f>
        <v>237.38874185099729</v>
      </c>
    </row>
    <row r="116" spans="2:7" hidden="1" outlineLevel="1" x14ac:dyDescent="0.45">
      <c r="B116" s="77">
        <v>0.89</v>
      </c>
      <c r="C116" s="77">
        <f t="shared" si="1"/>
        <v>0.10999999999999999</v>
      </c>
      <c r="D116" s="78" cm="1">
        <f t="array" aca="1" ref="D116" ca="1">IF(ISNUMBER(_xll.VoseSimPercentile(NPV_A,$B116)),_xll.VoseSimPercentile(NPV_A,$B116),NA())</f>
        <v>373.49774222567612</v>
      </c>
      <c r="E116" s="78" cm="1">
        <f t="array" aca="1" ref="E116" ca="1">IF(ISNUMBER(_xll.VoseSimPercentile(NPV_L,$B116)),_xll.VoseSimPercentile(NPV_L,$B116),NA())</f>
        <v>265.08811754814184</v>
      </c>
    </row>
    <row r="117" spans="2:7" hidden="1" outlineLevel="1" x14ac:dyDescent="0.45">
      <c r="B117" s="77">
        <v>0.91</v>
      </c>
      <c r="C117" s="77">
        <f t="shared" si="1"/>
        <v>8.9999999999999969E-2</v>
      </c>
      <c r="D117" s="78" cm="1">
        <f t="array" aca="1" ref="D117" ca="1">IF(ISNUMBER(_xll.VoseSimPercentile(NPV_A,$B117)),_xll.VoseSimPercentile(NPV_A,$B117),NA())</f>
        <v>470.26180214800507</v>
      </c>
      <c r="E117" s="78" cm="1">
        <f t="array" aca="1" ref="E117" ca="1">IF(ISNUMBER(_xll.VoseSimPercentile(NPV_L,$B117)),_xll.VoseSimPercentile(NPV_L,$B117),NA())</f>
        <v>297.3086906699657</v>
      </c>
    </row>
    <row r="118" spans="2:7" hidden="1" outlineLevel="1" x14ac:dyDescent="0.45">
      <c r="B118" s="77">
        <v>0.93</v>
      </c>
      <c r="C118" s="77">
        <f t="shared" si="1"/>
        <v>6.9999999999999951E-2</v>
      </c>
      <c r="D118" s="78" cm="1">
        <f t="array" aca="1" ref="D118" ca="1">IF(ISNUMBER(_xll.VoseSimPercentile(NPV_A,$B118)),_xll.VoseSimPercentile(NPV_A,$B118),NA())</f>
        <v>574.73576137905991</v>
      </c>
      <c r="E118" s="78" cm="1">
        <f t="array" aca="1" ref="E118" ca="1">IF(ISNUMBER(_xll.VoseSimPercentile(NPV_L,$B118)),_xll.VoseSimPercentile(NPV_L,$B118),NA())</f>
        <v>332.41658662776467</v>
      </c>
    </row>
    <row r="119" spans="2:7" hidden="1" outlineLevel="1" x14ac:dyDescent="0.45">
      <c r="B119" s="77">
        <v>0.95</v>
      </c>
      <c r="C119" s="77">
        <f t="shared" si="1"/>
        <v>5.0000000000000044E-2</v>
      </c>
      <c r="D119" s="78" cm="1">
        <f t="array" aca="1" ref="D119" ca="1">IF(ISNUMBER(_xll.VoseSimPercentile(NPV_A,$B119)),_xll.VoseSimPercentile(NPV_A,$B119),NA())</f>
        <v>713.21103881204226</v>
      </c>
      <c r="E119" s="78" cm="1">
        <f t="array" aca="1" ref="E119" ca="1">IF(ISNUMBER(_xll.VoseSimPercentile(NPV_L,$B119)),_xll.VoseSimPercentile(NPV_L,$B119),NA())</f>
        <v>379.16032317469922</v>
      </c>
    </row>
    <row r="120" spans="2:7" hidden="1" outlineLevel="1" x14ac:dyDescent="0.45">
      <c r="B120" s="77">
        <v>0.97</v>
      </c>
      <c r="C120" s="77">
        <f t="shared" si="1"/>
        <v>3.0000000000000027E-2</v>
      </c>
      <c r="D120" s="78" cm="1">
        <f t="array" aca="1" ref="D120" ca="1">IF(ISNUMBER(_xll.VoseSimPercentile(NPV_A,$B120)),_xll.VoseSimPercentile(NPV_A,$B120),NA())</f>
        <v>903.31452774442653</v>
      </c>
      <c r="E120" s="78" cm="1">
        <f t="array" aca="1" ref="E120" ca="1">IF(ISNUMBER(_xll.VoseSimPercentile(NPV_L,$B120)),_xll.VoseSimPercentile(NPV_L,$B120),NA())</f>
        <v>441.63258538621932</v>
      </c>
    </row>
    <row r="121" spans="2:7" hidden="1" outlineLevel="1" x14ac:dyDescent="0.45">
      <c r="B121" s="77">
        <v>0.99</v>
      </c>
      <c r="C121" s="77">
        <f t="shared" si="1"/>
        <v>1.0000000000000009E-2</v>
      </c>
      <c r="D121" s="78" cm="1">
        <f t="array" aca="1" ref="D121" ca="1">IF(ISNUMBER(_xll.VoseSimPercentile(NPV_A,$B121)),_xll.VoseSimPercentile(NPV_A,$B121),NA())</f>
        <v>1367.658789733729</v>
      </c>
      <c r="E121" s="78" cm="1">
        <f t="array" aca="1" ref="E121" ca="1">IF(ISNUMBER(_xll.VoseSimPercentile(NPV_L,$B121)),_xll.VoseSimPercentile(NPV_L,$B121),NA())</f>
        <v>596.60119947762405</v>
      </c>
    </row>
    <row r="122" spans="2:7" hidden="1" outlineLevel="1" x14ac:dyDescent="0.45"/>
    <row r="123" spans="2:7" ht="18" hidden="1" customHeight="1" outlineLevel="1" x14ac:dyDescent="0.45">
      <c r="B123" s="23" t="s">
        <v>331</v>
      </c>
      <c r="C123" s="24" t="s">
        <v>165</v>
      </c>
      <c r="D123" s="5"/>
      <c r="E123" s="5"/>
      <c r="F123" s="5"/>
      <c r="G123" s="5"/>
    </row>
    <row r="124" spans="2:7" hidden="1" outlineLevel="1" x14ac:dyDescent="0.45">
      <c r="B124" s="79">
        <v>5.0000000000000001E-3</v>
      </c>
      <c r="C124" s="78" cm="1">
        <f t="array" aca="1" ref="C124" ca="1">IF(ISNUMBER(_xll.VoseSimPercentile(NPV_A,0.005)),_xll.VoseSimPercentile(NPV_A,0.005),NA())</f>
        <v>-160.90603498895811</v>
      </c>
    </row>
    <row r="125" spans="2:7" hidden="1" outlineLevel="1" x14ac:dyDescent="0.45">
      <c r="B125" s="79">
        <v>0.01</v>
      </c>
      <c r="C125" s="78" cm="1">
        <f t="array" aca="1" ref="C125" ca="1">IF(ISNUMBER(_xll.VoseSimPercentile(NPV_A,0.01)),_xll.VoseSimPercentile(NPV_A,0.01),NA())</f>
        <v>-156.6991537858828</v>
      </c>
    </row>
    <row r="126" spans="2:7" hidden="1" outlineLevel="1" x14ac:dyDescent="0.45">
      <c r="B126" s="79">
        <v>0.02</v>
      </c>
      <c r="C126" s="78" cm="1">
        <f t="array" aca="1" ref="C126" ca="1">IF(ISNUMBER(_xll.VoseSimPercentile(NPV_A,0.02)),_xll.VoseSimPercentile(NPV_A,0.02),NA())</f>
        <v>-151.60362546908593</v>
      </c>
    </row>
    <row r="127" spans="2:7" hidden="1" outlineLevel="1" x14ac:dyDescent="0.45">
      <c r="B127" s="79">
        <v>0.03</v>
      </c>
      <c r="C127" s="78" cm="1">
        <f t="array" aca="1" ref="C127" ca="1">IF(ISNUMBER(_xll.VoseSimPercentile(NPV_A,0.03)),_xll.VoseSimPercentile(NPV_A,0.03),NA())</f>
        <v>-148.63490392720857</v>
      </c>
    </row>
    <row r="128" spans="2:7" hidden="1" outlineLevel="1" x14ac:dyDescent="0.45">
      <c r="B128" s="79">
        <v>0.04</v>
      </c>
      <c r="C128" s="78" cm="1">
        <f t="array" aca="1" ref="C128" ca="1">IF(ISNUMBER(_xll.VoseSimPercentile(NPV_A,0.04)),_xll.VoseSimPercentile(NPV_A,0.04),NA())</f>
        <v>-145.40153301450931</v>
      </c>
    </row>
    <row r="129" spans="2:3" hidden="1" outlineLevel="1" x14ac:dyDescent="0.45">
      <c r="B129" s="79">
        <v>0.05</v>
      </c>
      <c r="C129" s="78" cm="1">
        <f t="array" aca="1" ref="C129" ca="1">IF(ISNUMBER(_xll.VoseSimPercentile(NPV_A,0.05)),_xll.VoseSimPercentile(NPV_A,0.05),NA())</f>
        <v>-143.13887381393204</v>
      </c>
    </row>
    <row r="130" spans="2:3" hidden="1" outlineLevel="1" x14ac:dyDescent="0.45">
      <c r="B130" s="79">
        <v>0.06</v>
      </c>
      <c r="C130" s="78" cm="1">
        <f t="array" aca="1" ref="C130" ca="1">IF(ISNUMBER(_xll.VoseSimPercentile(NPV_A,0.06)),_xll.VoseSimPercentile(NPV_A,0.06),NA())</f>
        <v>-140.91302399225862</v>
      </c>
    </row>
    <row r="131" spans="2:3" hidden="1" outlineLevel="1" x14ac:dyDescent="0.45">
      <c r="B131" s="79">
        <v>7.0000000000000007E-2</v>
      </c>
      <c r="C131" s="78" cm="1">
        <f t="array" aca="1" ref="C131" ca="1">IF(ISNUMBER(_xll.VoseSimPercentile(NPV_A,0.07)),_xll.VoseSimPercentile(NPV_A,0.07),NA())</f>
        <v>-138.90401592921938</v>
      </c>
    </row>
    <row r="132" spans="2:3" hidden="1" outlineLevel="1" x14ac:dyDescent="0.45">
      <c r="B132" s="79">
        <v>0.08</v>
      </c>
      <c r="C132" s="78" cm="1">
        <f t="array" aca="1" ref="C132" ca="1">IF(ISNUMBER(_xll.VoseSimPercentile(NPV_A,0.08)),_xll.VoseSimPercentile(NPV_A,0.08),NA())</f>
        <v>-137.05089075160686</v>
      </c>
    </row>
    <row r="133" spans="2:3" hidden="1" outlineLevel="1" x14ac:dyDescent="0.45">
      <c r="B133" s="79">
        <v>0.09</v>
      </c>
      <c r="C133" s="78" cm="1">
        <f t="array" aca="1" ref="C133" ca="1">IF(ISNUMBER(_xll.VoseSimPercentile(NPV_A,0.09)),_xll.VoseSimPercentile(NPV_A,0.09),NA())</f>
        <v>-135.38648527197233</v>
      </c>
    </row>
    <row r="134" spans="2:3" hidden="1" outlineLevel="1" x14ac:dyDescent="0.45">
      <c r="B134" s="79">
        <v>0.1</v>
      </c>
      <c r="C134" s="78" cm="1">
        <f t="array" aca="1" ref="C134" ca="1">IF(ISNUMBER(_xll.VoseSimPercentile(NPV_A,0.1)),_xll.VoseSimPercentile(NPV_A,0.1),NA())</f>
        <v>-133.41438294749798</v>
      </c>
    </row>
    <row r="135" spans="2:3" hidden="1" outlineLevel="1" x14ac:dyDescent="0.45">
      <c r="B135" s="79">
        <v>0.11</v>
      </c>
      <c r="C135" s="78" cm="1">
        <f t="array" aca="1" ref="C135" ca="1">IF(ISNUMBER(_xll.VoseSimPercentile(NPV_A,0.11)),_xll.VoseSimPercentile(NPV_A,0.11),NA())</f>
        <v>-131.35911630029793</v>
      </c>
    </row>
    <row r="136" spans="2:3" hidden="1" outlineLevel="1" x14ac:dyDescent="0.45">
      <c r="B136" s="79">
        <v>0.12</v>
      </c>
      <c r="C136" s="78" cm="1">
        <f t="array" aca="1" ref="C136" ca="1">IF(ISNUMBER(_xll.VoseSimPercentile(NPV_A,0.12)),_xll.VoseSimPercentile(NPV_A,0.12),NA())</f>
        <v>-129.14042697939342</v>
      </c>
    </row>
    <row r="137" spans="2:3" hidden="1" outlineLevel="1" x14ac:dyDescent="0.45">
      <c r="B137" s="79">
        <v>0.13</v>
      </c>
      <c r="C137" s="78" cm="1">
        <f t="array" aca="1" ref="C137" ca="1">IF(ISNUMBER(_xll.VoseSimPercentile(NPV_A,0.13)),_xll.VoseSimPercentile(NPV_A,0.13),NA())</f>
        <v>-127.07506672268468</v>
      </c>
    </row>
    <row r="138" spans="2:3" hidden="1" outlineLevel="1" x14ac:dyDescent="0.45">
      <c r="B138" s="79">
        <v>0.14000000000000001</v>
      </c>
      <c r="C138" s="78" cm="1">
        <f t="array" aca="1" ref="C138" ca="1">IF(ISNUMBER(_xll.VoseSimPercentile(NPV_A,0.14)),_xll.VoseSimPercentile(NPV_A,0.14),NA())</f>
        <v>-125.45121823847835</v>
      </c>
    </row>
    <row r="139" spans="2:3" hidden="1" outlineLevel="1" x14ac:dyDescent="0.45">
      <c r="B139" s="79">
        <v>0.15</v>
      </c>
      <c r="C139" s="78" cm="1">
        <f t="array" aca="1" ref="C139" ca="1">IF(ISNUMBER(_xll.VoseSimPercentile(NPV_A,0.15)),_xll.VoseSimPercentile(NPV_A,0.15),NA())</f>
        <v>-122.71173117545568</v>
      </c>
    </row>
    <row r="140" spans="2:3" hidden="1" outlineLevel="1" x14ac:dyDescent="0.45">
      <c r="B140" s="79">
        <v>0.16</v>
      </c>
      <c r="C140" s="78" cm="1">
        <f t="array" aca="1" ref="C140" ca="1">IF(ISNUMBER(_xll.VoseSimPercentile(NPV_A,0.16)),_xll.VoseSimPercentile(NPV_A,0.16),NA())</f>
        <v>-118.22484480206266</v>
      </c>
    </row>
    <row r="141" spans="2:3" hidden="1" outlineLevel="1" x14ac:dyDescent="0.45">
      <c r="B141" s="79">
        <v>0.17</v>
      </c>
      <c r="C141" s="78" cm="1">
        <f t="array" aca="1" ref="C141" ca="1">IF(ISNUMBER(_xll.VoseSimPercentile(NPV_A,0.17)),_xll.VoseSimPercentile(NPV_A,0.17),NA())</f>
        <v>-34.682027789845122</v>
      </c>
    </row>
    <row r="142" spans="2:3" hidden="1" outlineLevel="1" x14ac:dyDescent="0.45">
      <c r="B142" s="79">
        <v>0.18</v>
      </c>
      <c r="C142" s="78" cm="1">
        <f t="array" aca="1" ref="C142" ca="1">IF(ISNUMBER(_xll.VoseSimPercentile(NPV_A,0.18)),_xll.VoseSimPercentile(NPV_A,0.18),NA())</f>
        <v>-33.469484564483018</v>
      </c>
    </row>
    <row r="143" spans="2:3" hidden="1" outlineLevel="1" x14ac:dyDescent="0.45">
      <c r="B143" s="79">
        <v>0.19</v>
      </c>
      <c r="C143" s="78" cm="1">
        <f t="array" aca="1" ref="C143" ca="1">IF(ISNUMBER(_xll.VoseSimPercentile(NPV_A,0.19)),_xll.VoseSimPercentile(NPV_A,0.19),NA())</f>
        <v>-32.879672175083904</v>
      </c>
    </row>
    <row r="144" spans="2:3" hidden="1" outlineLevel="1" x14ac:dyDescent="0.45">
      <c r="B144" s="79">
        <v>0.2</v>
      </c>
      <c r="C144" s="78" cm="1">
        <f t="array" aca="1" ref="C144" ca="1">IF(ISNUMBER(_xll.VoseSimPercentile(NPV_A,0.2)),_xll.VoseSimPercentile(NPV_A,0.2),NA())</f>
        <v>-32.476021830635361</v>
      </c>
    </row>
    <row r="145" spans="2:3" hidden="1" outlineLevel="1" x14ac:dyDescent="0.45">
      <c r="B145" s="79">
        <v>0.21</v>
      </c>
      <c r="C145" s="78" cm="1">
        <f t="array" aca="1" ref="C145" ca="1">IF(ISNUMBER(_xll.VoseSimPercentile(NPV_A,0.21)),_xll.VoseSimPercentile(NPV_A,0.21),NA())</f>
        <v>-32.086310820528304</v>
      </c>
    </row>
    <row r="146" spans="2:3" hidden="1" outlineLevel="1" x14ac:dyDescent="0.45">
      <c r="B146" s="79">
        <v>0.22</v>
      </c>
      <c r="C146" s="78" cm="1">
        <f t="array" aca="1" ref="C146" ca="1">IF(ISNUMBER(_xll.VoseSimPercentile(NPV_A,0.22)),_xll.VoseSimPercentile(NPV_A,0.22),NA())</f>
        <v>-31.793607381108789</v>
      </c>
    </row>
    <row r="147" spans="2:3" hidden="1" outlineLevel="1" x14ac:dyDescent="0.45">
      <c r="B147" s="79">
        <v>0.23</v>
      </c>
      <c r="C147" s="78" cm="1">
        <f t="array" aca="1" ref="C147" ca="1">IF(ISNUMBER(_xll.VoseSimPercentile(NPV_A,0.23)),_xll.VoseSimPercentile(NPV_A,0.23),NA())</f>
        <v>-31.508891019284171</v>
      </c>
    </row>
    <row r="148" spans="2:3" hidden="1" outlineLevel="1" x14ac:dyDescent="0.45">
      <c r="B148" s="79">
        <v>0.24</v>
      </c>
      <c r="C148" s="78" cm="1">
        <f t="array" aca="1" ref="C148" ca="1">IF(ISNUMBER(_xll.VoseSimPercentile(NPV_A,0.24)),_xll.VoseSimPercentile(NPV_A,0.24),NA())</f>
        <v>-31.266777967348226</v>
      </c>
    </row>
    <row r="149" spans="2:3" hidden="1" outlineLevel="1" x14ac:dyDescent="0.45">
      <c r="B149" s="79">
        <v>0.25</v>
      </c>
      <c r="C149" s="78" cm="1">
        <f t="array" aca="1" ref="C149" ca="1">IF(ISNUMBER(_xll.VoseSimPercentile(NPV_A,0.25)),_xll.VoseSimPercentile(NPV_A,0.25),NA())</f>
        <v>-31.069696821152281</v>
      </c>
    </row>
    <row r="150" spans="2:3" hidden="1" outlineLevel="1" x14ac:dyDescent="0.45">
      <c r="B150" s="79">
        <v>0.26</v>
      </c>
      <c r="C150" s="78" cm="1">
        <f t="array" aca="1" ref="C150" ca="1">IF(ISNUMBER(_xll.VoseSimPercentile(NPV_A,0.26)),_xll.VoseSimPercentile(NPV_A,0.26),NA())</f>
        <v>-30.878669316318174</v>
      </c>
    </row>
    <row r="151" spans="2:3" hidden="1" outlineLevel="1" x14ac:dyDescent="0.45">
      <c r="B151" s="79">
        <v>0.27</v>
      </c>
      <c r="C151" s="78" cm="1">
        <f t="array" aca="1" ref="C151" ca="1">IF(ISNUMBER(_xll.VoseSimPercentile(NPV_A,0.27)),_xll.VoseSimPercentile(NPV_A,0.27),NA())</f>
        <v>-30.704602166374556</v>
      </c>
    </row>
    <row r="152" spans="2:3" hidden="1" outlineLevel="1" x14ac:dyDescent="0.45">
      <c r="B152" s="79">
        <v>0.28000000000000003</v>
      </c>
      <c r="C152" s="78" cm="1">
        <f t="array" aca="1" ref="C152" ca="1">IF(ISNUMBER(_xll.VoseSimPercentile(NPV_A,0.28)),_xll.VoseSimPercentile(NPV_A,0.28),NA())</f>
        <v>-30.538242064754243</v>
      </c>
    </row>
    <row r="153" spans="2:3" hidden="1" outlineLevel="1" x14ac:dyDescent="0.45">
      <c r="B153" s="79">
        <v>0.28999999999999998</v>
      </c>
      <c r="C153" s="78" cm="1">
        <f t="array" aca="1" ref="C153" ca="1">IF(ISNUMBER(_xll.VoseSimPercentile(NPV_A,0.29)),_xll.VoseSimPercentile(NPV_A,0.29),NA())</f>
        <v>-30.359905121931199</v>
      </c>
    </row>
    <row r="154" spans="2:3" hidden="1" outlineLevel="1" x14ac:dyDescent="0.45">
      <c r="B154" s="79">
        <v>0.3</v>
      </c>
      <c r="C154" s="78" cm="1">
        <f t="array" aca="1" ref="C154" ca="1">IF(ISNUMBER(_xll.VoseSimPercentile(NPV_A,0.3)),_xll.VoseSimPercentile(NPV_A,0.3),NA())</f>
        <v>-30.201127071376025</v>
      </c>
    </row>
    <row r="155" spans="2:3" hidden="1" outlineLevel="1" x14ac:dyDescent="0.45">
      <c r="B155" s="79">
        <v>0.31</v>
      </c>
      <c r="C155" s="78" cm="1">
        <f t="array" aca="1" ref="C155" ca="1">IF(ISNUMBER(_xll.VoseSimPercentile(NPV_A,0.31)),_xll.VoseSimPercentile(NPV_A,0.31),NA())</f>
        <v>-30.046795775590823</v>
      </c>
    </row>
    <row r="156" spans="2:3" hidden="1" outlineLevel="1" x14ac:dyDescent="0.45">
      <c r="B156" s="79">
        <v>0.32</v>
      </c>
      <c r="C156" s="78" cm="1">
        <f t="array" aca="1" ref="C156" ca="1">IF(ISNUMBER(_xll.VoseSimPercentile(NPV_A,0.32)),_xll.VoseSimPercentile(NPV_A,0.32),NA())</f>
        <v>-29.882279353418493</v>
      </c>
    </row>
    <row r="157" spans="2:3" hidden="1" outlineLevel="1" x14ac:dyDescent="0.45">
      <c r="B157" s="79">
        <v>0.33</v>
      </c>
      <c r="C157" s="78" cm="1">
        <f t="array" aca="1" ref="C157" ca="1">IF(ISNUMBER(_xll.VoseSimPercentile(NPV_A,0.33)),_xll.VoseSimPercentile(NPV_A,0.33),NA())</f>
        <v>-29.742472160510232</v>
      </c>
    </row>
    <row r="158" spans="2:3" hidden="1" outlineLevel="1" x14ac:dyDescent="0.45">
      <c r="B158" s="79">
        <v>0.34</v>
      </c>
      <c r="C158" s="78" cm="1">
        <f t="array" aca="1" ref="C158" ca="1">IF(ISNUMBER(_xll.VoseSimPercentile(NPV_A,0.34)),_xll.VoseSimPercentile(NPV_A,0.34),NA())</f>
        <v>-29.612122314617675</v>
      </c>
    </row>
    <row r="159" spans="2:3" hidden="1" outlineLevel="1" x14ac:dyDescent="0.45">
      <c r="B159" s="79">
        <v>0.35</v>
      </c>
      <c r="C159" s="78" cm="1">
        <f t="array" aca="1" ref="C159" ca="1">IF(ISNUMBER(_xll.VoseSimPercentile(NPV_A,0.35)),_xll.VoseSimPercentile(NPV_A,0.35),NA())</f>
        <v>-29.480354078133999</v>
      </c>
    </row>
    <row r="160" spans="2:3" hidden="1" outlineLevel="1" x14ac:dyDescent="0.45">
      <c r="B160" s="79">
        <v>0.36</v>
      </c>
      <c r="C160" s="78" cm="1">
        <f t="array" aca="1" ref="C160" ca="1">IF(ISNUMBER(_xll.VoseSimPercentile(NPV_A,0.36)),_xll.VoseSimPercentile(NPV_A,0.36),NA())</f>
        <v>-29.343604521105931</v>
      </c>
    </row>
    <row r="161" spans="2:3" hidden="1" outlineLevel="1" x14ac:dyDescent="0.45">
      <c r="B161" s="79">
        <v>0.37</v>
      </c>
      <c r="C161" s="78" cm="1">
        <f t="array" aca="1" ref="C161" ca="1">IF(ISNUMBER(_xll.VoseSimPercentile(NPV_A,0.37)),_xll.VoseSimPercentile(NPV_A,0.37),NA())</f>
        <v>-29.172567572361135</v>
      </c>
    </row>
    <row r="162" spans="2:3" hidden="1" outlineLevel="1" x14ac:dyDescent="0.45">
      <c r="B162" s="79">
        <v>0.38</v>
      </c>
      <c r="C162" s="78" cm="1">
        <f t="array" aca="1" ref="C162" ca="1">IF(ISNUMBER(_xll.VoseSimPercentile(NPV_A,0.38)),_xll.VoseSimPercentile(NPV_A,0.38),NA())</f>
        <v>-29.034023630960785</v>
      </c>
    </row>
    <row r="163" spans="2:3" hidden="1" outlineLevel="1" x14ac:dyDescent="0.45">
      <c r="B163" s="79">
        <v>0.39</v>
      </c>
      <c r="C163" s="78" cm="1">
        <f t="array" aca="1" ref="C163" ca="1">IF(ISNUMBER(_xll.VoseSimPercentile(NPV_A,0.39)),_xll.VoseSimPercentile(NPV_A,0.39),NA())</f>
        <v>-28.906516200705319</v>
      </c>
    </row>
    <row r="164" spans="2:3" hidden="1" outlineLevel="1" x14ac:dyDescent="0.45">
      <c r="B164" s="79">
        <v>0.4</v>
      </c>
      <c r="C164" s="78" cm="1">
        <f t="array" aca="1" ref="C164" ca="1">IF(ISNUMBER(_xll.VoseSimPercentile(NPV_A,0.4)),_xll.VoseSimPercentile(NPV_A,0.4),NA())</f>
        <v>-28.778928010242048</v>
      </c>
    </row>
    <row r="165" spans="2:3" hidden="1" outlineLevel="1" x14ac:dyDescent="0.45">
      <c r="B165" s="79">
        <v>0.41</v>
      </c>
      <c r="C165" s="78" cm="1">
        <f t="array" aca="1" ref="C165" ca="1">IF(ISNUMBER(_xll.VoseSimPercentile(NPV_A,0.41)),_xll.VoseSimPercentile(NPV_A,0.41),NA())</f>
        <v>-28.655385461710736</v>
      </c>
    </row>
    <row r="166" spans="2:3" hidden="1" outlineLevel="1" x14ac:dyDescent="0.45">
      <c r="B166" s="79">
        <v>0.42</v>
      </c>
      <c r="C166" s="78" cm="1">
        <f t="array" aca="1" ref="C166" ca="1">IF(ISNUMBER(_xll.VoseSimPercentile(NPV_A,0.42)),_xll.VoseSimPercentile(NPV_A,0.42),NA())</f>
        <v>-28.539893110139669</v>
      </c>
    </row>
    <row r="167" spans="2:3" hidden="1" outlineLevel="1" x14ac:dyDescent="0.45">
      <c r="B167" s="79">
        <v>0.43</v>
      </c>
      <c r="C167" s="78" cm="1">
        <f t="array" aca="1" ref="C167" ca="1">IF(ISNUMBER(_xll.VoseSimPercentile(NPV_A,0.43)),_xll.VoseSimPercentile(NPV_A,0.43),NA())</f>
        <v>-28.426707643018251</v>
      </c>
    </row>
    <row r="168" spans="2:3" hidden="1" outlineLevel="1" x14ac:dyDescent="0.45">
      <c r="B168" s="79">
        <v>0.44</v>
      </c>
      <c r="C168" s="78" cm="1">
        <f t="array" aca="1" ref="C168" ca="1">IF(ISNUMBER(_xll.VoseSimPercentile(NPV_A,0.44)),_xll.VoseSimPercentile(NPV_A,0.44),NA())</f>
        <v>-28.311588504323382</v>
      </c>
    </row>
    <row r="169" spans="2:3" hidden="1" outlineLevel="1" x14ac:dyDescent="0.45">
      <c r="B169" s="79">
        <v>0.45</v>
      </c>
      <c r="C169" s="78" cm="1">
        <f t="array" aca="1" ref="C169" ca="1">IF(ISNUMBER(_xll.VoseSimPercentile(NPV_A,0.45)),_xll.VoseSimPercentile(NPV_A,0.45),NA())</f>
        <v>-28.212428372365085</v>
      </c>
    </row>
    <row r="170" spans="2:3" hidden="1" outlineLevel="1" x14ac:dyDescent="0.45">
      <c r="B170" s="79">
        <v>0.46</v>
      </c>
      <c r="C170" s="78" cm="1">
        <f t="array" aca="1" ref="C170" ca="1">IF(ISNUMBER(_xll.VoseSimPercentile(NPV_A,0.46)),_xll.VoseSimPercentile(NPV_A,0.46),NA())</f>
        <v>-28.101773141986268</v>
      </c>
    </row>
    <row r="171" spans="2:3" hidden="1" outlineLevel="1" x14ac:dyDescent="0.45">
      <c r="B171" s="79">
        <v>0.47</v>
      </c>
      <c r="C171" s="78" cm="1">
        <f t="array" aca="1" ref="C171" ca="1">IF(ISNUMBER(_xll.VoseSimPercentile(NPV_A,0.47)),_xll.VoseSimPercentile(NPV_A,0.47),NA())</f>
        <v>-27.991871054583005</v>
      </c>
    </row>
    <row r="172" spans="2:3" hidden="1" outlineLevel="1" x14ac:dyDescent="0.45">
      <c r="B172" s="79">
        <v>0.48</v>
      </c>
      <c r="C172" s="78" cm="1">
        <f t="array" aca="1" ref="C172" ca="1">IF(ISNUMBER(_xll.VoseSimPercentile(NPV_A,0.48)),_xll.VoseSimPercentile(NPV_A,0.48),NA())</f>
        <v>-27.895112042195336</v>
      </c>
    </row>
    <row r="173" spans="2:3" hidden="1" outlineLevel="1" x14ac:dyDescent="0.45">
      <c r="B173" s="79">
        <v>0.49</v>
      </c>
      <c r="C173" s="78" cm="1">
        <f t="array" aca="1" ref="C173" ca="1">IF(ISNUMBER(_xll.VoseSimPercentile(NPV_A,0.49)),_xll.VoseSimPercentile(NPV_A,0.49),NA())</f>
        <v>-27.758227834414825</v>
      </c>
    </row>
    <row r="174" spans="2:3" hidden="1" outlineLevel="1" x14ac:dyDescent="0.45">
      <c r="B174" s="79">
        <v>0.5</v>
      </c>
      <c r="C174" s="78" cm="1">
        <f t="array" aca="1" ref="C174" ca="1">IF(ISNUMBER(_xll.VoseSimPercentile(NPV_A,0.5)),_xll.VoseSimPercentile(NPV_A,0.5),NA())</f>
        <v>-27.642854462036226</v>
      </c>
    </row>
    <row r="175" spans="2:3" hidden="1" outlineLevel="1" x14ac:dyDescent="0.45">
      <c r="B175" s="79">
        <v>0.51</v>
      </c>
      <c r="C175" s="78" cm="1">
        <f t="array" aca="1" ref="C175" ca="1">IF(ISNUMBER(_xll.VoseSimPercentile(NPV_A,0.51)),_xll.VoseSimPercentile(NPV_A,0.51),NA())</f>
        <v>-27.538109722568304</v>
      </c>
    </row>
    <row r="176" spans="2:3" hidden="1" outlineLevel="1" x14ac:dyDescent="0.45">
      <c r="B176" s="79">
        <v>0.52</v>
      </c>
      <c r="C176" s="78" cm="1">
        <f t="array" aca="1" ref="C176" ca="1">IF(ISNUMBER(_xll.VoseSimPercentile(NPV_A,0.52)),_xll.VoseSimPercentile(NPV_A,0.52),NA())</f>
        <v>-27.446661677971427</v>
      </c>
    </row>
    <row r="177" spans="2:3" hidden="1" outlineLevel="1" x14ac:dyDescent="0.45">
      <c r="B177" s="79">
        <v>0.53</v>
      </c>
      <c r="C177" s="78" cm="1">
        <f t="array" aca="1" ref="C177" ca="1">IF(ISNUMBER(_xll.VoseSimPercentile(NPV_A,0.53)),_xll.VoseSimPercentile(NPV_A,0.53),NA())</f>
        <v>-27.340976298944611</v>
      </c>
    </row>
    <row r="178" spans="2:3" hidden="1" outlineLevel="1" x14ac:dyDescent="0.45">
      <c r="B178" s="79">
        <v>0.54</v>
      </c>
      <c r="C178" s="78" cm="1">
        <f t="array" aca="1" ref="C178" ca="1">IF(ISNUMBER(_xll.VoseSimPercentile(NPV_A,0.54)),_xll.VoseSimPercentile(NPV_A,0.54),NA())</f>
        <v>-27.225078841165423</v>
      </c>
    </row>
    <row r="179" spans="2:3" hidden="1" outlineLevel="1" x14ac:dyDescent="0.45">
      <c r="B179" s="79">
        <v>0.55000000000000004</v>
      </c>
      <c r="C179" s="78" cm="1">
        <f t="array" aca="1" ref="C179" ca="1">IF(ISNUMBER(_xll.VoseSimPercentile(NPV_A,0.55)),_xll.VoseSimPercentile(NPV_A,0.55),NA())</f>
        <v>-27.114552572846264</v>
      </c>
    </row>
    <row r="180" spans="2:3" hidden="1" outlineLevel="1" x14ac:dyDescent="0.45">
      <c r="B180" s="79">
        <v>0.56000000000000005</v>
      </c>
      <c r="C180" s="78" cm="1">
        <f t="array" aca="1" ref="C180" ca="1">IF(ISNUMBER(_xll.VoseSimPercentile(NPV_A,0.56)),_xll.VoseSimPercentile(NPV_A,0.56),NA())</f>
        <v>-27.000899907741726</v>
      </c>
    </row>
    <row r="181" spans="2:3" hidden="1" outlineLevel="1" x14ac:dyDescent="0.45">
      <c r="B181" s="79">
        <v>0.56999999999999995</v>
      </c>
      <c r="C181" s="78" cm="1">
        <f t="array" aca="1" ref="C181" ca="1">IF(ISNUMBER(_xll.VoseSimPercentile(NPV_A,0.57)),_xll.VoseSimPercentile(NPV_A,0.57),NA())</f>
        <v>-26.889421812194339</v>
      </c>
    </row>
    <row r="182" spans="2:3" hidden="1" outlineLevel="1" x14ac:dyDescent="0.45">
      <c r="B182" s="79">
        <v>0.57999999999999996</v>
      </c>
      <c r="C182" s="78" cm="1">
        <f t="array" aca="1" ref="C182" ca="1">IF(ISNUMBER(_xll.VoseSimPercentile(NPV_A,0.58)),_xll.VoseSimPercentile(NPV_A,0.58),NA())</f>
        <v>-26.785402192501959</v>
      </c>
    </row>
    <row r="183" spans="2:3" hidden="1" outlineLevel="1" x14ac:dyDescent="0.45">
      <c r="B183" s="79">
        <v>0.59</v>
      </c>
      <c r="C183" s="78" cm="1">
        <f t="array" aca="1" ref="C183" ca="1">IF(ISNUMBER(_xll.VoseSimPercentile(NPV_A,0.59)),_xll.VoseSimPercentile(NPV_A,0.59),NA())</f>
        <v>-26.670592706356391</v>
      </c>
    </row>
    <row r="184" spans="2:3" hidden="1" outlineLevel="1" x14ac:dyDescent="0.45">
      <c r="B184" s="79">
        <v>0.6</v>
      </c>
      <c r="C184" s="78" cm="1">
        <f t="array" aca="1" ref="C184" ca="1">IF(ISNUMBER(_xll.VoseSimPercentile(NPV_A,0.6)),_xll.VoseSimPercentile(NPV_A,0.6),NA())</f>
        <v>-26.565641030754016</v>
      </c>
    </row>
    <row r="185" spans="2:3" hidden="1" outlineLevel="1" x14ac:dyDescent="0.45">
      <c r="B185" s="79">
        <v>0.61</v>
      </c>
      <c r="C185" s="78" cm="1">
        <f t="array" aca="1" ref="C185" ca="1">IF(ISNUMBER(_xll.VoseSimPercentile(NPV_A,0.61)),_xll.VoseSimPercentile(NPV_A,0.61),NA())</f>
        <v>-26.446700352849454</v>
      </c>
    </row>
    <row r="186" spans="2:3" hidden="1" outlineLevel="1" x14ac:dyDescent="0.45">
      <c r="B186" s="79">
        <v>0.62</v>
      </c>
      <c r="C186" s="78" cm="1">
        <f t="array" aca="1" ref="C186" ca="1">IF(ISNUMBER(_xll.VoseSimPercentile(NPV_A,0.62)),_xll.VoseSimPercentile(NPV_A,0.62),NA())</f>
        <v>-26.351850799846346</v>
      </c>
    </row>
    <row r="187" spans="2:3" hidden="1" outlineLevel="1" x14ac:dyDescent="0.45">
      <c r="B187" s="79">
        <v>0.63</v>
      </c>
      <c r="C187" s="78" cm="1">
        <f t="array" aca="1" ref="C187" ca="1">IF(ISNUMBER(_xll.VoseSimPercentile(NPV_A,0.63)),_xll.VoseSimPercentile(NPV_A,0.63),NA())</f>
        <v>-26.246286484071909</v>
      </c>
    </row>
    <row r="188" spans="2:3" hidden="1" outlineLevel="1" x14ac:dyDescent="0.45">
      <c r="B188" s="79">
        <v>0.64</v>
      </c>
      <c r="C188" s="78" cm="1">
        <f t="array" aca="1" ref="C188" ca="1">IF(ISNUMBER(_xll.VoseSimPercentile(NPV_A,0.64)),_xll.VoseSimPercentile(NPV_A,0.64),NA())</f>
        <v>-26.134483678511707</v>
      </c>
    </row>
    <row r="189" spans="2:3" hidden="1" outlineLevel="1" x14ac:dyDescent="0.45">
      <c r="B189" s="79">
        <v>0.65</v>
      </c>
      <c r="C189" s="78" cm="1">
        <f t="array" aca="1" ref="C189" ca="1">IF(ISNUMBER(_xll.VoseSimPercentile(NPV_A,0.65)),_xll.VoseSimPercentile(NPV_A,0.65),NA())</f>
        <v>-26.007936365545163</v>
      </c>
    </row>
    <row r="190" spans="2:3" hidden="1" outlineLevel="1" x14ac:dyDescent="0.45">
      <c r="B190" s="79">
        <v>0.66</v>
      </c>
      <c r="C190" s="78" cm="1">
        <f t="array" aca="1" ref="C190" ca="1">IF(ISNUMBER(_xll.VoseSimPercentile(NPV_A,0.66)),_xll.VoseSimPercentile(NPV_A,0.66),NA())</f>
        <v>-25.893727300155984</v>
      </c>
    </row>
    <row r="191" spans="2:3" hidden="1" outlineLevel="1" x14ac:dyDescent="0.45">
      <c r="B191" s="79">
        <v>0.67</v>
      </c>
      <c r="C191" s="78" cm="1">
        <f t="array" aca="1" ref="C191" ca="1">IF(ISNUMBER(_xll.VoseSimPercentile(NPV_A,0.67)),_xll.VoseSimPercentile(NPV_A,0.67),NA())</f>
        <v>-25.791767345866351</v>
      </c>
    </row>
    <row r="192" spans="2:3" hidden="1" outlineLevel="1" x14ac:dyDescent="0.45">
      <c r="B192" s="79">
        <v>0.68</v>
      </c>
      <c r="C192" s="78" cm="1">
        <f t="array" aca="1" ref="C192" ca="1">IF(ISNUMBER(_xll.VoseSimPercentile(NPV_A,0.68)),_xll.VoseSimPercentile(NPV_A,0.68),NA())</f>
        <v>-25.678976637290233</v>
      </c>
    </row>
    <row r="193" spans="2:3" hidden="1" outlineLevel="1" x14ac:dyDescent="0.45">
      <c r="B193" s="79">
        <v>0.69</v>
      </c>
      <c r="C193" s="78" cm="1">
        <f t="array" aca="1" ref="C193" ca="1">IF(ISNUMBER(_xll.VoseSimPercentile(NPV_A,0.69)),_xll.VoseSimPercentile(NPV_A,0.69),NA())</f>
        <v>-25.55924982490124</v>
      </c>
    </row>
    <row r="194" spans="2:3" hidden="1" outlineLevel="1" x14ac:dyDescent="0.45">
      <c r="B194" s="79">
        <v>0.7</v>
      </c>
      <c r="C194" s="78" cm="1">
        <f t="array" aca="1" ref="C194" ca="1">IF(ISNUMBER(_xll.VoseSimPercentile(NPV_A,0.7)),_xll.VoseSimPercentile(NPV_A,0.7),NA())</f>
        <v>-25.45439283583174</v>
      </c>
    </row>
    <row r="195" spans="2:3" hidden="1" outlineLevel="1" x14ac:dyDescent="0.45">
      <c r="B195" s="79">
        <v>0.71</v>
      </c>
      <c r="C195" s="78" cm="1">
        <f t="array" aca="1" ref="C195" ca="1">IF(ISNUMBER(_xll.VoseSimPercentile(NPV_A,0.71)),_xll.VoseSimPercentile(NPV_A,0.71),NA())</f>
        <v>-25.32242854879286</v>
      </c>
    </row>
    <row r="196" spans="2:3" hidden="1" outlineLevel="1" x14ac:dyDescent="0.45">
      <c r="B196" s="79">
        <v>0.72</v>
      </c>
      <c r="C196" s="78" cm="1">
        <f t="array" aca="1" ref="C196" ca="1">IF(ISNUMBER(_xll.VoseSimPercentile(NPV_A,0.72)),_xll.VoseSimPercentile(NPV_A,0.72),NA())</f>
        <v>-25.178227580133495</v>
      </c>
    </row>
    <row r="197" spans="2:3" hidden="1" outlineLevel="1" x14ac:dyDescent="0.45">
      <c r="B197" s="79">
        <v>0.73</v>
      </c>
      <c r="C197" s="78" cm="1">
        <f t="array" aca="1" ref="C197" ca="1">IF(ISNUMBER(_xll.VoseSimPercentile(NPV_A,0.73)),_xll.VoseSimPercentile(NPV_A,0.73),NA())</f>
        <v>-25.064088105555076</v>
      </c>
    </row>
    <row r="198" spans="2:3" hidden="1" outlineLevel="1" x14ac:dyDescent="0.45">
      <c r="B198" s="79">
        <v>0.74</v>
      </c>
      <c r="C198" s="78" cm="1">
        <f t="array" aca="1" ref="C198" ca="1">IF(ISNUMBER(_xll.VoseSimPercentile(NPV_A,0.74)),_xll.VoseSimPercentile(NPV_A,0.74),NA())</f>
        <v>-24.928291276826997</v>
      </c>
    </row>
    <row r="199" spans="2:3" hidden="1" outlineLevel="1" x14ac:dyDescent="0.45">
      <c r="B199" s="79">
        <v>0.75</v>
      </c>
      <c r="C199" s="78" cm="1">
        <f t="array" aca="1" ref="C199" ca="1">IF(ISNUMBER(_xll.VoseSimPercentile(NPV_A,0.75)),_xll.VoseSimPercentile(NPV_A,0.75),NA())</f>
        <v>-24.781986516782219</v>
      </c>
    </row>
    <row r="200" spans="2:3" hidden="1" outlineLevel="1" x14ac:dyDescent="0.45">
      <c r="B200" s="79">
        <v>0.76</v>
      </c>
      <c r="C200" s="78" cm="1">
        <f t="array" aca="1" ref="C200" ca="1">IF(ISNUMBER(_xll.VoseSimPercentile(NPV_A,0.76)),_xll.VoseSimPercentile(NPV_A,0.76),NA())</f>
        <v>-24.609794794963868</v>
      </c>
    </row>
    <row r="201" spans="2:3" hidden="1" outlineLevel="1" x14ac:dyDescent="0.45">
      <c r="B201" s="79">
        <v>0.77</v>
      </c>
      <c r="C201" s="78" cm="1">
        <f t="array" aca="1" ref="C201" ca="1">IF(ISNUMBER(_xll.VoseSimPercentile(NPV_A,0.77)),_xll.VoseSimPercentile(NPV_A,0.77),NA())</f>
        <v>-24.409842220492724</v>
      </c>
    </row>
    <row r="202" spans="2:3" hidden="1" outlineLevel="1" x14ac:dyDescent="0.45">
      <c r="B202" s="79">
        <v>0.78</v>
      </c>
      <c r="C202" s="78" cm="1">
        <f t="array" aca="1" ref="C202" ca="1">IF(ISNUMBER(_xll.VoseSimPercentile(NPV_A,0.78)),_xll.VoseSimPercentile(NPV_A,0.78),NA())</f>
        <v>-24.187879918116572</v>
      </c>
    </row>
    <row r="203" spans="2:3" hidden="1" outlineLevel="1" x14ac:dyDescent="0.45">
      <c r="B203" s="79">
        <v>0.79</v>
      </c>
      <c r="C203" s="78" cm="1">
        <f t="array" aca="1" ref="C203" ca="1">IF(ISNUMBER(_xll.VoseSimPercentile(NPV_A,0.79)),_xll.VoseSimPercentile(NPV_A,0.79),NA())</f>
        <v>-23.969945061811547</v>
      </c>
    </row>
    <row r="204" spans="2:3" hidden="1" outlineLevel="1" x14ac:dyDescent="0.45">
      <c r="B204" s="79">
        <v>0.8</v>
      </c>
      <c r="C204" s="78" cm="1">
        <f t="array" aca="1" ref="C204" ca="1">IF(ISNUMBER(_xll.VoseSimPercentile(NPV_A,0.8)),_xll.VoseSimPercentile(NPV_A,0.8),NA())</f>
        <v>-23.718548470426988</v>
      </c>
    </row>
    <row r="205" spans="2:3" hidden="1" outlineLevel="1" x14ac:dyDescent="0.45">
      <c r="B205" s="79">
        <v>0.81</v>
      </c>
      <c r="C205" s="78" cm="1">
        <f t="array" aca="1" ref="C205" ca="1">IF(ISNUMBER(_xll.VoseSimPercentile(NPV_A,0.81)),_xll.VoseSimPercentile(NPV_A,0.81),NA())</f>
        <v>-23.362098809671672</v>
      </c>
    </row>
    <row r="206" spans="2:3" hidden="1" outlineLevel="1" x14ac:dyDescent="0.45">
      <c r="B206" s="79">
        <v>0.82</v>
      </c>
      <c r="C206" s="78" cm="1">
        <f t="array" aca="1" ref="C206" ca="1">IF(ISNUMBER(_xll.VoseSimPercentile(NPV_A,0.82)),_xll.VoseSimPercentile(NPV_A,0.82),NA())</f>
        <v>-6.1314329269182171</v>
      </c>
    </row>
    <row r="207" spans="2:3" hidden="1" outlineLevel="1" x14ac:dyDescent="0.45">
      <c r="B207" s="79">
        <v>0.83</v>
      </c>
      <c r="C207" s="78" cm="1">
        <f t="array" aca="1" ref="C207" ca="1">IF(ISNUMBER(_xll.VoseSimPercentile(NPV_A,0.83)),_xll.VoseSimPercentile(NPV_A,0.83),NA())</f>
        <v>107.82376024160526</v>
      </c>
    </row>
    <row r="208" spans="2:3" hidden="1" outlineLevel="1" x14ac:dyDescent="0.45">
      <c r="B208" s="79">
        <v>0.84</v>
      </c>
      <c r="C208" s="78" cm="1">
        <f t="array" aca="1" ref="C208" ca="1">IF(ISNUMBER(_xll.VoseSimPercentile(NPV_A,0.84)),_xll.VoseSimPercentile(NPV_A,0.84),NA())</f>
        <v>153.01518332796471</v>
      </c>
    </row>
    <row r="209" spans="2:3" hidden="1" outlineLevel="1" x14ac:dyDescent="0.45">
      <c r="B209" s="79">
        <v>0.85</v>
      </c>
      <c r="C209" s="78" cm="1">
        <f t="array" aca="1" ref="C209" ca="1">IF(ISNUMBER(_xll.VoseSimPercentile(NPV_A,0.85)),_xll.VoseSimPercentile(NPV_A,0.85),NA())</f>
        <v>200.14409352522526</v>
      </c>
    </row>
    <row r="210" spans="2:3" hidden="1" outlineLevel="1" x14ac:dyDescent="0.45">
      <c r="B210" s="79">
        <v>0.86</v>
      </c>
      <c r="C210" s="78" cm="1">
        <f t="array" aca="1" ref="C210" ca="1">IF(ISNUMBER(_xll.VoseSimPercentile(NPV_A,0.86)),_xll.VoseSimPercentile(NPV_A,0.86),NA())</f>
        <v>248.93228960156037</v>
      </c>
    </row>
    <row r="211" spans="2:3" hidden="1" outlineLevel="1" x14ac:dyDescent="0.45">
      <c r="B211" s="79">
        <v>0.87</v>
      </c>
      <c r="C211" s="78" cm="1">
        <f t="array" aca="1" ref="C211" ca="1">IF(ISNUMBER(_xll.VoseSimPercentile(NPV_A,0.87)),_xll.VoseSimPercentile(NPV_A,0.87),NA())</f>
        <v>292.87752902242318</v>
      </c>
    </row>
    <row r="212" spans="2:3" hidden="1" outlineLevel="1" x14ac:dyDescent="0.45">
      <c r="B212" s="79">
        <v>0.88</v>
      </c>
      <c r="C212" s="78" cm="1">
        <f t="array" aca="1" ref="C212" ca="1">IF(ISNUMBER(_xll.VoseSimPercentile(NPV_A,0.88)),_xll.VoseSimPercentile(NPV_A,0.88),NA())</f>
        <v>330.36563133753515</v>
      </c>
    </row>
    <row r="213" spans="2:3" hidden="1" outlineLevel="1" x14ac:dyDescent="0.45">
      <c r="B213" s="79">
        <v>0.89</v>
      </c>
      <c r="C213" s="78" cm="1">
        <f t="array" aca="1" ref="C213" ca="1">IF(ISNUMBER(_xll.VoseSimPercentile(NPV_A,0.89)),_xll.VoseSimPercentile(NPV_A,0.89),NA())</f>
        <v>373.49774222567612</v>
      </c>
    </row>
    <row r="214" spans="2:3" hidden="1" outlineLevel="1" x14ac:dyDescent="0.45">
      <c r="B214" s="79">
        <v>0.9</v>
      </c>
      <c r="C214" s="78" cm="1">
        <f t="array" aca="1" ref="C214" ca="1">IF(ISNUMBER(_xll.VoseSimPercentile(NPV_A,0.9)),_xll.VoseSimPercentile(NPV_A,0.9),NA())</f>
        <v>424.75949829006692</v>
      </c>
    </row>
    <row r="215" spans="2:3" hidden="1" outlineLevel="1" x14ac:dyDescent="0.45">
      <c r="B215" s="79">
        <v>0.91</v>
      </c>
      <c r="C215" s="78" cm="1">
        <f t="array" aca="1" ref="C215" ca="1">IF(ISNUMBER(_xll.VoseSimPercentile(NPV_A,0.91)),_xll.VoseSimPercentile(NPV_A,0.91),NA())</f>
        <v>470.26180214800507</v>
      </c>
    </row>
    <row r="216" spans="2:3" hidden="1" outlineLevel="1" x14ac:dyDescent="0.45">
      <c r="B216" s="79">
        <v>0.92</v>
      </c>
      <c r="C216" s="78" cm="1">
        <f t="array" aca="1" ref="C216" ca="1">IF(ISNUMBER(_xll.VoseSimPercentile(NPV_A,0.92)),_xll.VoseSimPercentile(NPV_A,0.92),NA())</f>
        <v>523.27675745704289</v>
      </c>
    </row>
    <row r="217" spans="2:3" hidden="1" outlineLevel="1" x14ac:dyDescent="0.45">
      <c r="B217" s="79">
        <v>0.93</v>
      </c>
      <c r="C217" s="78" cm="1">
        <f t="array" aca="1" ref="C217" ca="1">IF(ISNUMBER(_xll.VoseSimPercentile(NPV_A,0.93)),_xll.VoseSimPercentile(NPV_A,0.93),NA())</f>
        <v>574.73576137905991</v>
      </c>
    </row>
    <row r="218" spans="2:3" hidden="1" outlineLevel="1" x14ac:dyDescent="0.45">
      <c r="B218" s="79">
        <v>0.94</v>
      </c>
      <c r="C218" s="78" cm="1">
        <f t="array" aca="1" ref="C218" ca="1">IF(ISNUMBER(_xll.VoseSimPercentile(NPV_A,0.94)),_xll.VoseSimPercentile(NPV_A,0.94),NA())</f>
        <v>639.54223060891877</v>
      </c>
    </row>
    <row r="219" spans="2:3" hidden="1" outlineLevel="1" x14ac:dyDescent="0.45">
      <c r="B219" s="79">
        <v>0.95</v>
      </c>
      <c r="C219" s="78" cm="1">
        <f t="array" aca="1" ref="C219" ca="1">IF(ISNUMBER(_xll.VoseSimPercentile(NPV_A,0.95)),_xll.VoseSimPercentile(NPV_A,0.95),NA())</f>
        <v>713.21103881204226</v>
      </c>
    </row>
    <row r="220" spans="2:3" hidden="1" outlineLevel="1" x14ac:dyDescent="0.45">
      <c r="B220" s="79">
        <v>0.96</v>
      </c>
      <c r="C220" s="78" cm="1">
        <f t="array" aca="1" ref="C220" ca="1">IF(ISNUMBER(_xll.VoseSimPercentile(NPV_A,0.96)),_xll.VoseSimPercentile(NPV_A,0.96),NA())</f>
        <v>815.35855129814877</v>
      </c>
    </row>
    <row r="221" spans="2:3" hidden="1" outlineLevel="1" x14ac:dyDescent="0.45">
      <c r="B221" s="79">
        <v>0.97</v>
      </c>
      <c r="C221" s="78" cm="1">
        <f t="array" aca="1" ref="C221" ca="1">IF(ISNUMBER(_xll.VoseSimPercentile(NPV_A,0.97)),_xll.VoseSimPercentile(NPV_A,0.97),NA())</f>
        <v>903.31452774442653</v>
      </c>
    </row>
    <row r="222" spans="2:3" hidden="1" outlineLevel="1" x14ac:dyDescent="0.45">
      <c r="B222" s="79">
        <v>0.98</v>
      </c>
      <c r="C222" s="78" cm="1">
        <f t="array" aca="1" ref="C222" ca="1">IF(ISNUMBER(_xll.VoseSimPercentile(NPV_A,0.98)),_xll.VoseSimPercentile(NPV_A,0.98),NA())</f>
        <v>1052.8707658104163</v>
      </c>
    </row>
    <row r="223" spans="2:3" hidden="1" outlineLevel="1" x14ac:dyDescent="0.45">
      <c r="B223" s="79">
        <v>0.99</v>
      </c>
      <c r="C223" s="78" cm="1">
        <f t="array" aca="1" ref="C223" ca="1">IF(ISNUMBER(_xll.VoseSimPercentile(NPV_A,0.99)),_xll.VoseSimPercentile(NPV_A,0.99),NA())</f>
        <v>1367.658789733729</v>
      </c>
    </row>
    <row r="224" spans="2:3" hidden="1" outlineLevel="1" x14ac:dyDescent="0.45">
      <c r="B224" s="79">
        <v>0.995</v>
      </c>
      <c r="C224" s="78" cm="1">
        <f t="array" aca="1" ref="C224" ca="1">IF(ISNUMBER(_xll.VoseSimPercentile(NPV_A,0.995)),_xll.VoseSimPercentile(NPV_A,0.995),NA())</f>
        <v>1656.7172787333568</v>
      </c>
    </row>
    <row r="225" spans="2:7" hidden="1" outlineLevel="1" x14ac:dyDescent="0.45"/>
    <row r="226" spans="2:7" ht="18" hidden="1" customHeight="1" outlineLevel="1" x14ac:dyDescent="0.45">
      <c r="B226" s="23" t="s">
        <v>332</v>
      </c>
      <c r="C226" s="24" t="s">
        <v>333</v>
      </c>
      <c r="D226" s="24" t="s">
        <v>334</v>
      </c>
      <c r="E226" s="24" t="s">
        <v>335</v>
      </c>
      <c r="F226" s="24" t="s">
        <v>336</v>
      </c>
      <c r="G226" s="24" t="s">
        <v>337</v>
      </c>
    </row>
    <row r="227" spans="2:7" hidden="1" outlineLevel="1" x14ac:dyDescent="0.45">
      <c r="B227" s="80">
        <v>0</v>
      </c>
      <c r="C227" s="78">
        <f ca="1">IF(ISNUMBER($C$124),$C$124+($C$224-$C$124)*0/30,NA())</f>
        <v>-160.90603498895811</v>
      </c>
      <c r="D227" s="81">
        <f t="shared" ref="D227:D257" ca="1" si="2">IF(ISNUMBER(C227),MATCH(C227,$C$124:$C$224,1),NA())</f>
        <v>1</v>
      </c>
      <c r="E227" s="78">
        <f t="shared" ref="E227:E256" ca="1" si="3">IF(ISNUMBER(C227),(C227+C228)/2,NA())</f>
        <v>-130.61231309358618</v>
      </c>
      <c r="F227" s="79">
        <f t="shared" ref="F227:F256" ca="1" si="4">IF(ISNUMBER(G228),G228-G227,NA())</f>
        <v>0.15714336243907479</v>
      </c>
      <c r="G227" s="79" cm="1">
        <f t="array" aca="1" ref="G227" ca="1">IF(ISNUMBER(D227),IF(D227&gt;=101,INDEX($B$124:$B$224,101),INDEX($B$124:$B$224,D227)+(C227-INDEX($C$124:$C$224,D227))/MAX(0.000000000001,INDEX($C$124:$C$224,D227+1)-INDEX($C$124:$C$224,D227))*(INDEX($B$124:$B$224,D227+1)-INDEX($B$124:$B$224,D227))),NA())</f>
        <v>5.0000000000000001E-3</v>
      </c>
    </row>
    <row r="228" spans="2:7" hidden="1" outlineLevel="1" x14ac:dyDescent="0.45">
      <c r="B228" s="80">
        <v>1</v>
      </c>
      <c r="C228" s="78">
        <f ca="1">IF(ISNUMBER($C$124),$C$124+($C$224-$C$124)*1/30,NA())</f>
        <v>-100.31859119821428</v>
      </c>
      <c r="D228" s="81">
        <f t="shared" ca="1" si="2"/>
        <v>17</v>
      </c>
      <c r="E228" s="78">
        <f t="shared" ca="1" si="3"/>
        <v>-70.024869302842376</v>
      </c>
      <c r="F228" s="79">
        <f t="shared" ca="1" si="4"/>
        <v>7.2522624873761765E-3</v>
      </c>
      <c r="G228" s="79" cm="1">
        <f t="array" aca="1" ref="G228" ca="1">IF(ISNUMBER(D228),IF(D228&gt;=101,INDEX($B$124:$B$224,101),INDEX($B$124:$B$224,D228)+(C228-INDEX($C$124:$C$224,D228))/MAX(0.000000000001,INDEX($C$124:$C$224,D228+1)-INDEX($C$124:$C$224,D228))*(INDEX($B$124:$B$224,D228+1)-INDEX($B$124:$B$224,D228))),NA())</f>
        <v>0.16214336243907479</v>
      </c>
    </row>
    <row r="229" spans="2:7" hidden="1" outlineLevel="1" x14ac:dyDescent="0.45">
      <c r="B229" s="80">
        <v>2</v>
      </c>
      <c r="C229" s="78">
        <f ca="1">IF(ISNUMBER($C$124),$C$124+($C$224-$C$124)*2/30,NA())</f>
        <v>-39.731147407470459</v>
      </c>
      <c r="D229" s="81">
        <f t="shared" ca="1" si="2"/>
        <v>17</v>
      </c>
      <c r="E229" s="78">
        <f t="shared" ca="1" si="3"/>
        <v>-9.4374255120985495</v>
      </c>
      <c r="F229" s="79">
        <f t="shared" ca="1" si="4"/>
        <v>0.6529726505825274</v>
      </c>
      <c r="G229" s="79" cm="1">
        <f t="array" aca="1" ref="G229" ca="1">IF(ISNUMBER(D229),IF(D229&gt;=101,INDEX($B$124:$B$224,101),INDEX($B$124:$B$224,D229)+(C229-INDEX($C$124:$C$224,D229))/MAX(0.000000000001,INDEX($C$124:$C$224,D229+1)-INDEX($C$124:$C$224,D229))*(INDEX($B$124:$B$224,D229+1)-INDEX($B$124:$B$224,D229))),NA())</f>
        <v>0.16939562492645097</v>
      </c>
    </row>
    <row r="230" spans="2:7" hidden="1" outlineLevel="1" x14ac:dyDescent="0.45">
      <c r="B230" s="80">
        <v>3</v>
      </c>
      <c r="C230" s="78">
        <f ca="1">IF(ISNUMBER($C$124),$C$124+($C$224-$C$124)*3/30,NA())</f>
        <v>20.85629638327336</v>
      </c>
      <c r="D230" s="81">
        <f t="shared" ca="1" si="2"/>
        <v>83</v>
      </c>
      <c r="E230" s="78">
        <f t="shared" ca="1" si="3"/>
        <v>51.150018278645277</v>
      </c>
      <c r="F230" s="79">
        <f t="shared" ca="1" si="4"/>
        <v>5.3167777708158503E-3</v>
      </c>
      <c r="G230" s="79" cm="1">
        <f t="array" aca="1" ref="G230" ca="1">IF(ISNUMBER(D230),IF(D230&gt;=101,INDEX($B$124:$B$224,101),INDEX($B$124:$B$224,D230)+(C230-INDEX($C$124:$C$224,D230))/MAX(0.000000000001,INDEX($C$124:$C$224,D230+1)-INDEX($C$124:$C$224,D230))*(INDEX($B$124:$B$224,D230+1)-INDEX($B$124:$B$224,D230))),NA())</f>
        <v>0.8223682755089784</v>
      </c>
    </row>
    <row r="231" spans="2:7" hidden="1" outlineLevel="1" x14ac:dyDescent="0.45">
      <c r="B231" s="80">
        <v>4</v>
      </c>
      <c r="C231" s="78">
        <f ca="1">IF(ISNUMBER($C$124),$C$124+($C$224-$C$124)*4/30,NA())</f>
        <v>81.443740174017194</v>
      </c>
      <c r="D231" s="81">
        <f t="shared" ca="1" si="2"/>
        <v>83</v>
      </c>
      <c r="E231" s="78">
        <f t="shared" ca="1" si="3"/>
        <v>111.73746206938911</v>
      </c>
      <c r="F231" s="79">
        <f t="shared" ca="1" si="4"/>
        <v>9.8843971572469824E-3</v>
      </c>
      <c r="G231" s="79" cm="1">
        <f t="array" aca="1" ref="G231" ca="1">IF(ISNUMBER(D231),IF(D231&gt;=101,INDEX($B$124:$B$224,101),INDEX($B$124:$B$224,D231)+(C231-INDEX($C$124:$C$224,D231))/MAX(0.000000000001,INDEX($C$124:$C$224,D231+1)-INDEX($C$124:$C$224,D231))*(INDEX($B$124:$B$224,D231+1)-INDEX($B$124:$B$224,D231))),NA())</f>
        <v>0.82768505327979425</v>
      </c>
    </row>
    <row r="232" spans="2:7" hidden="1" outlineLevel="1" x14ac:dyDescent="0.45">
      <c r="B232" s="80">
        <v>5</v>
      </c>
      <c r="C232" s="78">
        <f ca="1">IF(ISNUMBER($C$124),$C$124+($C$224-$C$124)*5/30,NA())</f>
        <v>142.03118396476103</v>
      </c>
      <c r="D232" s="81">
        <f t="shared" ca="1" si="2"/>
        <v>84</v>
      </c>
      <c r="E232" s="78">
        <f t="shared" ca="1" si="3"/>
        <v>172.32490586013293</v>
      </c>
      <c r="F232" s="79">
        <f t="shared" ca="1" si="4"/>
        <v>1.2937748932742354E-2</v>
      </c>
      <c r="G232" s="79" cm="1">
        <f t="array" aca="1" ref="G232" ca="1">IF(ISNUMBER(D232),IF(D232&gt;=101,INDEX($B$124:$B$224,101),INDEX($B$124:$B$224,D232)+(C232-INDEX($C$124:$C$224,D232))/MAX(0.000000000001,INDEX($C$124:$C$224,D232+1)-INDEX($C$124:$C$224,D232))*(INDEX($B$124:$B$224,D232+1)-INDEX($B$124:$B$224,D232))),NA())</f>
        <v>0.83756945043704123</v>
      </c>
    </row>
    <row r="233" spans="2:7" hidden="1" outlineLevel="1" x14ac:dyDescent="0.45">
      <c r="B233" s="80">
        <v>6</v>
      </c>
      <c r="C233" s="78">
        <f ca="1">IF(ISNUMBER($C$124),$C$124+($C$224-$C$124)*6/30,NA())</f>
        <v>202.61862775550483</v>
      </c>
      <c r="D233" s="81">
        <f t="shared" ca="1" si="2"/>
        <v>86</v>
      </c>
      <c r="E233" s="78">
        <f t="shared" ca="1" si="3"/>
        <v>232.91234965087676</v>
      </c>
      <c r="F233" s="79">
        <f t="shared" ca="1" si="4"/>
        <v>1.2740884411940434E-2</v>
      </c>
      <c r="G233" s="79" cm="1">
        <f t="array" aca="1" ref="G233" ca="1">IF(ISNUMBER(D233),IF(D233&gt;=101,INDEX($B$124:$B$224,101),INDEX($B$124:$B$224,D233)+(C233-INDEX($C$124:$C$224,D233))/MAX(0.000000000001,INDEX($C$124:$C$224,D233+1)-INDEX($C$124:$C$224,D233))*(INDEX($B$124:$B$224,D233+1)-INDEX($B$124:$B$224,D233))),NA())</f>
        <v>0.85050719936978358</v>
      </c>
    </row>
    <row r="234" spans="2:7" hidden="1" outlineLevel="1" x14ac:dyDescent="0.45">
      <c r="B234" s="80">
        <v>7</v>
      </c>
      <c r="C234" s="78">
        <f ca="1">IF(ISNUMBER($C$124),$C$124+($C$224-$C$124)*7/30,NA())</f>
        <v>263.20607154624872</v>
      </c>
      <c r="D234" s="81">
        <f t="shared" ca="1" si="2"/>
        <v>87</v>
      </c>
      <c r="E234" s="78">
        <f t="shared" ca="1" si="3"/>
        <v>293.49979344162062</v>
      </c>
      <c r="F234" s="79">
        <f t="shared" ca="1" si="4"/>
        <v>1.49987957361295E-2</v>
      </c>
      <c r="G234" s="79" cm="1">
        <f t="array" aca="1" ref="G234" ca="1">IF(ISNUMBER(D234),IF(D234&gt;=101,INDEX($B$124:$B$224,101),INDEX($B$124:$B$224,D234)+(C234-INDEX($C$124:$C$224,D234))/MAX(0.000000000001,INDEX($C$124:$C$224,D234+1)-INDEX($C$124:$C$224,D234))*(INDEX($B$124:$B$224,D234+1)-INDEX($B$124:$B$224,D234))),NA())</f>
        <v>0.86324808378172402</v>
      </c>
    </row>
    <row r="235" spans="2:7" hidden="1" outlineLevel="1" x14ac:dyDescent="0.45">
      <c r="B235" s="80">
        <v>8</v>
      </c>
      <c r="C235" s="78">
        <f ca="1">IF(ISNUMBER($C$124),$C$124+($C$224-$C$124)*8/30,NA())</f>
        <v>323.79351533699253</v>
      </c>
      <c r="D235" s="81">
        <f t="shared" ca="1" si="2"/>
        <v>88</v>
      </c>
      <c r="E235" s="78">
        <f t="shared" ca="1" si="3"/>
        <v>354.08723723236443</v>
      </c>
      <c r="F235" s="79">
        <f t="shared" ca="1" si="4"/>
        <v>1.387618799633572E-2</v>
      </c>
      <c r="G235" s="79" cm="1">
        <f t="array" aca="1" ref="G235" ca="1">IF(ISNUMBER(D235),IF(D235&gt;=101,INDEX($B$124:$B$224,101),INDEX($B$124:$B$224,D235)+(C235-INDEX($C$124:$C$224,D235))/MAX(0.000000000001,INDEX($C$124:$C$224,D235+1)-INDEX($C$124:$C$224,D235))*(INDEX($B$124:$B$224,D235+1)-INDEX($B$124:$B$224,D235))),NA())</f>
        <v>0.87824687951785352</v>
      </c>
    </row>
    <row r="236" spans="2:7" hidden="1" outlineLevel="1" x14ac:dyDescent="0.45">
      <c r="B236" s="80">
        <v>9</v>
      </c>
      <c r="C236" s="78">
        <f ca="1">IF(ISNUMBER($C$124),$C$124+($C$224-$C$124)*9/30,NA())</f>
        <v>384.38095912773633</v>
      </c>
      <c r="D236" s="81">
        <f t="shared" ca="1" si="2"/>
        <v>90</v>
      </c>
      <c r="E236" s="78">
        <f t="shared" ca="1" si="3"/>
        <v>414.67468102310823</v>
      </c>
      <c r="F236" s="79">
        <f t="shared" ca="1" si="4"/>
        <v>1.2318225105082736E-2</v>
      </c>
      <c r="G236" s="79" cm="1">
        <f t="array" aca="1" ref="G236" ca="1">IF(ISNUMBER(D236),IF(D236&gt;=101,INDEX($B$124:$B$224,101),INDEX($B$124:$B$224,D236)+(C236-INDEX($C$124:$C$224,D236))/MAX(0.000000000001,INDEX($C$124:$C$224,D236+1)-INDEX($C$124:$C$224,D236))*(INDEX($B$124:$B$224,D236+1)-INDEX($B$124:$B$224,D236))),NA())</f>
        <v>0.89212306751418924</v>
      </c>
    </row>
    <row r="237" spans="2:7" hidden="1" outlineLevel="1" x14ac:dyDescent="0.45">
      <c r="B237" s="80">
        <v>10</v>
      </c>
      <c r="C237" s="78">
        <f ca="1">IF(ISNUMBER($C$124),$C$124+($C$224-$C$124)*10/30,NA())</f>
        <v>444.96840291848014</v>
      </c>
      <c r="D237" s="81">
        <f t="shared" ca="1" si="2"/>
        <v>91</v>
      </c>
      <c r="E237" s="78">
        <f t="shared" ca="1" si="3"/>
        <v>475.26212481385204</v>
      </c>
      <c r="F237" s="79">
        <f t="shared" ca="1" si="4"/>
        <v>1.2216082522417904E-2</v>
      </c>
      <c r="G237" s="79" cm="1">
        <f t="array" aca="1" ref="G237" ca="1">IF(ISNUMBER(D237),IF(D237&gt;=101,INDEX($B$124:$B$224,101),INDEX($B$124:$B$224,D237)+(C237-INDEX($C$124:$C$224,D237))/MAX(0.000000000001,INDEX($C$124:$C$224,D237+1)-INDEX($C$124:$C$224,D237))*(INDEX($B$124:$B$224,D237+1)-INDEX($B$124:$B$224,D237))),NA())</f>
        <v>0.90444129261927197</v>
      </c>
    </row>
    <row r="238" spans="2:7" hidden="1" outlineLevel="1" x14ac:dyDescent="0.45">
      <c r="B238" s="80">
        <v>11</v>
      </c>
      <c r="C238" s="78">
        <f ca="1">IF(ISNUMBER($C$124),$C$124+($C$224-$C$124)*11/30,NA())</f>
        <v>505.55584670922394</v>
      </c>
      <c r="D238" s="81">
        <f t="shared" ca="1" si="2"/>
        <v>92</v>
      </c>
      <c r="E238" s="78">
        <f t="shared" ca="1" si="3"/>
        <v>535.84956860459579</v>
      </c>
      <c r="F238" s="79">
        <f t="shared" ca="1" si="4"/>
        <v>1.1672854706498925E-2</v>
      </c>
      <c r="G238" s="79" cm="1">
        <f t="array" aca="1" ref="G238" ca="1">IF(ISNUMBER(D238),IF(D238&gt;=101,INDEX($B$124:$B$224,101),INDEX($B$124:$B$224,D238)+(C238-INDEX($C$124:$C$224,D238))/MAX(0.000000000001,INDEX($C$124:$C$224,D238+1)-INDEX($C$124:$C$224,D238))*(INDEX($B$124:$B$224,D238+1)-INDEX($B$124:$B$224,D238))),NA())</f>
        <v>0.91665737514168988</v>
      </c>
    </row>
    <row r="239" spans="2:7" hidden="1" outlineLevel="1" x14ac:dyDescent="0.45">
      <c r="B239" s="80">
        <v>12</v>
      </c>
      <c r="C239" s="78">
        <f ca="1">IF(ISNUMBER($C$124),$C$124+($C$224-$C$124)*12/30,NA())</f>
        <v>566.14329049996775</v>
      </c>
      <c r="D239" s="81">
        <f t="shared" ca="1" si="2"/>
        <v>93</v>
      </c>
      <c r="E239" s="78">
        <f t="shared" ca="1" si="3"/>
        <v>596.43701239533971</v>
      </c>
      <c r="F239" s="79">
        <f t="shared" ca="1" si="4"/>
        <v>9.692884746626329E-3</v>
      </c>
      <c r="G239" s="79" cm="1">
        <f t="array" aca="1" ref="G239" ca="1">IF(ISNUMBER(D239),IF(D239&gt;=101,INDEX($B$124:$B$224,101),INDEX($B$124:$B$224,D239)+(C239-INDEX($C$124:$C$224,D239))/MAX(0.000000000001,INDEX($C$124:$C$224,D239+1)-INDEX($C$124:$C$224,D239))*(INDEX($B$124:$B$224,D239+1)-INDEX($B$124:$B$224,D239))),NA())</f>
        <v>0.9283302298481888</v>
      </c>
    </row>
    <row r="240" spans="2:7" hidden="1" outlineLevel="1" x14ac:dyDescent="0.45">
      <c r="B240" s="80">
        <v>13</v>
      </c>
      <c r="C240" s="78">
        <f ca="1">IF(ISNUMBER($C$124),$C$124+($C$224-$C$124)*13/30,NA())</f>
        <v>626.73073429071167</v>
      </c>
      <c r="D240" s="81">
        <f t="shared" ca="1" si="2"/>
        <v>94</v>
      </c>
      <c r="E240" s="78">
        <f t="shared" ca="1" si="3"/>
        <v>657.02445618608363</v>
      </c>
      <c r="F240" s="79">
        <f t="shared" ca="1" si="4"/>
        <v>8.4621196091652084E-3</v>
      </c>
      <c r="G240" s="79" cm="1">
        <f t="array" aca="1" ref="G240" ca="1">IF(ISNUMBER(D240),IF(D240&gt;=101,INDEX($B$124:$B$224,101),INDEX($B$124:$B$224,D240)+(C240-INDEX($C$124:$C$224,D240))/MAX(0.000000000001,INDEX($C$124:$C$224,D240+1)-INDEX($C$124:$C$224,D240))*(INDEX($B$124:$B$224,D240+1)-INDEX($B$124:$B$224,D240))),NA())</f>
        <v>0.93802311459481513</v>
      </c>
    </row>
    <row r="241" spans="2:7" hidden="1" outlineLevel="1" x14ac:dyDescent="0.45">
      <c r="B241" s="80">
        <v>14</v>
      </c>
      <c r="C241" s="78">
        <f ca="1">IF(ISNUMBER($C$124),$C$124+($C$224-$C$124)*14/30,NA())</f>
        <v>687.31817808145547</v>
      </c>
      <c r="D241" s="81">
        <f t="shared" ca="1" si="2"/>
        <v>95</v>
      </c>
      <c r="E241" s="78">
        <f t="shared" ca="1" si="3"/>
        <v>717.61189997682732</v>
      </c>
      <c r="F241" s="79">
        <f t="shared" ca="1" si="4"/>
        <v>6.9112834610852714E-3</v>
      </c>
      <c r="G241" s="79" cm="1">
        <f t="array" aca="1" ref="G241" ca="1">IF(ISNUMBER(D241),IF(D241&gt;=101,INDEX($B$124:$B$224,101),INDEX($B$124:$B$224,D241)+(C241-INDEX($C$124:$C$224,D241))/MAX(0.000000000001,INDEX($C$124:$C$224,D241+1)-INDEX($C$124:$C$224,D241))*(INDEX($B$124:$B$224,D241+1)-INDEX($B$124:$B$224,D241))),NA())</f>
        <v>0.94648523420398034</v>
      </c>
    </row>
    <row r="242" spans="2:7" hidden="1" outlineLevel="1" x14ac:dyDescent="0.45">
      <c r="B242" s="80">
        <v>15</v>
      </c>
      <c r="C242" s="78">
        <f ca="1">IF(ISNUMBER($C$124),$C$124+($C$224-$C$124)*15/30,NA())</f>
        <v>747.90562187219928</v>
      </c>
      <c r="D242" s="81">
        <f t="shared" ca="1" si="2"/>
        <v>96</v>
      </c>
      <c r="E242" s="78">
        <f t="shared" ca="1" si="3"/>
        <v>778.19934376757124</v>
      </c>
      <c r="F242" s="79">
        <f t="shared" ca="1" si="4"/>
        <v>5.931367520964792E-3</v>
      </c>
      <c r="G242" s="79" cm="1">
        <f t="array" aca="1" ref="G242" ca="1">IF(ISNUMBER(D242),IF(D242&gt;=101,INDEX($B$124:$B$224,101),INDEX($B$124:$B$224,D242)+(C242-INDEX($C$124:$C$224,D242))/MAX(0.000000000001,INDEX($C$124:$C$224,D242+1)-INDEX($C$124:$C$224,D242))*(INDEX($B$124:$B$224,D242+1)-INDEX($B$124:$B$224,D242))),NA())</f>
        <v>0.95339651766506561</v>
      </c>
    </row>
    <row r="243" spans="2:7" hidden="1" outlineLevel="1" x14ac:dyDescent="0.45">
      <c r="B243" s="80">
        <v>16</v>
      </c>
      <c r="C243" s="78">
        <f ca="1">IF(ISNUMBER($C$124),$C$124+($C$224-$C$124)*16/30,NA())</f>
        <v>808.49306566294308</v>
      </c>
      <c r="D243" s="81">
        <f t="shared" ca="1" si="2"/>
        <v>96</v>
      </c>
      <c r="E243" s="78">
        <f t="shared" ca="1" si="3"/>
        <v>838.78678755831493</v>
      </c>
      <c r="F243" s="79">
        <f t="shared" ca="1" si="4"/>
        <v>6.779938332744373E-3</v>
      </c>
      <c r="G243" s="79" cm="1">
        <f t="array" aca="1" ref="G243" ca="1">IF(ISNUMBER(D243),IF(D243&gt;=101,INDEX($B$124:$B$224,101),INDEX($B$124:$B$224,D243)+(C243-INDEX($C$124:$C$224,D243))/MAX(0.000000000001,INDEX($C$124:$C$224,D243+1)-INDEX($C$124:$C$224,D243))*(INDEX($B$124:$B$224,D243+1)-INDEX($B$124:$B$224,D243))),NA())</f>
        <v>0.9593278851860304</v>
      </c>
    </row>
    <row r="244" spans="2:7" hidden="1" outlineLevel="1" x14ac:dyDescent="0.45">
      <c r="B244" s="80">
        <v>17</v>
      </c>
      <c r="C244" s="78">
        <f ca="1">IF(ISNUMBER($C$124),$C$124+($C$224-$C$124)*17/30,NA())</f>
        <v>869.08050945368689</v>
      </c>
      <c r="D244" s="81">
        <f t="shared" ca="1" si="2"/>
        <v>97</v>
      </c>
      <c r="E244" s="78">
        <f t="shared" ca="1" si="3"/>
        <v>899.37423134905885</v>
      </c>
      <c r="F244" s="79">
        <f t="shared" ca="1" si="4"/>
        <v>5.6542845578121392E-3</v>
      </c>
      <c r="G244" s="79" cm="1">
        <f t="array" aca="1" ref="G244" ca="1">IF(ISNUMBER(D244),IF(D244&gt;=101,INDEX($B$124:$B$224,101),INDEX($B$124:$B$224,D244)+(C244-INDEX($C$124:$C$224,D244))/MAX(0.000000000001,INDEX($C$124:$C$224,D244+1)-INDEX($C$124:$C$224,D244))*(INDEX($B$124:$B$224,D244+1)-INDEX($B$124:$B$224,D244))),NA())</f>
        <v>0.96610782351877478</v>
      </c>
    </row>
    <row r="245" spans="2:7" hidden="1" outlineLevel="1" x14ac:dyDescent="0.45">
      <c r="B245" s="80">
        <v>18</v>
      </c>
      <c r="C245" s="78">
        <f ca="1">IF(ISNUMBER($C$124),$C$124+($C$224-$C$124)*18/30,NA())</f>
        <v>929.66795324443081</v>
      </c>
      <c r="D245" s="81">
        <f t="shared" ca="1" si="2"/>
        <v>98</v>
      </c>
      <c r="E245" s="78">
        <f t="shared" ca="1" si="3"/>
        <v>959.96167513980265</v>
      </c>
      <c r="F245" s="79">
        <f t="shared" ca="1" si="4"/>
        <v>4.0511478875264739E-3</v>
      </c>
      <c r="G245" s="79" cm="1">
        <f t="array" aca="1" ref="G245" ca="1">IF(ISNUMBER(D245),IF(D245&gt;=101,INDEX($B$124:$B$224,101),INDEX($B$124:$B$224,D245)+(C245-INDEX($C$124:$C$224,D245))/MAX(0.000000000001,INDEX($C$124:$C$224,D245+1)-INDEX($C$124:$C$224,D245))*(INDEX($B$124:$B$224,D245+1)-INDEX($B$124:$B$224,D245))),NA())</f>
        <v>0.97176210807658692</v>
      </c>
    </row>
    <row r="246" spans="2:7" hidden="1" outlineLevel="1" x14ac:dyDescent="0.45">
      <c r="B246" s="80">
        <v>19</v>
      </c>
      <c r="C246" s="78">
        <f ca="1">IF(ISNUMBER($C$124),$C$124+($C$224-$C$124)*19/30,NA())</f>
        <v>990.2553970351745</v>
      </c>
      <c r="D246" s="81">
        <f t="shared" ca="1" si="2"/>
        <v>98</v>
      </c>
      <c r="E246" s="78">
        <f t="shared" ca="1" si="3"/>
        <v>1020.5491189305465</v>
      </c>
      <c r="F246" s="79">
        <f t="shared" ca="1" si="4"/>
        <v>4.0511478875264739E-3</v>
      </c>
      <c r="G246" s="79" cm="1">
        <f t="array" aca="1" ref="G246" ca="1">IF(ISNUMBER(D246),IF(D246&gt;=101,INDEX($B$124:$B$224,101),INDEX($B$124:$B$224,D246)+(C246-INDEX($C$124:$C$224,D246))/MAX(0.000000000001,INDEX($C$124:$C$224,D246+1)-INDEX($C$124:$C$224,D246))*(INDEX($B$124:$B$224,D246+1)-INDEX($B$124:$B$224,D246))),NA())</f>
        <v>0.97581325596411339</v>
      </c>
    </row>
    <row r="247" spans="2:7" hidden="1" outlineLevel="1" x14ac:dyDescent="0.45">
      <c r="B247" s="80">
        <v>20</v>
      </c>
      <c r="C247" s="78">
        <f ca="1">IF(ISNUMBER($C$124),$C$124+($C$224-$C$124)*20/30,NA())</f>
        <v>1050.8428408259185</v>
      </c>
      <c r="D247" s="81">
        <f t="shared" ca="1" si="2"/>
        <v>98</v>
      </c>
      <c r="E247" s="78">
        <f t="shared" ca="1" si="3"/>
        <v>1081.1365627212904</v>
      </c>
      <c r="F247" s="79">
        <f t="shared" ca="1" si="4"/>
        <v>1.9958803509291245E-3</v>
      </c>
      <c r="G247" s="79" cm="1">
        <f t="array" aca="1" ref="G247" ca="1">IF(ISNUMBER(D247),IF(D247&gt;=101,INDEX($B$124:$B$224,101),INDEX($B$124:$B$224,D247)+(C247-INDEX($C$124:$C$224,D247))/MAX(0.000000000001,INDEX($C$124:$C$224,D247+1)-INDEX($C$124:$C$224,D247))*(INDEX($B$124:$B$224,D247+1)-INDEX($B$124:$B$224,D247))),NA())</f>
        <v>0.97986440385163986</v>
      </c>
    </row>
    <row r="248" spans="2:7" hidden="1" outlineLevel="1" x14ac:dyDescent="0.45">
      <c r="B248" s="80">
        <v>21</v>
      </c>
      <c r="C248" s="78">
        <f ca="1">IF(ISNUMBER($C$124),$C$124+($C$224-$C$124)*21/30,NA())</f>
        <v>1111.4302846166622</v>
      </c>
      <c r="D248" s="81">
        <f t="shared" ca="1" si="2"/>
        <v>99</v>
      </c>
      <c r="E248" s="78">
        <f t="shared" ca="1" si="3"/>
        <v>1141.7240065120341</v>
      </c>
      <c r="F248" s="79">
        <f t="shared" ca="1" si="4"/>
        <v>1.9247061255895925E-3</v>
      </c>
      <c r="G248" s="79" cm="1">
        <f t="array" aca="1" ref="G248" ca="1">IF(ISNUMBER(D248),IF(D248&gt;=101,INDEX($B$124:$B$224,101),INDEX($B$124:$B$224,D248)+(C248-INDEX($C$124:$C$224,D248))/MAX(0.000000000001,INDEX($C$124:$C$224,D248+1)-INDEX($C$124:$C$224,D248))*(INDEX($B$124:$B$224,D248+1)-INDEX($B$124:$B$224,D248))),NA())</f>
        <v>0.98186028420256899</v>
      </c>
    </row>
    <row r="249" spans="2:7" hidden="1" outlineLevel="1" x14ac:dyDescent="0.45">
      <c r="B249" s="80">
        <v>22</v>
      </c>
      <c r="C249" s="78">
        <f ca="1">IF(ISNUMBER($C$124),$C$124+($C$224-$C$124)*22/30,NA())</f>
        <v>1172.0177284074061</v>
      </c>
      <c r="D249" s="81">
        <f t="shared" ca="1" si="2"/>
        <v>99</v>
      </c>
      <c r="E249" s="78">
        <f t="shared" ca="1" si="3"/>
        <v>1202.3114503027782</v>
      </c>
      <c r="F249" s="79">
        <f t="shared" ca="1" si="4"/>
        <v>1.9247061255895925E-3</v>
      </c>
      <c r="G249" s="79" cm="1">
        <f t="array" aca="1" ref="G249" ca="1">IF(ISNUMBER(D249),IF(D249&gt;=101,INDEX($B$124:$B$224,101),INDEX($B$124:$B$224,D249)+(C249-INDEX($C$124:$C$224,D249))/MAX(0.000000000001,INDEX($C$124:$C$224,D249+1)-INDEX($C$124:$C$224,D249))*(INDEX($B$124:$B$224,D249+1)-INDEX($B$124:$B$224,D249))),NA())</f>
        <v>0.98378499032815858</v>
      </c>
    </row>
    <row r="250" spans="2:7" hidden="1" outlineLevel="1" x14ac:dyDescent="0.45">
      <c r="B250" s="80">
        <v>23</v>
      </c>
      <c r="C250" s="78">
        <f ca="1">IF(ISNUMBER($C$124),$C$124+($C$224-$C$124)*23/30,NA())</f>
        <v>1232.6051721981501</v>
      </c>
      <c r="D250" s="81">
        <f t="shared" ca="1" si="2"/>
        <v>99</v>
      </c>
      <c r="E250" s="78">
        <f t="shared" ca="1" si="3"/>
        <v>1262.8988940935219</v>
      </c>
      <c r="F250" s="79">
        <f t="shared" ca="1" si="4"/>
        <v>1.9247061255895925E-3</v>
      </c>
      <c r="G250" s="79" cm="1">
        <f t="array" aca="1" ref="G250" ca="1">IF(ISNUMBER(D250),IF(D250&gt;=101,INDEX($B$124:$B$224,101),INDEX($B$124:$B$224,D250)+(C250-INDEX($C$124:$C$224,D250))/MAX(0.000000000001,INDEX($C$124:$C$224,D250+1)-INDEX($C$124:$C$224,D250))*(INDEX($B$124:$B$224,D250+1)-INDEX($B$124:$B$224,D250))),NA())</f>
        <v>0.98570969645374817</v>
      </c>
    </row>
    <row r="251" spans="2:7" hidden="1" outlineLevel="1" x14ac:dyDescent="0.45">
      <c r="B251" s="80">
        <v>24</v>
      </c>
      <c r="C251" s="78">
        <f ca="1">IF(ISNUMBER($C$124),$C$124+($C$224-$C$124)*24/30,NA())</f>
        <v>1293.1926159888937</v>
      </c>
      <c r="D251" s="81">
        <f t="shared" ca="1" si="2"/>
        <v>99</v>
      </c>
      <c r="E251" s="78">
        <f t="shared" ca="1" si="3"/>
        <v>1323.4863378842656</v>
      </c>
      <c r="F251" s="79">
        <f t="shared" ca="1" si="4"/>
        <v>1.9247061255895925E-3</v>
      </c>
      <c r="G251" s="79" cm="1">
        <f t="array" aca="1" ref="G251" ca="1">IF(ISNUMBER(D251),IF(D251&gt;=101,INDEX($B$124:$B$224,101),INDEX($B$124:$B$224,D251)+(C251-INDEX($C$124:$C$224,D251))/MAX(0.000000000001,INDEX($C$124:$C$224,D251+1)-INDEX($C$124:$C$224,D251))*(INDEX($B$124:$B$224,D251+1)-INDEX($B$124:$B$224,D251))),NA())</f>
        <v>0.98763440257933777</v>
      </c>
    </row>
    <row r="252" spans="2:7" hidden="1" outlineLevel="1" x14ac:dyDescent="0.45">
      <c r="B252" s="80">
        <v>25</v>
      </c>
      <c r="C252" s="78">
        <f ca="1">IF(ISNUMBER($C$124),$C$124+($C$224-$C$124)*25/30,NA())</f>
        <v>1353.7800597796377</v>
      </c>
      <c r="D252" s="81">
        <f t="shared" ca="1" si="2"/>
        <v>99</v>
      </c>
      <c r="E252" s="78">
        <f t="shared" ca="1" si="3"/>
        <v>1384.0737816750097</v>
      </c>
      <c r="F252" s="79">
        <f t="shared" ca="1" si="4"/>
        <v>1.2488370156481521E-3</v>
      </c>
      <c r="G252" s="79" cm="1">
        <f t="array" aca="1" ref="G252" ca="1">IF(ISNUMBER(D252),IF(D252&gt;=101,INDEX($B$124:$B$224,101),INDEX($B$124:$B$224,D252)+(C252-INDEX($C$124:$C$224,D252))/MAX(0.000000000001,INDEX($C$124:$C$224,D252+1)-INDEX($C$124:$C$224,D252))*(INDEX($B$124:$B$224,D252+1)-INDEX($B$124:$B$224,D252))),NA())</f>
        <v>0.98955910870492736</v>
      </c>
    </row>
    <row r="253" spans="2:7" hidden="1" outlineLevel="1" x14ac:dyDescent="0.45">
      <c r="B253" s="80">
        <v>26</v>
      </c>
      <c r="C253" s="78">
        <f ca="1">IF(ISNUMBER($C$124),$C$124+($C$224-$C$124)*26/30,NA())</f>
        <v>1414.3675035703816</v>
      </c>
      <c r="D253" s="81">
        <f t="shared" ca="1" si="2"/>
        <v>100</v>
      </c>
      <c r="E253" s="78">
        <f t="shared" ca="1" si="3"/>
        <v>1444.6612254657534</v>
      </c>
      <c r="F253" s="79">
        <f t="shared" ca="1" si="4"/>
        <v>1.0480135698560655E-3</v>
      </c>
      <c r="G253" s="79" cm="1">
        <f t="array" aca="1" ref="G253" ca="1">IF(ISNUMBER(D253),IF(D253&gt;=101,INDEX($B$124:$B$224,101),INDEX($B$124:$B$224,D253)+(C253-INDEX($C$124:$C$224,D253))/MAX(0.000000000001,INDEX($C$124:$C$224,D253+1)-INDEX($C$124:$C$224,D253))*(INDEX($B$124:$B$224,D253+1)-INDEX($B$124:$B$224,D253))),NA())</f>
        <v>0.99080794572057551</v>
      </c>
    </row>
    <row r="254" spans="2:7" hidden="1" outlineLevel="1" x14ac:dyDescent="0.45">
      <c r="B254" s="80">
        <v>27</v>
      </c>
      <c r="C254" s="78">
        <f ca="1">IF(ISNUMBER($C$124),$C$124+($C$224-$C$124)*27/30,NA())</f>
        <v>1474.9549473611255</v>
      </c>
      <c r="D254" s="81">
        <f t="shared" ca="1" si="2"/>
        <v>100</v>
      </c>
      <c r="E254" s="78">
        <f t="shared" ca="1" si="3"/>
        <v>1505.2486692564974</v>
      </c>
      <c r="F254" s="79">
        <f t="shared" ca="1" si="4"/>
        <v>1.0480135698561766E-3</v>
      </c>
      <c r="G254" s="79" cm="1">
        <f t="array" aca="1" ref="G254" ca="1">IF(ISNUMBER(D254),IF(D254&gt;=101,INDEX($B$124:$B$224,101),INDEX($B$124:$B$224,D254)+(C254-INDEX($C$124:$C$224,D254))/MAX(0.000000000001,INDEX($C$124:$C$224,D254+1)-INDEX($C$124:$C$224,D254))*(INDEX($B$124:$B$224,D254+1)-INDEX($B$124:$B$224,D254))),NA())</f>
        <v>0.99185595929043158</v>
      </c>
    </row>
    <row r="255" spans="2:7" hidden="1" outlineLevel="1" x14ac:dyDescent="0.45">
      <c r="B255" s="80">
        <v>28</v>
      </c>
      <c r="C255" s="78">
        <f ca="1">IF(ISNUMBER($C$124),$C$124+($C$224-$C$124)*28/30,NA())</f>
        <v>1535.5423911518692</v>
      </c>
      <c r="D255" s="81">
        <f t="shared" ca="1" si="2"/>
        <v>100</v>
      </c>
      <c r="E255" s="78">
        <f t="shared" ca="1" si="3"/>
        <v>1565.836113047241</v>
      </c>
      <c r="F255" s="79">
        <f t="shared" ca="1" si="4"/>
        <v>1.0480135698560655E-3</v>
      </c>
      <c r="G255" s="79" cm="1">
        <f t="array" aca="1" ref="G255" ca="1">IF(ISNUMBER(D255),IF(D255&gt;=101,INDEX($B$124:$B$224,101),INDEX($B$124:$B$224,D255)+(C255-INDEX($C$124:$C$224,D255))/MAX(0.000000000001,INDEX($C$124:$C$224,D255+1)-INDEX($C$124:$C$224,D255))*(INDEX($B$124:$B$224,D255+1)-INDEX($B$124:$B$224,D255))),NA())</f>
        <v>0.99290397286028775</v>
      </c>
    </row>
    <row r="256" spans="2:7" hidden="1" outlineLevel="1" x14ac:dyDescent="0.45">
      <c r="B256" s="80">
        <v>29</v>
      </c>
      <c r="C256" s="78">
        <f ca="1">IF(ISNUMBER($C$124),$C$124+($C$224-$C$124)*29/30,NA())</f>
        <v>1596.1298349426129</v>
      </c>
      <c r="D256" s="81">
        <f t="shared" ca="1" si="2"/>
        <v>100</v>
      </c>
      <c r="E256" s="78">
        <f t="shared" ca="1" si="3"/>
        <v>1626.423556837985</v>
      </c>
      <c r="F256" s="79">
        <f t="shared" ca="1" si="4"/>
        <v>1.0480135698561766E-3</v>
      </c>
      <c r="G256" s="79" cm="1">
        <f t="array" aca="1" ref="G256" ca="1">IF(ISNUMBER(D256),IF(D256&gt;=101,INDEX($B$124:$B$224,101),INDEX($B$124:$B$224,D256)+(C256-INDEX($C$124:$C$224,D256))/MAX(0.000000000001,INDEX($C$124:$C$224,D256+1)-INDEX($C$124:$C$224,D256))*(INDEX($B$124:$B$224,D256+1)-INDEX($B$124:$B$224,D256))),NA())</f>
        <v>0.99395198643014382</v>
      </c>
    </row>
    <row r="257" spans="2:7" hidden="1" outlineLevel="1" x14ac:dyDescent="0.45">
      <c r="B257" s="80">
        <v>30</v>
      </c>
      <c r="C257" s="78">
        <f ca="1">IF(ISNUMBER($C$124),$C$124+($C$224-$C$124)*30/30,NA())</f>
        <v>1656.7172787333568</v>
      </c>
      <c r="D257" s="81">
        <f t="shared" ca="1" si="2"/>
        <v>101</v>
      </c>
      <c r="G257" s="79" cm="1">
        <f t="array" aca="1" ref="G257" ca="1">IF(ISNUMBER(D257),IF(D257&gt;=101,INDEX($B$124:$B$224,101),INDEX($B$124:$B$224,D257)+(C257-INDEX($C$124:$C$224,D257))/MAX(0.000000000001,INDEX($C$124:$C$224,D257+1)-INDEX($C$124:$C$224,D257))*(INDEX($B$124:$B$224,D257+1)-INDEX($B$124:$B$224,D257))),NA())</f>
        <v>0.995</v>
      </c>
    </row>
  </sheetData>
  <mergeCells count="5">
    <mergeCell ref="B66:G66"/>
    <mergeCell ref="B63:G63"/>
    <mergeCell ref="B65:G65"/>
    <mergeCell ref="B62:G62"/>
    <mergeCell ref="B64:G64"/>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24:G257">
    <cfRule type="expression" dxfId="1" priority="4">
      <formula>ISNA($C$124)</formula>
    </cfRule>
  </conditionalFormatting>
  <conditionalFormatting sqref="D72:E121">
    <cfRule type="expression" dxfId="0" priority="3">
      <formula>ISNA(D72)</formula>
    </cfRule>
  </conditionalFormatting>
  <hyperlinks>
    <hyperlink ref="B4" location="'Разработка'!A1" display="◂  Разработка"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2C23-F153-46AF-BFB6-840123258C2E}">
  <dimension ref="A1:B1"/>
  <sheetViews>
    <sheetView workbookViewId="0"/>
  </sheetViews>
  <sheetFormatPr defaultRowHeight="14.25" x14ac:dyDescent="0.45"/>
  <sheetData>
    <row r="1" spans="1:2" x14ac:dyDescent="0.45">
      <c r="A1" s="86" t="s">
        <v>338</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1A03E-8BBC-4CB0-AA42-21C0CBC5F29B}">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22955-A34B-44C4-AF35-25A738CA1343}">
  <dimension ref="B3:B252"/>
  <sheetViews>
    <sheetView workbookViewId="0"/>
  </sheetViews>
  <sheetFormatPr defaultRowHeight="14.25" x14ac:dyDescent="0.45"/>
  <sheetData>
    <row r="3" spans="2:2" x14ac:dyDescent="0.45">
      <c r="B3">
        <v>1278</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722</v>
      </c>
    </row>
    <row r="13" spans="2:2" x14ac:dyDescent="0.45">
      <c r="B13">
        <v>817</v>
      </c>
    </row>
    <row r="14" spans="2:2" x14ac:dyDescent="0.45">
      <c r="B14">
        <v>0</v>
      </c>
    </row>
    <row r="15" spans="2:2" x14ac:dyDescent="0.45">
      <c r="B15">
        <v>0</v>
      </c>
    </row>
    <row r="16" spans="2:2" x14ac:dyDescent="0.45">
      <c r="B16">
        <v>0</v>
      </c>
    </row>
    <row r="17" spans="2:2" x14ac:dyDescent="0.45">
      <c r="B17">
        <v>0</v>
      </c>
    </row>
    <row r="18" spans="2:2" x14ac:dyDescent="0.45">
      <c r="B18">
        <v>0</v>
      </c>
    </row>
    <row r="19" spans="2:2" x14ac:dyDescent="0.45">
      <c r="B19">
        <v>0</v>
      </c>
    </row>
    <row r="20" spans="2:2" x14ac:dyDescent="0.45">
      <c r="B20">
        <v>0</v>
      </c>
    </row>
    <row r="21" spans="2:2" x14ac:dyDescent="0.45">
      <c r="B21">
        <v>0</v>
      </c>
    </row>
    <row r="22" spans="2:2" x14ac:dyDescent="0.45">
      <c r="B22">
        <v>1183</v>
      </c>
    </row>
    <row r="23" spans="2:2" x14ac:dyDescent="0.45">
      <c r="B23">
        <v>211</v>
      </c>
    </row>
    <row r="24" spans="2:2" x14ac:dyDescent="0.45">
      <c r="B24">
        <v>0</v>
      </c>
    </row>
    <row r="25" spans="2:2" x14ac:dyDescent="0.45">
      <c r="B25">
        <v>0</v>
      </c>
    </row>
    <row r="26" spans="2:2" x14ac:dyDescent="0.45">
      <c r="B26">
        <v>0</v>
      </c>
    </row>
    <row r="27" spans="2:2" x14ac:dyDescent="0.45">
      <c r="B27">
        <v>0</v>
      </c>
    </row>
    <row r="28" spans="2:2" x14ac:dyDescent="0.45">
      <c r="B28">
        <v>0</v>
      </c>
    </row>
    <row r="29" spans="2:2" x14ac:dyDescent="0.45">
      <c r="B29">
        <v>0</v>
      </c>
    </row>
    <row r="30" spans="2:2" x14ac:dyDescent="0.45">
      <c r="B30">
        <v>0</v>
      </c>
    </row>
    <row r="31" spans="2:2" x14ac:dyDescent="0.45">
      <c r="B31">
        <v>0</v>
      </c>
    </row>
    <row r="32" spans="2:2" x14ac:dyDescent="0.45">
      <c r="B32">
        <v>1789</v>
      </c>
    </row>
    <row r="33" spans="2:2" x14ac:dyDescent="0.45">
      <c r="B33">
        <v>1682</v>
      </c>
    </row>
    <row r="34" spans="2:2" x14ac:dyDescent="0.45">
      <c r="B34">
        <v>176</v>
      </c>
    </row>
    <row r="35" spans="2:2" x14ac:dyDescent="0.45">
      <c r="B35">
        <v>88</v>
      </c>
    </row>
    <row r="36" spans="2:2" x14ac:dyDescent="0.45">
      <c r="B36">
        <v>36</v>
      </c>
    </row>
    <row r="37" spans="2:2" x14ac:dyDescent="0.45">
      <c r="B37">
        <v>11</v>
      </c>
    </row>
    <row r="38" spans="2:2" x14ac:dyDescent="0.45">
      <c r="B38">
        <v>3</v>
      </c>
    </row>
    <row r="39" spans="2:2" x14ac:dyDescent="0.45">
      <c r="B39">
        <v>2</v>
      </c>
    </row>
    <row r="40" spans="2:2" x14ac:dyDescent="0.45">
      <c r="B40">
        <v>1</v>
      </c>
    </row>
    <row r="41" spans="2:2" x14ac:dyDescent="0.45">
      <c r="B41">
        <v>0</v>
      </c>
    </row>
    <row r="42" spans="2:2" x14ac:dyDescent="0.45">
      <c r="B42">
        <v>1</v>
      </c>
    </row>
    <row r="43" spans="2:2" x14ac:dyDescent="0.45">
      <c r="B43">
        <v>1630</v>
      </c>
    </row>
    <row r="44" spans="2:2" x14ac:dyDescent="0.45">
      <c r="B44">
        <v>93</v>
      </c>
    </row>
    <row r="45" spans="2:2" x14ac:dyDescent="0.45">
      <c r="B45">
        <v>176</v>
      </c>
    </row>
    <row r="46" spans="2:2" x14ac:dyDescent="0.45">
      <c r="B46">
        <v>70</v>
      </c>
    </row>
    <row r="47" spans="2:2" x14ac:dyDescent="0.45">
      <c r="B47">
        <v>21</v>
      </c>
    </row>
    <row r="48" spans="2:2" x14ac:dyDescent="0.45">
      <c r="B48">
        <v>5</v>
      </c>
    </row>
    <row r="49" spans="2:2" x14ac:dyDescent="0.45">
      <c r="B49">
        <v>2</v>
      </c>
    </row>
    <row r="50" spans="2:2" x14ac:dyDescent="0.45">
      <c r="B50">
        <v>2</v>
      </c>
    </row>
    <row r="51" spans="2:2" x14ac:dyDescent="0.45">
      <c r="B51">
        <v>0</v>
      </c>
    </row>
    <row r="52" spans="2:2" x14ac:dyDescent="0.45">
      <c r="B52">
        <v>1</v>
      </c>
    </row>
    <row r="53" spans="2:2" x14ac:dyDescent="0.45">
      <c r="B53">
        <v>1592</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408</v>
      </c>
    </row>
    <row r="63" spans="2:2" x14ac:dyDescent="0.45">
      <c r="B63">
        <v>722</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1278</v>
      </c>
    </row>
    <row r="73" spans="2:2" x14ac:dyDescent="0.45">
      <c r="B73">
        <v>1690</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310</v>
      </c>
    </row>
    <row r="83" spans="2:2" x14ac:dyDescent="0.45">
      <c r="B83">
        <v>1958</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42</v>
      </c>
    </row>
    <row r="93" spans="2:2" x14ac:dyDescent="0.45">
      <c r="B93">
        <v>1630</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370</v>
      </c>
    </row>
    <row r="103" spans="2:2" x14ac:dyDescent="0.45">
      <c r="B103">
        <v>114</v>
      </c>
    </row>
    <row r="104" spans="2:2" x14ac:dyDescent="0.45">
      <c r="B104">
        <v>467</v>
      </c>
    </row>
    <row r="105" spans="2:2" x14ac:dyDescent="0.45">
      <c r="B105">
        <v>583</v>
      </c>
    </row>
    <row r="106" spans="2:2" x14ac:dyDescent="0.45">
      <c r="B106">
        <v>114</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722</v>
      </c>
    </row>
    <row r="113" spans="2:2" x14ac:dyDescent="0.45">
      <c r="B113">
        <v>16</v>
      </c>
    </row>
    <row r="114" spans="2:2" x14ac:dyDescent="0.45">
      <c r="B114">
        <v>97</v>
      </c>
    </row>
    <row r="115" spans="2:2" x14ac:dyDescent="0.45">
      <c r="B115">
        <v>156</v>
      </c>
    </row>
    <row r="116" spans="2:2" x14ac:dyDescent="0.45">
      <c r="B116">
        <v>41</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1690</v>
      </c>
    </row>
    <row r="123" spans="2:2" x14ac:dyDescent="0.45">
      <c r="B123">
        <v>10</v>
      </c>
    </row>
    <row r="124" spans="2:2" x14ac:dyDescent="0.45">
      <c r="B124">
        <v>15</v>
      </c>
    </row>
    <row r="125" spans="2:2" x14ac:dyDescent="0.45">
      <c r="B125">
        <v>14</v>
      </c>
    </row>
    <row r="126" spans="2:2" x14ac:dyDescent="0.45">
      <c r="B126">
        <v>3</v>
      </c>
    </row>
    <row r="127" spans="2:2" x14ac:dyDescent="0.45">
      <c r="B127">
        <v>0</v>
      </c>
    </row>
    <row r="128" spans="2:2" x14ac:dyDescent="0.45">
      <c r="B128">
        <v>0</v>
      </c>
    </row>
    <row r="129" spans="2:2" x14ac:dyDescent="0.45">
      <c r="B129">
        <v>0</v>
      </c>
    </row>
    <row r="130" spans="2:2" x14ac:dyDescent="0.45">
      <c r="B130">
        <v>0</v>
      </c>
    </row>
    <row r="131" spans="2:2" x14ac:dyDescent="0.45">
      <c r="B131">
        <v>0</v>
      </c>
    </row>
    <row r="132" spans="2:2" x14ac:dyDescent="0.45">
      <c r="B132">
        <v>1958</v>
      </c>
    </row>
    <row r="133" spans="2:2" x14ac:dyDescent="0.45">
      <c r="B133">
        <v>1742</v>
      </c>
    </row>
    <row r="134" spans="2:2" x14ac:dyDescent="0.45">
      <c r="B134">
        <v>153</v>
      </c>
    </row>
    <row r="135" spans="2:2" x14ac:dyDescent="0.45">
      <c r="B135">
        <v>69</v>
      </c>
    </row>
    <row r="136" spans="2:2" x14ac:dyDescent="0.45">
      <c r="B136">
        <v>20</v>
      </c>
    </row>
    <row r="137" spans="2:2" x14ac:dyDescent="0.45">
      <c r="B137">
        <v>10</v>
      </c>
    </row>
    <row r="138" spans="2:2" x14ac:dyDescent="0.45">
      <c r="B138">
        <v>2</v>
      </c>
    </row>
    <row r="139" spans="2:2" x14ac:dyDescent="0.45">
      <c r="B139">
        <v>3</v>
      </c>
    </row>
    <row r="140" spans="2:2" x14ac:dyDescent="0.45">
      <c r="B140">
        <v>0</v>
      </c>
    </row>
    <row r="141" spans="2:2" x14ac:dyDescent="0.45">
      <c r="B141">
        <v>0</v>
      </c>
    </row>
    <row r="142" spans="2:2" x14ac:dyDescent="0.45">
      <c r="B142">
        <v>1</v>
      </c>
    </row>
    <row r="143" spans="2:2" x14ac:dyDescent="0.45">
      <c r="B143">
        <v>114</v>
      </c>
    </row>
    <row r="144" spans="2:2" x14ac:dyDescent="0.45">
      <c r="B144">
        <v>467</v>
      </c>
    </row>
    <row r="145" spans="2:2" x14ac:dyDescent="0.45">
      <c r="B145">
        <v>583</v>
      </c>
    </row>
    <row r="146" spans="2:2" x14ac:dyDescent="0.45">
      <c r="B146">
        <v>114</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722</v>
      </c>
    </row>
    <row r="153" spans="2:2" x14ac:dyDescent="0.45">
      <c r="B153">
        <v>1690</v>
      </c>
    </row>
    <row r="154" spans="2:2" x14ac:dyDescent="0.45">
      <c r="B154">
        <v>0</v>
      </c>
    </row>
    <row r="155" spans="2:2" x14ac:dyDescent="0.45">
      <c r="B155">
        <v>0</v>
      </c>
    </row>
    <row r="156" spans="2:2" x14ac:dyDescent="0.45">
      <c r="B156">
        <v>0</v>
      </c>
    </row>
    <row r="157" spans="2:2" x14ac:dyDescent="0.45">
      <c r="B157">
        <v>3</v>
      </c>
    </row>
    <row r="158" spans="2:2" x14ac:dyDescent="0.45">
      <c r="B158">
        <v>35</v>
      </c>
    </row>
    <row r="159" spans="2:2" x14ac:dyDescent="0.45">
      <c r="B159">
        <v>77</v>
      </c>
    </row>
    <row r="160" spans="2:2" x14ac:dyDescent="0.45">
      <c r="B160">
        <v>90</v>
      </c>
    </row>
    <row r="161" spans="2:2" x14ac:dyDescent="0.45">
      <c r="B161">
        <v>76</v>
      </c>
    </row>
    <row r="162" spans="2:2" x14ac:dyDescent="0.45">
      <c r="B162">
        <v>29</v>
      </c>
    </row>
    <row r="163" spans="2:2" x14ac:dyDescent="0.45">
      <c r="B163">
        <v>1958</v>
      </c>
    </row>
    <row r="164" spans="2:2" x14ac:dyDescent="0.45">
      <c r="B164">
        <v>0</v>
      </c>
    </row>
    <row r="165" spans="2:2" x14ac:dyDescent="0.45">
      <c r="B165">
        <v>0</v>
      </c>
    </row>
    <row r="166" spans="2:2" x14ac:dyDescent="0.45">
      <c r="B166">
        <v>0</v>
      </c>
    </row>
    <row r="167" spans="2:2" x14ac:dyDescent="0.45">
      <c r="B167">
        <v>0</v>
      </c>
    </row>
    <row r="168" spans="2:2" x14ac:dyDescent="0.45">
      <c r="B168">
        <v>0</v>
      </c>
    </row>
    <row r="169" spans="2:2" x14ac:dyDescent="0.45">
      <c r="B169">
        <v>0</v>
      </c>
    </row>
    <row r="170" spans="2:2" x14ac:dyDescent="0.45">
      <c r="B170">
        <v>4</v>
      </c>
    </row>
    <row r="171" spans="2:2" x14ac:dyDescent="0.45">
      <c r="B171">
        <v>24</v>
      </c>
    </row>
    <row r="172" spans="2:2" x14ac:dyDescent="0.45">
      <c r="B172">
        <v>14</v>
      </c>
    </row>
    <row r="173" spans="2:2" x14ac:dyDescent="0.45">
      <c r="B173">
        <v>1632</v>
      </c>
    </row>
    <row r="174" spans="2:2" x14ac:dyDescent="0.45">
      <c r="B174">
        <v>137</v>
      </c>
    </row>
    <row r="175" spans="2:2" x14ac:dyDescent="0.45">
      <c r="B175">
        <v>148</v>
      </c>
    </row>
    <row r="176" spans="2:2" x14ac:dyDescent="0.45">
      <c r="B176">
        <v>55</v>
      </c>
    </row>
    <row r="177" spans="2:2" x14ac:dyDescent="0.45">
      <c r="B177">
        <v>19</v>
      </c>
    </row>
    <row r="178" spans="2:2" x14ac:dyDescent="0.45">
      <c r="B178">
        <v>4</v>
      </c>
    </row>
    <row r="179" spans="2:2" x14ac:dyDescent="0.45">
      <c r="B179">
        <v>2</v>
      </c>
    </row>
    <row r="180" spans="2:2" x14ac:dyDescent="0.45">
      <c r="B180">
        <v>2</v>
      </c>
    </row>
    <row r="181" spans="2:2" x14ac:dyDescent="0.45">
      <c r="B181">
        <v>0</v>
      </c>
    </row>
    <row r="182" spans="2:2" x14ac:dyDescent="0.45">
      <c r="B182">
        <v>1</v>
      </c>
    </row>
    <row r="183" spans="2:2" x14ac:dyDescent="0.45">
      <c r="B183">
        <v>79</v>
      </c>
    </row>
    <row r="184" spans="2:2" x14ac:dyDescent="0.45">
      <c r="B184">
        <v>237</v>
      </c>
    </row>
    <row r="185" spans="2:2" x14ac:dyDescent="0.45">
      <c r="B185">
        <v>368</v>
      </c>
    </row>
    <row r="186" spans="2:2" x14ac:dyDescent="0.45">
      <c r="B186">
        <v>354</v>
      </c>
    </row>
    <row r="187" spans="2:2" x14ac:dyDescent="0.45">
      <c r="B187">
        <v>351</v>
      </c>
    </row>
    <row r="188" spans="2:2" x14ac:dyDescent="0.45">
      <c r="B188">
        <v>272</v>
      </c>
    </row>
    <row r="189" spans="2:2" x14ac:dyDescent="0.45">
      <c r="B189">
        <v>176</v>
      </c>
    </row>
    <row r="190" spans="2:2" x14ac:dyDescent="0.45">
      <c r="B190">
        <v>113</v>
      </c>
    </row>
    <row r="191" spans="2:2" x14ac:dyDescent="0.45">
      <c r="B191">
        <v>40</v>
      </c>
    </row>
    <row r="192" spans="2:2" x14ac:dyDescent="0.45">
      <c r="B192">
        <v>10</v>
      </c>
    </row>
    <row r="193" spans="2:2" x14ac:dyDescent="0.45">
      <c r="B193">
        <v>85</v>
      </c>
    </row>
    <row r="194" spans="2:2" x14ac:dyDescent="0.45">
      <c r="B194">
        <v>228</v>
      </c>
    </row>
    <row r="195" spans="2:2" x14ac:dyDescent="0.45">
      <c r="B195">
        <v>292</v>
      </c>
    </row>
    <row r="196" spans="2:2" x14ac:dyDescent="0.45">
      <c r="B196">
        <v>361</v>
      </c>
    </row>
    <row r="197" spans="2:2" x14ac:dyDescent="0.45">
      <c r="B197">
        <v>317</v>
      </c>
    </row>
    <row r="198" spans="2:2" x14ac:dyDescent="0.45">
      <c r="B198">
        <v>279</v>
      </c>
    </row>
    <row r="199" spans="2:2" x14ac:dyDescent="0.45">
      <c r="B199">
        <v>224</v>
      </c>
    </row>
    <row r="200" spans="2:2" x14ac:dyDescent="0.45">
      <c r="B200">
        <v>124</v>
      </c>
    </row>
    <row r="201" spans="2:2" x14ac:dyDescent="0.45">
      <c r="B201">
        <v>71</v>
      </c>
    </row>
    <row r="202" spans="2:2" x14ac:dyDescent="0.45">
      <c r="B202">
        <v>19</v>
      </c>
    </row>
    <row r="203" spans="2:2" x14ac:dyDescent="0.45">
      <c r="B203">
        <v>155</v>
      </c>
    </row>
    <row r="204" spans="2:2" x14ac:dyDescent="0.45">
      <c r="B204">
        <v>301</v>
      </c>
    </row>
    <row r="205" spans="2:2" x14ac:dyDescent="0.45">
      <c r="B205">
        <v>354</v>
      </c>
    </row>
    <row r="206" spans="2:2" x14ac:dyDescent="0.45">
      <c r="B206">
        <v>367</v>
      </c>
    </row>
    <row r="207" spans="2:2" x14ac:dyDescent="0.45">
      <c r="B207">
        <v>270</v>
      </c>
    </row>
    <row r="208" spans="2:2" x14ac:dyDescent="0.45">
      <c r="B208">
        <v>225</v>
      </c>
    </row>
    <row r="209" spans="2:2" x14ac:dyDescent="0.45">
      <c r="B209">
        <v>165</v>
      </c>
    </row>
    <row r="210" spans="2:2" x14ac:dyDescent="0.45">
      <c r="B210">
        <v>95</v>
      </c>
    </row>
    <row r="211" spans="2:2" x14ac:dyDescent="0.45">
      <c r="B211">
        <v>54</v>
      </c>
    </row>
    <row r="212" spans="2:2" x14ac:dyDescent="0.45">
      <c r="B212">
        <v>14</v>
      </c>
    </row>
    <row r="213" spans="2:2" x14ac:dyDescent="0.45">
      <c r="B213">
        <v>40</v>
      </c>
    </row>
    <row r="214" spans="2:2" x14ac:dyDescent="0.45">
      <c r="B214">
        <v>182</v>
      </c>
    </row>
    <row r="215" spans="2:2" x14ac:dyDescent="0.45">
      <c r="B215">
        <v>315</v>
      </c>
    </row>
    <row r="216" spans="2:2" x14ac:dyDescent="0.45">
      <c r="B216">
        <v>343</v>
      </c>
    </row>
    <row r="217" spans="2:2" x14ac:dyDescent="0.45">
      <c r="B217">
        <v>339</v>
      </c>
    </row>
    <row r="218" spans="2:2" x14ac:dyDescent="0.45">
      <c r="B218">
        <v>330</v>
      </c>
    </row>
    <row r="219" spans="2:2" x14ac:dyDescent="0.45">
      <c r="B219">
        <v>204</v>
      </c>
    </row>
    <row r="220" spans="2:2" x14ac:dyDescent="0.45">
      <c r="B220">
        <v>150</v>
      </c>
    </row>
    <row r="221" spans="2:2" x14ac:dyDescent="0.45">
      <c r="B221">
        <v>73</v>
      </c>
    </row>
    <row r="222" spans="2:2" x14ac:dyDescent="0.45">
      <c r="B222">
        <v>24</v>
      </c>
    </row>
    <row r="223" spans="2:2" x14ac:dyDescent="0.45">
      <c r="B223">
        <v>121</v>
      </c>
    </row>
    <row r="224" spans="2:2" x14ac:dyDescent="0.45">
      <c r="B224">
        <v>278</v>
      </c>
    </row>
    <row r="225" spans="2:2" x14ac:dyDescent="0.45">
      <c r="B225">
        <v>327</v>
      </c>
    </row>
    <row r="226" spans="2:2" x14ac:dyDescent="0.45">
      <c r="B226">
        <v>372</v>
      </c>
    </row>
    <row r="227" spans="2:2" x14ac:dyDescent="0.45">
      <c r="B227">
        <v>333</v>
      </c>
    </row>
    <row r="228" spans="2:2" x14ac:dyDescent="0.45">
      <c r="B228">
        <v>224</v>
      </c>
    </row>
    <row r="229" spans="2:2" x14ac:dyDescent="0.45">
      <c r="B229">
        <v>182</v>
      </c>
    </row>
    <row r="230" spans="2:2" x14ac:dyDescent="0.45">
      <c r="B230">
        <v>99</v>
      </c>
    </row>
    <row r="231" spans="2:2" x14ac:dyDescent="0.45">
      <c r="B231">
        <v>47</v>
      </c>
    </row>
    <row r="232" spans="2:2" x14ac:dyDescent="0.45">
      <c r="B232">
        <v>17</v>
      </c>
    </row>
    <row r="233" spans="2:2" x14ac:dyDescent="0.45">
      <c r="B233">
        <v>96</v>
      </c>
    </row>
    <row r="234" spans="2:2" x14ac:dyDescent="0.45">
      <c r="B234">
        <v>223</v>
      </c>
    </row>
    <row r="235" spans="2:2" x14ac:dyDescent="0.45">
      <c r="B235">
        <v>357</v>
      </c>
    </row>
    <row r="236" spans="2:2" x14ac:dyDescent="0.45">
      <c r="B236">
        <v>378</v>
      </c>
    </row>
    <row r="237" spans="2:2" x14ac:dyDescent="0.45">
      <c r="B237">
        <v>328</v>
      </c>
    </row>
    <row r="238" spans="2:2" x14ac:dyDescent="0.45">
      <c r="B238">
        <v>290</v>
      </c>
    </row>
    <row r="239" spans="2:2" x14ac:dyDescent="0.45">
      <c r="B239">
        <v>178</v>
      </c>
    </row>
    <row r="240" spans="2:2" x14ac:dyDescent="0.45">
      <c r="B240">
        <v>98</v>
      </c>
    </row>
    <row r="241" spans="2:2" x14ac:dyDescent="0.45">
      <c r="B241">
        <v>40</v>
      </c>
    </row>
    <row r="242" spans="2:2" x14ac:dyDescent="0.45">
      <c r="B242">
        <v>12</v>
      </c>
    </row>
    <row r="243" spans="2:2" x14ac:dyDescent="0.45">
      <c r="B243">
        <v>495</v>
      </c>
    </row>
    <row r="244" spans="2:2" x14ac:dyDescent="0.45">
      <c r="B244">
        <v>799</v>
      </c>
    </row>
    <row r="245" spans="2:2" x14ac:dyDescent="0.45">
      <c r="B245">
        <v>402</v>
      </c>
    </row>
    <row r="246" spans="2:2" x14ac:dyDescent="0.45">
      <c r="B246">
        <v>172</v>
      </c>
    </row>
    <row r="247" spans="2:2" x14ac:dyDescent="0.45">
      <c r="B247">
        <v>78</v>
      </c>
    </row>
    <row r="248" spans="2:2" x14ac:dyDescent="0.45">
      <c r="B248">
        <v>26</v>
      </c>
    </row>
    <row r="249" spans="2:2" x14ac:dyDescent="0.45">
      <c r="B249">
        <v>8</v>
      </c>
    </row>
    <row r="250" spans="2:2" x14ac:dyDescent="0.45">
      <c r="B250">
        <v>10</v>
      </c>
    </row>
    <row r="251" spans="2:2" x14ac:dyDescent="0.45">
      <c r="B251">
        <v>6</v>
      </c>
    </row>
    <row r="252" spans="2:2" x14ac:dyDescent="0.45">
      <c r="B25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EB1F2B9-ABC0-4B46-8483-14F67DD4CBF6}">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99</vt:i4>
      </vt:variant>
    </vt:vector>
  </HeadingPairs>
  <TitlesOfParts>
    <vt:vector size="106" baseType="lpstr">
      <vt:lpstr>Описание</vt:lpstr>
      <vt:lpstr>Исходные данные</vt:lpstr>
      <vt:lpstr>Разработка</vt:lpstr>
      <vt:lpstr>Результаты</vt:lpstr>
      <vt:lpstr>ModelRiskDSN</vt:lpstr>
      <vt:lpstr>ModelRiskSYS1</vt:lpstr>
      <vt:lpstr>ModelRiskCharts</vt:lpstr>
      <vt:lpstr>ApprovalDate</vt:lpstr>
      <vt:lpstr>AxO_1</vt:lpstr>
      <vt:lpstr>AxO_2</vt:lpstr>
      <vt:lpstr>AxO_3</vt:lpstr>
      <vt:lpstr>AxO_4</vt:lpstr>
      <vt:lpstr>B_P2</vt:lpstr>
      <vt:lpstr>B_P3</vt:lpstr>
      <vt:lpstr>B_Rev</vt:lpstr>
      <vt:lpstr>B_Yr_P2</vt:lpstr>
      <vt:lpstr>B_Yr_P3</vt:lpstr>
      <vt:lpstr>B_Yr_Rev</vt:lpstr>
      <vt:lpstr>Checks</vt:lpstr>
      <vt:lpstr>Cost_P2</vt:lpstr>
      <vt:lpstr>Cost_P2_Hi</vt:lpstr>
      <vt:lpstr>Cost_P2_Lo</vt:lpstr>
      <vt:lpstr>Cost_P2_Mean</vt:lpstr>
      <vt:lpstr>Cost_P2_ML</vt:lpstr>
      <vt:lpstr>Cost_P3</vt:lpstr>
      <vt:lpstr>Cost_P3_Hi</vt:lpstr>
      <vt:lpstr>Cost_P3_Lo</vt:lpstr>
      <vt:lpstr>Cost_P3_Mean</vt:lpstr>
      <vt:lpstr>Cost_P3_ML</vt:lpstr>
      <vt:lpstr>Cost_Rev</vt:lpstr>
      <vt:lpstr>Cost_Rev_Hi</vt:lpstr>
      <vt:lpstr>Cost_Rev_Lo</vt:lpstr>
      <vt:lpstr>Cost_Rev_Mean</vt:lpstr>
      <vt:lpstr>Cost_Rev_ML</vt:lpstr>
      <vt:lpstr>Disc</vt:lpstr>
      <vt:lpstr>Dur_P2</vt:lpstr>
      <vt:lpstr>Dur_P2_Hi</vt:lpstr>
      <vt:lpstr>Dur_P2_Lo</vt:lpstr>
      <vt:lpstr>Dur_P2_Mean</vt:lpstr>
      <vt:lpstr>Dur_P2_ML</vt:lpstr>
      <vt:lpstr>Dur_P3</vt:lpstr>
      <vt:lpstr>Dur_P3_Hi</vt:lpstr>
      <vt:lpstr>Dur_P3_Lo</vt:lpstr>
      <vt:lpstr>Dur_P3_Mean</vt:lpstr>
      <vt:lpstr>Dur_P3_ML</vt:lpstr>
      <vt:lpstr>Dur_Rev</vt:lpstr>
      <vt:lpstr>Dur_Rev_Hi</vt:lpstr>
      <vt:lpstr>Dur_Rev_Lo</vt:lpstr>
      <vt:lpstr>Dur_Rev_Mean</vt:lpstr>
      <vt:lpstr>Dur_Rev_ML</vt:lpstr>
      <vt:lpstr>End_P2</vt:lpstr>
      <vt:lpstr>End_P3</vt:lpstr>
      <vt:lpstr>End_Rev</vt:lpstr>
      <vt:lpstr>Ero_1</vt:lpstr>
      <vt:lpstr>Ero_2</vt:lpstr>
      <vt:lpstr>Ero_3</vt:lpstr>
      <vt:lpstr>Ero_Tail</vt:lpstr>
      <vt:lpstr>ExclYears</vt:lpstr>
      <vt:lpstr>Expiry</vt:lpstr>
      <vt:lpstr>FirstYear</vt:lpstr>
      <vt:lpstr>InputMeans</vt:lpstr>
      <vt:lpstr>Is_1</vt:lpstr>
      <vt:lpstr>Is_2</vt:lpstr>
      <vt:lpstr>Is_3</vt:lpstr>
      <vt:lpstr>Is_4</vt:lpstr>
      <vt:lpstr>LaunchCost</vt:lpstr>
      <vt:lpstr>Launched</vt:lpstr>
      <vt:lpstr>LicBetter</vt:lpstr>
      <vt:lpstr>LxO_1</vt:lpstr>
      <vt:lpstr>LxO_2</vt:lpstr>
      <vt:lpstr>LxO_3</vt:lpstr>
      <vt:lpstr>LxO_4</vt:lpstr>
      <vt:lpstr>Margin</vt:lpstr>
      <vt:lpstr>Mile_Appr</vt:lpstr>
      <vt:lpstr>Mile_P3</vt:lpstr>
      <vt:lpstr>NPV_A</vt:lpstr>
      <vt:lpstr>NPV_L</vt:lpstr>
      <vt:lpstr>Outcome</vt:lpstr>
      <vt:lpstr>Pass_P2</vt:lpstr>
      <vt:lpstr>Pass_P3</vt:lpstr>
      <vt:lpstr>Pass_Rev</vt:lpstr>
      <vt:lpstr>Peak</vt:lpstr>
      <vt:lpstr>Peak_Hi</vt:lpstr>
      <vt:lpstr>Peak_Lo</vt:lpstr>
      <vt:lpstr>Peak_Mean</vt:lpstr>
      <vt:lpstr>PeakMean</vt:lpstr>
      <vt:lpstr>Results!Print_Area</vt:lpstr>
      <vt:lpstr>Development!Print_Titles</vt:lpstr>
      <vt:lpstr>Inputs!Print_Titles</vt:lpstr>
      <vt:lpstr>Results!Print_Titles</vt:lpstr>
      <vt:lpstr>Prob_P2</vt:lpstr>
      <vt:lpstr>Prob_P3</vt:lpstr>
      <vt:lpstr>Prob_Rev</vt:lpstr>
      <vt:lpstr>PV_Mkt</vt:lpstr>
      <vt:lpstr>PV_P2</vt:lpstr>
      <vt:lpstr>PV_P3</vt:lpstr>
      <vt:lpstr>PV_Rev</vt:lpstr>
      <vt:lpstr>rNPV_A</vt:lpstr>
      <vt:lpstr>rNPV_L</vt:lpstr>
      <vt:lpstr>Royalty</vt:lpstr>
      <vt:lpstr>Unrisked</vt:lpstr>
      <vt:lpstr>Upfront</vt:lpstr>
      <vt:lpstr>YearsToPeak</vt:lpstr>
      <vt:lpstr>Yr_P2</vt:lpstr>
      <vt:lpstr>Yr_P3</vt:lpstr>
      <vt:lpstr>Yr_Rev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PH-03 rNPV разработки лекарственного препарата</dc:title>
  <dc:subject>Библиотека отраслевых примеров МоделРиск — Фармацевтика и биотехнологии</dc:subject>
  <dc:creator>ООО «Стратегия Риска»</dc:creator>
  <cp:keywords>МоделРиск; Монте-Карло; фармацевтика и биотехнологии</cp:keywords>
  <dc:description>Ценность соединения во II фазе: учебный rNPV рядом со смоделированным NPV, вероятность убытка и самостоятельная разработка против лицензирования после II фазы.</dc:description>
  <cp:lastModifiedBy>ООО «Стратегия Риска»</cp:lastModifiedBy>
  <cp:lastPrinted>2026-10-05T18:00:14Z</cp:lastPrinted>
  <dcterms:created xsi:type="dcterms:W3CDTF">2026-10-05T17:55:23Z</dcterms:created>
  <dcterms:modified xsi:type="dcterms:W3CDTF">2026-10-05T18:00:16Z</dcterms:modified>
</cp:coreProperties>
</file>