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E16D6C4-A19C-4B85-8A85-495D5363D0B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Исследование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_Drug">'Исследование'!$D$28</definedName>
    <definedName name="C_Patients">'Исследование'!$D$27</definedName>
    <definedName name="C_Running">'Исследование'!$D$29</definedName>
    <definedName name="C_Screen">'Исследование'!$D$26</definedName>
    <definedName name="C_SetUp">'Исследование'!$D$25</definedName>
    <definedName name="Checks">'Исследование'!$D$42:$D$44</definedName>
    <definedName name="CloseOut">'Исходные данные'!$D$23</definedName>
    <definedName name="CloseOut_Hi">'Исходные данные'!$H$23</definedName>
    <definedName name="CloseOut_Lo">'Исходные данные'!$F$23</definedName>
    <definedName name="CloseOut_Mean">'Исходные данные'!$I$23</definedName>
    <definedName name="CloseOut_ML">'Исходные данные'!$G$23</definedName>
    <definedName name="CostBase">'Исследование'!$E$30</definedName>
    <definedName name="CostPatient">'Исходные данные'!$D$29</definedName>
    <definedName name="CostPatient_Hi">'Исходные данные'!$H$29</definedName>
    <definedName name="CostPatient_Lo">'Исходные данные'!$F$29</definedName>
    <definedName name="CostPatient_Mean">'Исходные данные'!$I$29</definedName>
    <definedName name="CostPatient_ML">'Исходные данные'!$G$29</definedName>
    <definedName name="CostScreen">'Исходные данные'!$D$28</definedName>
    <definedName name="CostScreen_Hi">'Исходные данные'!$H$28</definedName>
    <definedName name="CostScreen_Lo">'Исходные данные'!$F$28</definedName>
    <definedName name="CostScreen_Mean">'Исходные данные'!$I$28</definedName>
    <definedName name="CostScreen_ML">'Исходные данные'!$G$28</definedName>
    <definedName name="D_Amend">'Исходные данные'!$D$37</definedName>
    <definedName name="D_Amend_Hi">'Исходные данные'!$H$37</definedName>
    <definedName name="D_Amend_Lo">'Исходные данные'!$F$37</definedName>
    <definedName name="D_Amend_Mean">'Исходные данные'!$I$37</definedName>
    <definedName name="D_Amend_ML">'Исходные данные'!$G$37</definedName>
    <definedName name="D_Hold">'Исходные данные'!$D$41</definedName>
    <definedName name="D_Hold_Hi">'Исходные данные'!$H$41</definedName>
    <definedName name="D_Hold_Lo">'Исходные данные'!$F$41</definedName>
    <definedName name="D_Hold_Mean">'Исходные данные'!$I$41</definedName>
    <definedName name="D_Hold_ML">'Исходные данные'!$G$41</definedName>
    <definedName name="D_Slow">'Исходные данные'!$D$39</definedName>
    <definedName name="D_Slow_Hi">'Исходные данные'!$H$39</definedName>
    <definedName name="D_Slow_Lo">'Исходные данные'!$F$39</definedName>
    <definedName name="D_Slow_Mean">'Исходные данные'!$I$39</definedName>
    <definedName name="D_Slow_ML">'Исходные данные'!$G$39</definedName>
    <definedName name="DaysPerMonth">'Исходные данные'!$D$15</definedName>
    <definedName name="Delays">'Исследование'!$D$14</definedName>
    <definedName name="DelaysBase">'Исследование'!$E$14</definedName>
    <definedName name="Dropout">'Исходные данные'!$D$12</definedName>
    <definedName name="Dropout_Hi">'Исходные данные'!$H$12</definedName>
    <definedName name="Dropout_Lo">'Исходные данные'!$F$12</definedName>
    <definedName name="Dropout_Mean">'Исходные данные'!$I$12</definedName>
    <definedName name="Dropout_ML">'Исходные данные'!$G$12</definedName>
    <definedName name="DrugSupply">'Исходные данные'!$D$30</definedName>
    <definedName name="DrugSupply_Hi">'Исходные данные'!$H$30</definedName>
    <definedName name="DrugSupply_Lo">'Исходные данные'!$F$30</definedName>
    <definedName name="DrugSupply_Mean">'Исходные данные'!$I$30</definedName>
    <definedName name="DrugSupply_ML">'Исходные данные'!$G$30</definedName>
    <definedName name="DurationBase">'Исследование'!$E$17</definedName>
    <definedName name="Enrol">'Исходные данные'!$D$21</definedName>
    <definedName name="Enrol_Hi">'Исходные данные'!$H$21</definedName>
    <definedName name="Enrol_Lo">'Исходные данные'!$F$21</definedName>
    <definedName name="Enrol_Mean">'Исходные данные'!$I$21</definedName>
    <definedName name="Enrol_ML">'Исходные данные'!$G$21</definedName>
    <definedName name="Enrolled">'Исследование'!$D$9</definedName>
    <definedName name="EnrolledBase">'Исследование'!$E$9</definedName>
    <definedName name="Evaluable">'Исходные данные'!$D$11</definedName>
    <definedName name="ExpDelay">'Исследование'!$D$15</definedName>
    <definedName name="FirstSite">'Исследование'!$D$18</definedName>
    <definedName name="FirstSiteBase">'Исследование'!$E$18</definedName>
    <definedName name="InputMeans">'Исходные данные'!$I$12:$I$41</definedName>
    <definedName name="LastIn">'Исследование'!$D$19</definedName>
    <definedName name="LastInBase">'Исследование'!$E$19</definedName>
    <definedName name="LastOut">'Исследование'!$D$20</definedName>
    <definedName name="LastOutBase">'Исследование'!$E$20</definedName>
    <definedName name="P_Amend">'Исходные данные'!$D$36</definedName>
    <definedName name="P_Hold">'Исходные данные'!$D$40</definedName>
    <definedName name="P_Slow">'Исходные данные'!$D$38</definedName>
    <definedName name="_xlnm.Print_Area" localSheetId="3">'Результаты'!$A$1:$R$71</definedName>
    <definedName name="_xlnm.Print_Titles" localSheetId="1">'Исходные данные'!$1:$4</definedName>
    <definedName name="_xlnm.Print_Titles" localSheetId="3">'Результаты'!$1:$4</definedName>
    <definedName name="RiskDelay">'Исследование'!$D$38</definedName>
    <definedName name="RunMonths">'Исследование'!$D$16</definedName>
    <definedName name="RunMonthsBase">'Исследование'!$E$16</definedName>
    <definedName name="Running">'Исходные данные'!$D$31</definedName>
    <definedName name="Running_Hi">'Исходные данные'!$H$31</definedName>
    <definedName name="Running_Lo">'Исходные данные'!$F$31</definedName>
    <definedName name="Running_Mean">'Исходные данные'!$I$31</definedName>
    <definedName name="Running_ML">'Исходные данные'!$G$31</definedName>
    <definedName name="Screened">'Исследование'!$D$10</definedName>
    <definedName name="ScreenedBase">'Исследование'!$E$10</definedName>
    <definedName name="ScreenFail">'Исходные данные'!$D$13</definedName>
    <definedName name="ScreenFail_Hi">'Исходные данные'!$H$13</definedName>
    <definedName name="ScreenFail_Lo">'Исходные данные'!$F$13</definedName>
    <definedName name="ScreenFail_Mean">'Исходные данные'!$I$13</definedName>
    <definedName name="ScreenFail_ML">'Исходные данные'!$G$13</definedName>
    <definedName name="SetUp">'Исходные данные'!$D$27</definedName>
    <definedName name="SetUp_Hi">'Исходные данные'!$H$27</definedName>
    <definedName name="SetUp_Lo">'Исходные данные'!$F$27</definedName>
    <definedName name="SetUp_Mean">'Исходные данные'!$I$27</definedName>
    <definedName name="SetUp_ML">'Исходные данные'!$G$27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artDate">'Исходные данные'!$D$14</definedName>
    <definedName name="StartUp">'Исходные данные'!$D$20</definedName>
    <definedName name="StartUp_Hi">'Исходные данные'!$H$20</definedName>
    <definedName name="StartUp_Lo">'Исходные данные'!$F$20</definedName>
    <definedName name="StartUp_Mean">'Исходные данные'!$I$20</definedName>
    <definedName name="StartUp_ML">'Исходные данные'!$G$20</definedName>
    <definedName name="TopLine">'Исследование'!$D$37</definedName>
    <definedName name="TopLineBase">'Исследование'!$E$21</definedName>
    <definedName name="TopLineDate">'Исследование'!$D$21</definedName>
    <definedName name="TotalCost">'Исследование'!$D$35</definedName>
    <definedName name="Treat">'Исходные данные'!$D$22</definedName>
    <definedName name="TrialDur">'Исследование'!$D$17</definedName>
    <definedName name="TrialMonths">'Исследование'!$D$36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6" i="4" l="1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D43" i="3"/>
  <c r="E28" i="3"/>
  <c r="E25" i="3"/>
  <c r="E16" i="3"/>
  <c r="E29" i="3"/>
  <c r="E9" i="3"/>
  <c r="E10" i="3" s="1"/>
  <c r="E26" i="3" s="1"/>
  <c r="D15" i="2"/>
  <c r="E18" i="3"/>
  <c r="E19" i="3"/>
  <c r="E20" i="3"/>
  <c r="E21" i="3"/>
  <c r="D33" i="4"/>
  <c r="E17" i="3"/>
  <c r="D28" i="4"/>
  <c r="D37" i="2" a="1"/>
  <c r="I41" i="2" a="1"/>
  <c r="I31" i="2" a="1"/>
  <c r="I30" i="2" a="1"/>
  <c r="D29" i="2" a="1"/>
  <c r="D27" i="2" a="1"/>
  <c r="D20" i="2" a="1"/>
  <c r="I20" i="2" a="1"/>
  <c r="D23" i="2" a="1"/>
  <c r="I27" i="2" a="1"/>
  <c r="D31" i="2" a="1"/>
  <c r="D30" i="2" a="1"/>
  <c r="D39" i="2" a="1"/>
  <c r="D12" i="2" a="1"/>
  <c r="I21" i="2" a="1"/>
  <c r="D13" i="2" a="1"/>
  <c r="I37" i="2" a="1"/>
  <c r="I23" i="2" a="1"/>
  <c r="I12" i="2" a="1"/>
  <c r="I29" i="2" a="1"/>
  <c r="D21" i="2" a="1"/>
  <c r="D28" i="2" a="1"/>
  <c r="I28" i="2" a="1"/>
  <c r="I13" i="2" a="1"/>
  <c r="I39" i="2" a="1"/>
  <c r="D41" i="2" a="1"/>
  <c r="E27" i="3" l="1"/>
  <c r="E30" i="3" s="1"/>
  <c r="D12" i="4" s="1"/>
  <c r="D41" i="2"/>
  <c r="I39" i="2"/>
  <c r="I13" i="2"/>
  <c r="I28" i="2"/>
  <c r="D28" i="2"/>
  <c r="D21" i="2"/>
  <c r="I29" i="2"/>
  <c r="I12" i="2"/>
  <c r="I23" i="2"/>
  <c r="I37" i="2"/>
  <c r="D15" i="3" s="1"/>
  <c r="G46" i="4" s="1"/>
  <c r="D13" i="2"/>
  <c r="I21" i="2"/>
  <c r="D12" i="2"/>
  <c r="D9" i="3" s="1"/>
  <c r="D39" i="2"/>
  <c r="D30" i="2"/>
  <c r="D28" i="3" s="1"/>
  <c r="D31" i="2"/>
  <c r="I27" i="2"/>
  <c r="D23" i="2"/>
  <c r="I20" i="2"/>
  <c r="D20" i="2"/>
  <c r="D27" i="2"/>
  <c r="D25" i="3" s="1"/>
  <c r="D29" i="2"/>
  <c r="I30" i="2"/>
  <c r="I31" i="2"/>
  <c r="I41" i="2"/>
  <c r="D37" i="2"/>
  <c r="D14" i="3" l="1"/>
  <c r="D38" i="3" s="1" a="1"/>
  <c r="D38" i="3" s="1"/>
  <c r="D27" i="3"/>
  <c r="D42" i="3"/>
  <c r="D10" i="3"/>
  <c r="D26" i="3" s="1"/>
  <c r="D18" i="3"/>
  <c r="F45" i="4" a="1"/>
  <c r="D45" i="4" a="1"/>
  <c r="E45" i="4" a="1"/>
  <c r="G45" i="4" a="1"/>
  <c r="G45" i="4" l="1"/>
  <c r="E45" i="4"/>
  <c r="D45" i="4"/>
  <c r="F45" i="4"/>
  <c r="D16" i="3"/>
  <c r="D19" i="3"/>
  <c r="D20" i="3" s="1"/>
  <c r="D21" i="3" s="1"/>
  <c r="D37" i="3" s="1" a="1"/>
  <c r="D37" i="3" s="1"/>
  <c r="D35" i="4" a="1"/>
  <c r="D34" i="4" a="1"/>
  <c r="D34" i="4" l="1"/>
  <c r="D35" i="4"/>
  <c r="D29" i="3"/>
  <c r="D30" i="3" s="1"/>
  <c r="D35" i="3" s="1" a="1"/>
  <c r="D35" i="3" s="1"/>
  <c r="D17" i="3"/>
  <c r="D36" i="3" s="1" a="1"/>
  <c r="D36" i="3" s="1"/>
  <c r="D44" i="3"/>
  <c r="B7" i="4" s="1"/>
  <c r="C210" i="4" a="1"/>
  <c r="C192" i="4" a="1"/>
  <c r="C169" i="4" a="1"/>
  <c r="E106" i="4" a="1"/>
  <c r="C182" i="4" a="1"/>
  <c r="C240" i="4" a="1"/>
  <c r="E102" i="4" a="1"/>
  <c r="C233" i="4" a="1"/>
  <c r="E108" i="4" a="1"/>
  <c r="C154" i="4" a="1"/>
  <c r="C212" i="4" a="1"/>
  <c r="E80" i="4" a="1"/>
  <c r="D29" i="4" a="1"/>
  <c r="C195" i="4" a="1"/>
  <c r="E93" i="4" a="1"/>
  <c r="C156" i="4" a="1"/>
  <c r="E120" i="4" a="1"/>
  <c r="C161" i="4" a="1"/>
  <c r="C178" i="4" a="1"/>
  <c r="C236" i="4" a="1"/>
  <c r="E78" i="4" a="1"/>
  <c r="E121" i="4" a="1"/>
  <c r="C242" i="4" a="1"/>
  <c r="C150" i="4" a="1"/>
  <c r="C205" i="4" a="1"/>
  <c r="E119" i="4" a="1"/>
  <c r="C208" i="4" a="1"/>
  <c r="C175" i="4" a="1"/>
  <c r="E84" i="4" a="1"/>
  <c r="C187" i="4" a="1"/>
  <c r="E95" i="4" a="1"/>
  <c r="E110" i="4" a="1"/>
  <c r="E91" i="4" a="1"/>
  <c r="C184" i="4" a="1"/>
  <c r="C237" i="4" a="1"/>
  <c r="E124" i="4" a="1"/>
  <c r="E116" i="4" a="1"/>
  <c r="E123" i="4" a="1"/>
  <c r="E96" i="4" a="1"/>
  <c r="C229" i="4" a="1"/>
  <c r="C218" i="4" a="1"/>
  <c r="C146" i="4" a="1"/>
  <c r="C201" i="4" a="1"/>
  <c r="E99" i="4" a="1"/>
  <c r="C204" i="4" a="1"/>
  <c r="C167" i="4" a="1"/>
  <c r="C172" i="4" a="1"/>
  <c r="C171" i="4" a="1"/>
  <c r="C173" i="4" a="1"/>
  <c r="C186" i="4" a="1"/>
  <c r="C244" i="4" a="1"/>
  <c r="C214" i="4" a="1"/>
  <c r="E101" i="4" a="1"/>
  <c r="C197" i="4" a="1"/>
  <c r="E97" i="4" a="1"/>
  <c r="C203" i="4" a="1"/>
  <c r="C159" i="4" a="1"/>
  <c r="C164" i="4" a="1"/>
  <c r="C238" i="4" a="1"/>
  <c r="E87" i="4" a="1"/>
  <c r="C232" i="4" a="1"/>
  <c r="C223" i="4" a="1"/>
  <c r="C231" i="4" a="1"/>
  <c r="C234" i="4" a="1"/>
  <c r="C202" i="4" a="1"/>
  <c r="C170" i="4" a="1"/>
  <c r="C165" i="4" a="1"/>
  <c r="E81" i="4" a="1"/>
  <c r="C221" i="4" a="1"/>
  <c r="C189" i="4" a="1"/>
  <c r="C153" i="4" a="1"/>
  <c r="E115" i="4" a="1"/>
  <c r="E85" i="4" a="1"/>
  <c r="C228" i="4" a="1"/>
  <c r="C196" i="4" a="1"/>
  <c r="C168" i="4" a="1"/>
  <c r="C243" i="4" a="1"/>
  <c r="E126" i="4" a="1"/>
  <c r="E94" i="4" a="1"/>
  <c r="C199" i="4" a="1"/>
  <c r="E44" i="4" a="1"/>
  <c r="E88" i="4" a="1"/>
  <c r="E112" i="4" a="1"/>
  <c r="C206" i="4" a="1"/>
  <c r="C225" i="4" a="1"/>
  <c r="E117" i="4" a="1"/>
  <c r="C176" i="4" a="1"/>
  <c r="C148" i="4" a="1"/>
  <c r="C230" i="4" a="1"/>
  <c r="C198" i="4" a="1"/>
  <c r="C166" i="4" a="1"/>
  <c r="E113" i="4" a="1"/>
  <c r="E77" i="4" a="1"/>
  <c r="C217" i="4" a="1"/>
  <c r="C185" i="4" a="1"/>
  <c r="C149" i="4" a="1"/>
  <c r="E111" i="4" a="1"/>
  <c r="E83" i="4" a="1"/>
  <c r="C224" i="4" a="1"/>
  <c r="C215" i="4" a="1"/>
  <c r="C160" i="4" a="1"/>
  <c r="C211" i="4" a="1"/>
  <c r="E122" i="4" a="1"/>
  <c r="E90" i="4" a="1"/>
  <c r="C219" i="4" a="1"/>
  <c r="C179" i="4" a="1"/>
  <c r="C239" i="4" a="1"/>
  <c r="E100" i="4" a="1"/>
  <c r="G44" i="4" a="1"/>
  <c r="C157" i="4" a="1"/>
  <c r="C200" i="4" a="1"/>
  <c r="E98" i="4" a="1"/>
  <c r="C147" i="4" a="1"/>
  <c r="C226" i="4" a="1"/>
  <c r="C194" i="4" a="1"/>
  <c r="C162" i="4" a="1"/>
  <c r="E107" i="4" a="1"/>
  <c r="C245" i="4" a="1"/>
  <c r="C213" i="4" a="1"/>
  <c r="C181" i="4" a="1"/>
  <c r="C145" i="4" a="1"/>
  <c r="E109" i="4" a="1"/>
  <c r="E79" i="4" a="1"/>
  <c r="C220" i="4" a="1"/>
  <c r="D31" i="4" a="1"/>
  <c r="C152" i="4" a="1"/>
  <c r="C191" i="4" a="1"/>
  <c r="E118" i="4" a="1"/>
  <c r="E86" i="4" a="1"/>
  <c r="C188" i="4" a="1"/>
  <c r="C163" i="4" a="1"/>
  <c r="C207" i="4" a="1"/>
  <c r="E92" i="4" a="1"/>
  <c r="C174" i="4" a="1"/>
  <c r="C193" i="4" a="1"/>
  <c r="E89" i="4" a="1"/>
  <c r="C151" i="4" a="1"/>
  <c r="E104" i="4" a="1"/>
  <c r="C222" i="4" a="1"/>
  <c r="C190" i="4" a="1"/>
  <c r="C158" i="4" a="1"/>
  <c r="E103" i="4" a="1"/>
  <c r="C241" i="4" a="1"/>
  <c r="C209" i="4" a="1"/>
  <c r="C177" i="4" a="1"/>
  <c r="E125" i="4" a="1"/>
  <c r="E105" i="4" a="1"/>
  <c r="F44" i="4" a="1"/>
  <c r="C216" i="4" a="1"/>
  <c r="C235" i="4" a="1"/>
  <c r="D30" i="4" a="1"/>
  <c r="C183" i="4" a="1"/>
  <c r="E114" i="4" a="1"/>
  <c r="E82" i="4" a="1"/>
  <c r="C180" i="4" a="1"/>
  <c r="C155" i="4" a="1"/>
  <c r="C227" i="4" a="1"/>
  <c r="D44" i="4" a="1"/>
  <c r="D120" i="4" a="1"/>
  <c r="D97" i="4" a="1"/>
  <c r="D106" i="4" a="1"/>
  <c r="D95" i="4" a="1"/>
  <c r="D13" i="4" a="1"/>
  <c r="D101" i="4" a="1"/>
  <c r="D108" i="4" a="1"/>
  <c r="D93" i="4" a="1"/>
  <c r="D104" i="4" a="1"/>
  <c r="D91" i="4" a="1"/>
  <c r="E43" i="4" a="1"/>
  <c r="D123" i="4" a="1"/>
  <c r="D99" i="4" a="1"/>
  <c r="D14" i="4" a="1"/>
  <c r="D92" i="4" a="1"/>
  <c r="D90" i="4" a="1"/>
  <c r="D124" i="4" a="1"/>
  <c r="D88" i="4" a="1"/>
  <c r="D43" i="4" a="1"/>
  <c r="D128" i="4" a="1"/>
  <c r="D122" i="4" a="1"/>
  <c r="G43" i="4" a="1"/>
  <c r="D125" i="4" a="1"/>
  <c r="D102" i="4" a="1"/>
  <c r="D119" i="4" a="1"/>
  <c r="D116" i="4" a="1"/>
  <c r="D100" i="4" a="1"/>
  <c r="D84" i="4" a="1"/>
  <c r="D115" i="4" a="1"/>
  <c r="D83" i="4" a="1"/>
  <c r="D117" i="4" a="1"/>
  <c r="D85" i="4" a="1"/>
  <c r="D114" i="4" a="1"/>
  <c r="D98" i="4" a="1"/>
  <c r="D82" i="4" a="1"/>
  <c r="D111" i="4" a="1"/>
  <c r="D79" i="4" a="1"/>
  <c r="D113" i="4" a="1"/>
  <c r="D81" i="4" a="1"/>
  <c r="D87" i="4" a="1"/>
  <c r="D89" i="4" a="1"/>
  <c r="B51" i="4" a="1"/>
  <c r="D112" i="4" a="1"/>
  <c r="D96" i="4" a="1"/>
  <c r="D80" i="4" a="1"/>
  <c r="D107" i="4" a="1"/>
  <c r="F43" i="4" a="1"/>
  <c r="D109" i="4" a="1"/>
  <c r="D77" i="4" a="1"/>
  <c r="D118" i="4" a="1"/>
  <c r="D86" i="4" a="1"/>
  <c r="D121" i="4" a="1"/>
  <c r="D126" i="4" a="1"/>
  <c r="D110" i="4" a="1"/>
  <c r="D94" i="4" a="1"/>
  <c r="D78" i="4" a="1"/>
  <c r="D103" i="4" a="1"/>
  <c r="B6" i="4" a="1"/>
  <c r="D105" i="4" a="1"/>
  <c r="D15" i="4" a="1"/>
  <c r="D15" i="4" l="1"/>
  <c r="D105" i="4"/>
  <c r="B6" i="4"/>
  <c r="D103" i="4"/>
  <c r="D78" i="4"/>
  <c r="D94" i="4"/>
  <c r="D110" i="4"/>
  <c r="D126" i="4"/>
  <c r="D121" i="4"/>
  <c r="D86" i="4"/>
  <c r="D118" i="4"/>
  <c r="D77" i="4"/>
  <c r="D109" i="4"/>
  <c r="F43" i="4"/>
  <c r="D107" i="4"/>
  <c r="D80" i="4"/>
  <c r="D96" i="4"/>
  <c r="D112" i="4"/>
  <c r="C57" i="4"/>
  <c r="B63" i="4"/>
  <c r="B142" i="4" s="1"/>
  <c r="B55" i="4"/>
  <c r="B134" i="4" s="1"/>
  <c r="E54" i="4"/>
  <c r="D58" i="4"/>
  <c r="B62" i="4"/>
  <c r="B141" i="4" s="1"/>
  <c r="B54" i="4"/>
  <c r="B133" i="4" s="1"/>
  <c r="E55" i="4"/>
  <c r="D57" i="4"/>
  <c r="E52" i="4"/>
  <c r="C58" i="4"/>
  <c r="E53" i="4"/>
  <c r="D55" i="4"/>
  <c r="C55" i="4"/>
  <c r="B61" i="4"/>
  <c r="B140" i="4" s="1"/>
  <c r="B53" i="4"/>
  <c r="B132" i="4" s="1"/>
  <c r="B51" i="4"/>
  <c r="B130" i="4" s="1"/>
  <c r="D56" i="4"/>
  <c r="B60" i="4"/>
  <c r="B139" i="4" s="1"/>
  <c r="B52" i="4"/>
  <c r="B131" i="4" s="1"/>
  <c r="E51" i="4"/>
  <c r="D54" i="4"/>
  <c r="C56" i="4"/>
  <c r="D63" i="4"/>
  <c r="D53" i="4"/>
  <c r="C61" i="4"/>
  <c r="C54" i="4"/>
  <c r="E61" i="4"/>
  <c r="B57" i="4"/>
  <c r="B136" i="4" s="1"/>
  <c r="D60" i="4"/>
  <c r="E59" i="4"/>
  <c r="C52" i="4"/>
  <c r="E57" i="4"/>
  <c r="E60" i="4"/>
  <c r="D61" i="4"/>
  <c r="C51" i="4"/>
  <c r="B56" i="4"/>
  <c r="B135" i="4" s="1"/>
  <c r="C60" i="4"/>
  <c r="B59" i="4"/>
  <c r="B138" i="4" s="1"/>
  <c r="C59" i="4"/>
  <c r="C53" i="4"/>
  <c r="E62" i="4"/>
  <c r="B58" i="4"/>
  <c r="B137" i="4" s="1"/>
  <c r="C62" i="4"/>
  <c r="D59" i="4"/>
  <c r="C63" i="4"/>
  <c r="D62" i="4"/>
  <c r="D51" i="4"/>
  <c r="D52" i="4"/>
  <c r="E58" i="4"/>
  <c r="E56" i="4"/>
  <c r="E63" i="4"/>
  <c r="D89" i="4"/>
  <c r="D87" i="4"/>
  <c r="D81" i="4"/>
  <c r="D113" i="4"/>
  <c r="D79" i="4"/>
  <c r="D111" i="4"/>
  <c r="D82" i="4"/>
  <c r="D98" i="4"/>
  <c r="D114" i="4"/>
  <c r="D85" i="4"/>
  <c r="D117" i="4"/>
  <c r="D83" i="4"/>
  <c r="D115" i="4"/>
  <c r="D84" i="4"/>
  <c r="D100" i="4"/>
  <c r="D116" i="4"/>
  <c r="D119" i="4"/>
  <c r="D102" i="4"/>
  <c r="D125" i="4"/>
  <c r="G43" i="4"/>
  <c r="D122" i="4"/>
  <c r="D128" i="4"/>
  <c r="D43" i="4"/>
  <c r="D88" i="4"/>
  <c r="D124" i="4"/>
  <c r="D90" i="4"/>
  <c r="D92" i="4"/>
  <c r="D14" i="4"/>
  <c r="D99" i="4"/>
  <c r="D123" i="4"/>
  <c r="E43" i="4"/>
  <c r="D91" i="4"/>
  <c r="D104" i="4"/>
  <c r="D93" i="4"/>
  <c r="D108" i="4"/>
  <c r="D101" i="4"/>
  <c r="D13" i="4"/>
  <c r="D95" i="4"/>
  <c r="D106" i="4"/>
  <c r="D97" i="4"/>
  <c r="D120" i="4"/>
  <c r="D44" i="4"/>
  <c r="C227" i="4"/>
  <c r="C155" i="4"/>
  <c r="C180" i="4"/>
  <c r="E82" i="4"/>
  <c r="E114" i="4"/>
  <c r="C183" i="4"/>
  <c r="D30" i="4"/>
  <c r="C235" i="4"/>
  <c r="C216" i="4"/>
  <c r="F44" i="4"/>
  <c r="E105" i="4"/>
  <c r="E125" i="4"/>
  <c r="C177" i="4"/>
  <c r="C209" i="4"/>
  <c r="C241" i="4"/>
  <c r="E103" i="4"/>
  <c r="C158" i="4"/>
  <c r="C190" i="4"/>
  <c r="C222" i="4"/>
  <c r="E104" i="4"/>
  <c r="C151" i="4"/>
  <c r="E89" i="4"/>
  <c r="C193" i="4"/>
  <c r="C174" i="4"/>
  <c r="E92" i="4"/>
  <c r="C207" i="4"/>
  <c r="C163" i="4"/>
  <c r="C188" i="4"/>
  <c r="E86" i="4"/>
  <c r="E118" i="4"/>
  <c r="C191" i="4"/>
  <c r="C152" i="4"/>
  <c r="D31" i="4"/>
  <c r="D32" i="4" s="1"/>
  <c r="C220" i="4"/>
  <c r="E79" i="4"/>
  <c r="E109" i="4"/>
  <c r="C145" i="4"/>
  <c r="C181" i="4"/>
  <c r="C213" i="4"/>
  <c r="C245" i="4"/>
  <c r="E107" i="4"/>
  <c r="C162" i="4"/>
  <c r="C194" i="4"/>
  <c r="C226" i="4"/>
  <c r="C147" i="4"/>
  <c r="E98" i="4"/>
  <c r="C200" i="4"/>
  <c r="C157" i="4"/>
  <c r="G44" i="4"/>
  <c r="E100" i="4"/>
  <c r="C239" i="4"/>
  <c r="C179" i="4"/>
  <c r="C219" i="4"/>
  <c r="E90" i="4"/>
  <c r="E122" i="4"/>
  <c r="C211" i="4"/>
  <c r="C160" i="4"/>
  <c r="C215" i="4"/>
  <c r="C224" i="4"/>
  <c r="E83" i="4"/>
  <c r="E111" i="4"/>
  <c r="C149" i="4"/>
  <c r="C185" i="4"/>
  <c r="C217" i="4"/>
  <c r="E77" i="4"/>
  <c r="E113" i="4"/>
  <c r="C166" i="4"/>
  <c r="C198" i="4"/>
  <c r="C230" i="4"/>
  <c r="C148" i="4"/>
  <c r="C176" i="4"/>
  <c r="E117" i="4"/>
  <c r="C225" i="4"/>
  <c r="C206" i="4"/>
  <c r="E112" i="4"/>
  <c r="E88" i="4"/>
  <c r="E44" i="4"/>
  <c r="C199" i="4"/>
  <c r="E94" i="4"/>
  <c r="E126" i="4"/>
  <c r="C243" i="4"/>
  <c r="C168" i="4"/>
  <c r="C196" i="4"/>
  <c r="C228" i="4"/>
  <c r="E85" i="4"/>
  <c r="E115" i="4"/>
  <c r="C153" i="4"/>
  <c r="C189" i="4"/>
  <c r="C221" i="4"/>
  <c r="E81" i="4"/>
  <c r="C165" i="4"/>
  <c r="C170" i="4"/>
  <c r="C202" i="4"/>
  <c r="C234" i="4"/>
  <c r="C231" i="4"/>
  <c r="C223" i="4"/>
  <c r="C232" i="4"/>
  <c r="E87" i="4"/>
  <c r="C238" i="4"/>
  <c r="C164" i="4"/>
  <c r="C159" i="4"/>
  <c r="C203" i="4"/>
  <c r="E97" i="4"/>
  <c r="C197" i="4"/>
  <c r="E101" i="4"/>
  <c r="C214" i="4"/>
  <c r="C244" i="4"/>
  <c r="C186" i="4"/>
  <c r="C173" i="4"/>
  <c r="C171" i="4"/>
  <c r="C172" i="4"/>
  <c r="C167" i="4"/>
  <c r="C204" i="4"/>
  <c r="E99" i="4"/>
  <c r="C201" i="4"/>
  <c r="C146" i="4"/>
  <c r="C218" i="4"/>
  <c r="C229" i="4"/>
  <c r="E96" i="4"/>
  <c r="E123" i="4"/>
  <c r="E116" i="4"/>
  <c r="E124" i="4"/>
  <c r="C237" i="4"/>
  <c r="C184" i="4"/>
  <c r="E91" i="4"/>
  <c r="E110" i="4"/>
  <c r="E95" i="4"/>
  <c r="C187" i="4"/>
  <c r="E84" i="4"/>
  <c r="C175" i="4"/>
  <c r="C208" i="4"/>
  <c r="E119" i="4"/>
  <c r="C205" i="4"/>
  <c r="C150" i="4"/>
  <c r="C242" i="4"/>
  <c r="E121" i="4"/>
  <c r="E78" i="4"/>
  <c r="C236" i="4"/>
  <c r="C178" i="4"/>
  <c r="C161" i="4"/>
  <c r="E120" i="4"/>
  <c r="C156" i="4"/>
  <c r="E93" i="4"/>
  <c r="C195" i="4"/>
  <c r="D29" i="4"/>
  <c r="E80" i="4"/>
  <c r="C212" i="4"/>
  <c r="C154" i="4"/>
  <c r="E108" i="4"/>
  <c r="C233" i="4"/>
  <c r="E102" i="4"/>
  <c r="C240" i="4"/>
  <c r="C182" i="4"/>
  <c r="E106" i="4"/>
  <c r="C169" i="4"/>
  <c r="C192" i="4"/>
  <c r="C210" i="4"/>
  <c r="G142" i="4" l="1"/>
  <c r="G139" i="4"/>
  <c r="F139" i="4"/>
  <c r="F133" i="4"/>
  <c r="G134" i="4"/>
  <c r="F138" i="4"/>
  <c r="F134" i="4"/>
  <c r="F137" i="4"/>
  <c r="G141" i="4"/>
  <c r="G130" i="4"/>
  <c r="F140" i="4"/>
  <c r="G133" i="4"/>
  <c r="G137" i="4"/>
  <c r="G140" i="4"/>
  <c r="F135" i="4"/>
  <c r="F131" i="4"/>
  <c r="G132" i="4"/>
  <c r="F132" i="4"/>
  <c r="F136" i="4"/>
  <c r="G136" i="4"/>
  <c r="C254" i="4"/>
  <c r="C252" i="4"/>
  <c r="C270" i="4"/>
  <c r="C258" i="4"/>
  <c r="C253" i="4"/>
  <c r="C249" i="4"/>
  <c r="C265" i="4"/>
  <c r="C266" i="4"/>
  <c r="C264" i="4"/>
  <c r="C251" i="4"/>
  <c r="C268" i="4"/>
  <c r="C271" i="4"/>
  <c r="C261" i="4"/>
  <c r="C267" i="4"/>
  <c r="C256" i="4"/>
  <c r="C260" i="4"/>
  <c r="C257" i="4"/>
  <c r="C269" i="4"/>
  <c r="C250" i="4"/>
  <c r="C262" i="4"/>
  <c r="C259" i="4"/>
  <c r="C248" i="4"/>
  <c r="C255" i="4"/>
  <c r="C272" i="4"/>
  <c r="D272" i="4" s="1"/>
  <c r="G272" i="4" s="1" a="1"/>
  <c r="G272" i="4" s="1"/>
  <c r="C263" i="4"/>
  <c r="F130" i="4"/>
  <c r="G138" i="4"/>
  <c r="G131" i="4"/>
  <c r="F142" i="4"/>
  <c r="F141" i="4"/>
  <c r="G135" i="4"/>
  <c r="D17" i="4"/>
  <c r="D16" i="4"/>
  <c r="E263" i="4" l="1"/>
  <c r="D263" i="4"/>
  <c r="G263" i="4" s="1" a="1"/>
  <c r="G263" i="4" s="1"/>
  <c r="E257" i="4"/>
  <c r="D257" i="4"/>
  <c r="G257" i="4" s="1" a="1"/>
  <c r="G257" i="4" s="1"/>
  <c r="E264" i="4"/>
  <c r="D264" i="4"/>
  <c r="G264" i="4" s="1" a="1"/>
  <c r="G264" i="4" s="1"/>
  <c r="F263" i="4" s="1"/>
  <c r="E254" i="4"/>
  <c r="D254" i="4"/>
  <c r="G254" i="4" s="1" a="1"/>
  <c r="G254" i="4" s="1"/>
  <c r="F253" i="4" s="1"/>
  <c r="D260" i="4"/>
  <c r="G260" i="4" s="1" a="1"/>
  <c r="G260" i="4" s="1"/>
  <c r="E260" i="4"/>
  <c r="E266" i="4"/>
  <c r="D266" i="4"/>
  <c r="G266" i="4" s="1" a="1"/>
  <c r="G266" i="4" s="1"/>
  <c r="E255" i="4"/>
  <c r="D255" i="4"/>
  <c r="G255" i="4" s="1" a="1"/>
  <c r="G255" i="4" s="1"/>
  <c r="D256" i="4"/>
  <c r="G256" i="4" s="1" a="1"/>
  <c r="G256" i="4" s="1"/>
  <c r="E256" i="4"/>
  <c r="E265" i="4"/>
  <c r="D265" i="4"/>
  <c r="G265" i="4" s="1" a="1"/>
  <c r="G265" i="4" s="1"/>
  <c r="D248" i="4"/>
  <c r="G248" i="4" s="1" a="1"/>
  <c r="G248" i="4" s="1"/>
  <c r="E248" i="4"/>
  <c r="E267" i="4"/>
  <c r="D267" i="4"/>
  <c r="G267" i="4" s="1" a="1"/>
  <c r="G267" i="4" s="1"/>
  <c r="F266" i="4" s="1"/>
  <c r="E249" i="4"/>
  <c r="D249" i="4"/>
  <c r="G249" i="4" s="1" a="1"/>
  <c r="G249" i="4" s="1"/>
  <c r="E259" i="4"/>
  <c r="D259" i="4"/>
  <c r="G259" i="4" s="1" a="1"/>
  <c r="G259" i="4" s="1"/>
  <c r="D261" i="4"/>
  <c r="G261" i="4" s="1" a="1"/>
  <c r="G261" i="4" s="1"/>
  <c r="E261" i="4"/>
  <c r="D253" i="4"/>
  <c r="G253" i="4" s="1" a="1"/>
  <c r="G253" i="4" s="1"/>
  <c r="E253" i="4"/>
  <c r="E262" i="4"/>
  <c r="D262" i="4"/>
  <c r="G262" i="4" s="1" a="1"/>
  <c r="G262" i="4" s="1"/>
  <c r="D271" i="4"/>
  <c r="G271" i="4" s="1" a="1"/>
  <c r="G271" i="4" s="1"/>
  <c r="E271" i="4"/>
  <c r="D258" i="4"/>
  <c r="G258" i="4" s="1" a="1"/>
  <c r="G258" i="4" s="1"/>
  <c r="E258" i="4"/>
  <c r="E250" i="4"/>
  <c r="D250" i="4"/>
  <c r="G250" i="4" s="1" a="1"/>
  <c r="G250" i="4" s="1"/>
  <c r="E268" i="4"/>
  <c r="D268" i="4"/>
  <c r="G268" i="4" s="1" a="1"/>
  <c r="G268" i="4" s="1"/>
  <c r="E270" i="4"/>
  <c r="D270" i="4"/>
  <c r="G270" i="4" s="1" a="1"/>
  <c r="G270" i="4" s="1"/>
  <c r="E269" i="4"/>
  <c r="D269" i="4"/>
  <c r="G269" i="4" s="1" a="1"/>
  <c r="G269" i="4" s="1"/>
  <c r="D251" i="4"/>
  <c r="G251" i="4" s="1" a="1"/>
  <c r="G251" i="4" s="1"/>
  <c r="E251" i="4"/>
  <c r="E252" i="4"/>
  <c r="D252" i="4"/>
  <c r="G252" i="4" s="1" a="1"/>
  <c r="G252" i="4" s="1"/>
  <c r="F255" i="4" l="1"/>
  <c r="F265" i="4"/>
  <c r="F270" i="4"/>
  <c r="F252" i="4"/>
  <c r="F257" i="4"/>
  <c r="F260" i="4"/>
  <c r="F249" i="4"/>
  <c r="F268" i="4"/>
  <c r="F262" i="4"/>
  <c r="F259" i="4"/>
  <c r="F254" i="4"/>
  <c r="F256" i="4"/>
  <c r="F269" i="4"/>
  <c r="F258" i="4"/>
  <c r="F264" i="4"/>
  <c r="F250" i="4"/>
  <c r="F251" i="4"/>
  <c r="F267" i="4"/>
  <c r="F261" i="4"/>
  <c r="F248" i="4"/>
  <c r="F271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<sst xmlns="http://schemas.openxmlformats.org/spreadsheetml/2006/main" count="400" uniqueCount="273">
  <si>
    <t xml:space="preserve">Стоимость и срок клинического исследования</t>
  </si>
  <si>
    <t xml:space="preserve">Пример МоделРиск  ·  Фармацевтика и биотехнологии  ·  PH-01</t>
  </si>
  <si>
    <t xml:space="preserve">Какой бюджет и какую дату получения основных результатов назвать?  Стоимость и график исследования II фазы с резервом.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</si>
  <si>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</si>
  <si>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</si>
  <si>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</si>
  <si>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Фармацевтика и биотехнологии</t>
  </si>
  <si>
    <t xml:space="preserve">Сложность</t>
  </si>
  <si>
    <t xml:space="preserve">★☆☆☆☆   Сумма трехточечных оценок и трех рисковых событий; число пациентов с запасом на выбывание и отсев при скрининге; ежемесячные текущие затраты, которые превращают каждую задержку в деньги.</t>
  </si>
  <si>
    <t xml:space="preserve">Вопрос бизнеса</t>
  </si>
  <si>
    <t xml:space="preserve">Биотехнологическая компания планирует исследование II фазы своего ведущего соединения: его должны завершить 180 пациентов. Совет директоров хочет бюджет и дату основных результатов, на которые можно положиться. Сколько будет стоить исследование, сколько оно продлится и какой резерв заложить в бюджет и график?</t>
  </si>
  <si>
    <t xml:space="preserve">Для кого</t>
  </si>
  <si>
    <t xml:space="preserve">Руководителям клинических операций и проектов, финансовым службам R&amp;D, руководству и советам директоров биотехнологических компаний.</t>
  </si>
  <si>
    <t xml:space="preserve">Основные результаты</t>
  </si>
  <si>
    <t xml:space="preserve">Общие стоимость и длительность: среднее, P50, P80, P90 · вероятность, что базовой оценки хватит · резерв для бюджета P80 и графика P80 · дата основных результатов с надежностью 50% и 80% · что определяет стоимость.</t>
  </si>
  <si>
    <t xml:space="preserve">Приемы МоделРиск</t>
  </si>
  <si>
    <t xml:space="preserve">Трехточечные оценки как распределения PERT · рисковые события, задерживающие исследование (VoseRiskEvent) · число включенных пациентов и пациентов в скрининге с запасом на неопределенные доли выбывания и отсева · текущие затраты, зависящие от времени · бюджеты P50 / P80 и резерв · S-кривая, гистограмма и «торнадо».</t>
  </si>
  <si>
    <t xml:space="preserve">Файл</t>
  </si>
  <si>
    <t xml:space="preserve">PH-01 Стоимость и срок клинического исследования  ·  Версия 1.0  ·  Ноябрь 2026  ·  создано в МоделРиск</t>
  </si>
  <si>
    <t xml:space="preserve">Вопрос бизнеса</t>
  </si>
  <si>
    <t xml:space="preserve">Биотехнологическая компания планирует исследование II фазы своего ведущего соединения примерно в 30 больницах Европы и США. 180 пациентов должны завершить 24 недели лечения. Часть выбудет, а около трети прошедших скрининг не будут соответствовать критериям включения. Клиническая команда дала низкую, наиболее вероятную и высокую оценки для каждого этапа исследования и каждой статьи затрат и перечислила три риска, которые задержат его: поправка к протоколу, настолько медленный набор, что понадобятся новые центры, и приостановка исследования регулятором. Каждый месяц задержки обходится в текущие затраты исследования: управление проектом, мониторинг и управление данными у CRO. Протокол утверждается в январе 2027 года. Совет директоров хочет бюджет и дату получения основных результатов.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</si>
  <si>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</si>
  <si>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</si>
  <si>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</si>
  <si>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Число пациентов, которые должны завершить исследование, доли выбывания и отсева при скрининге; низкие, наиболее вероятные и высокие оценки для каждого этапа и каждой статьи затрат; вероятность и задержка каждого риска.</t>
  </si>
  <si>
    <t xml:space="preserve">2  Исследование</t>
  </si>
  <si>
    <t xml:space="preserve">Число пациентов для включения и скрининга; длительность по этапам плюс задержки от рисков и даты открытия первого центра, включения последнего пациента и основных результатов; затраты, включая текущие затраты за месяцы работы исследования. Столбец «База» повторяет каждую строку с наиболее вероятными значениями и без рисков.</t>
  </si>
  <si>
    <t xml:space="preserve">3  Результаты</t>
  </si>
  <si>
    <t xml:space="preserve">Стоимость и длительность на каждом уровне надежности; вероятность, что базовой оценки хватит; резерв для бюджета P80 и графика P80; дата основных результатов; величины, определяющие стоимость.</t>
  </si>
  <si>
    <t xml:space="preserve">Как пользоваться моделью</t>
  </si>
  <si>
    <t xml:space="preserve">Шаг 1</t>
  </si>
  <si>
    <t xml:space="preserve">Введите размер своего исследования и низкие, наиболее вероятные и высокие оценки клинической команды на листе «Исходные данные».</t>
  </si>
  <si>
    <t xml:space="preserve">Шаг 2</t>
  </si>
  <si>
    <t xml:space="preserve">Перечислите риски, которые задержат исследование, с их вероятностью и задержкой.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</si>
  <si>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</si>
  <si>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</si>
  <si>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</si>
  <si>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Задайте бюджет и график на уровне надежности, который нужен совету директоров, и работайте с главными факторами.</t>
  </si>
  <si>
    <t xml:space="preserve">Структура модели</t>
  </si>
  <si>
    <t xml:space="preserve">Исходные данные</t>
  </si>
  <si>
    <t xml:space="preserve">Размер исследования и доли, длительности, затраты, риски.</t>
  </si>
  <si>
    <t xml:space="preserve">Исследование</t>
  </si>
  <si>
    <t xml:space="preserve">Пациенты, длительность и даты, затраты — в этой итерации и в базовой оценке; выходы и проверки.</t>
  </si>
  <si>
    <t xml:space="preserve">Результаты</t>
  </si>
  <si>
    <t xml:space="preserve">Бюджет, резерв, график,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</si>
  <si>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</si>
  <si>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</si>
  <si>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</si>
  <si>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</si>
  <si>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</si>
  <si>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</si>
  <si>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</si>
  <si>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</si>
  <si>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</si>
  <si>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</si>
  <si>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</si>
  <si>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</si>
  <si>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</si>
  <si>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затраты на пациента в тыс. долл.; текущие цены.</t>
  </si>
  <si>
    <t xml:space="preserve">Время</t>
  </si>
  <si>
    <t xml:space="preserve">Месяцы от утверждения протокола; даты при среднем месяце 30,4 дня.</t>
  </si>
  <si>
    <t>P80</t>
  </si>
  <si>
    <t xml:space="preserve">Значение, которое не будет превышено с вероятностью 80%.</t>
  </si>
  <si>
    <t xml:space="preserve">Базовая оценка</t>
  </si>
  <si>
    <t xml:space="preserve">Каждая оценка на наиболее вероятном значении и без рисков.</t>
  </si>
  <si>
    <t xml:space="preserve">Основные допущения и ограничения</t>
  </si>
  <si>
    <t xml:space="preserve">Этапы</t>
  </si>
  <si>
    <t xml:space="preserve">Последовательно: запуск, набор, лечение последнего пациента, закрытие.</t>
  </si>
  <si>
    <t xml:space="preserve">Риски</t>
  </si>
  <si>
    <t xml:space="preserve">Независимы; каждый добавляет свою задержку к периоду набора, а текущие затраты продолжаются, пока она длится.</t>
  </si>
  <si>
    <t xml:space="preserve">Оценки</t>
  </si>
  <si>
    <t xml:space="preserve">Не зависят друг от друга; время набора не зависит от числа пациентов (модель набора здесь не строится).</t>
  </si>
  <si>
    <t xml:space="preserve">Данные</t>
  </si>
  <si>
    <t xml:space="preserve">Компания, соединение и все цифры придуманы для этого примера.</t>
  </si>
  <si>
    <t xml:space="preserve">Функции МоделРиск в модели</t>
  </si>
  <si>
    <t>VosePERT</t>
  </si>
  <si>
    <t xml:space="preserve">Трехточечные оценки этапов, затрат и долей выбывания и отсева при скрининге.</t>
  </si>
  <si>
    <t>VoseRiskEvent, VosePERTObject</t>
  </si>
  <si>
    <t xml:space="preserve">Задержка от каждого риска: ноль или задержка PERT с вероятностью риска.</t>
  </si>
  <si>
    <t>VoseInput, VoseOutput</t>
  </si>
  <si>
    <t xml:space="preserve">Пометить неопределенные величины для диаграммы «торнадо» и выходы, записываемые в каждой итерации.</t>
  </si>
  <si>
    <t>VoseSimMean, VoseSimPercentile, VoseSimProbability</t>
  </si>
  <si>
    <t xml:space="preserve">Статистика моделирования на листе «Результаты».</t>
  </si>
  <si>
    <t>VoseSimSensitivityMean</t>
  </si>
  <si>
    <t xml:space="preserve">Диаграмма «торнадо»: все VoseInput по тому, насколько меняется средняя общая стоимость в пределах их диапазона.</t>
  </si>
  <si>
    <t xml:space="preserve">Что почитать</t>
  </si>
  <si>
    <t xml:space="preserve">Затраты на исследования</t>
  </si>
  <si>
    <t>Sertkaya, A. et al. (2016). Key cost drivers of pharmaceutical clinical trials in the United States. Clinical Trials 13(2), 117–126.</t>
  </si>
  <si>
    <t xml:space="preserve">Резерв</t>
  </si>
  <si>
    <t xml:space="preserve">Количественный анализ рисков проекта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</si>
  <si>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</si>
  <si>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</si>
  <si>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</si>
  <si>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Исследование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</si>
  <si>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</si>
  <si>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Исследование</t>
  </si>
  <si>
    <t xml:space="preserve">Исследование II фазы примерно в 30 больницах Европы и США.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</si>
  <si>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</si>
  <si>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</si>
  <si>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</si>
  <si>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</si>
  <si>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</si>
  <si>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</si>
  <si>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</si>
  <si>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</si>
  <si>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</si>
  <si>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Пациенты, которые должны завершить исследование</t>
  </si>
  <si>
    <t xml:space="preserve">пациентов</t>
  </si>
  <si>
    <t xml:space="preserve">Константа</t>
  </si>
  <si>
    <t xml:space="preserve">По расчету размера выборки: мощность 90% для первичной конечной точки.</t>
  </si>
  <si>
    <t xml:space="preserve">Доля выбывания</t>
  </si>
  <si>
    <t xml:space="preserve">от включенных пациентов</t>
  </si>
  <si>
    <t>PERT</t>
  </si>
  <si>
    <t xml:space="preserve">Пациенты, выбывшие до первичной конечной точки; 12–20% в похожих исследованиях.</t>
  </si>
  <si>
    <t xml:space="preserve">Доля отсева при скрининге</t>
  </si>
  <si>
    <t xml:space="preserve">от пациентов в скрининге</t>
  </si>
  <si>
    <t xml:space="preserve">Пациенты в скрининге, не соответствующие критериям включения.</t>
  </si>
  <si>
    <t xml:space="preserve">Протокол утвержден</t>
  </si>
  <si>
    <t xml:space="preserve">дата</t>
  </si>
  <si>
    <t xml:space="preserve">Отсюда начинается отсчет.</t>
  </si>
  <si>
    <t xml:space="preserve">Среднее число дней в месяце</t>
  </si>
  <si>
    <t xml:space="preserve">дн.</t>
  </si>
  <si>
    <t xml:space="preserve">Расчетное</t>
  </si>
  <si>
    <t xml:space="preserve">Переводит месяцы в календарные дни для дат.</t>
  </si>
  <si>
    <t xml:space="preserve">2   Длительность</t>
  </si>
  <si>
    <t xml:space="preserve">Последовательные этапы, в месяцах.</t>
  </si>
  <si>
    <t xml:space="preserve">Запуск: согласования, договоры, открытие первого центра</t>
  </si>
  <si>
    <t xml:space="preserve">мес.</t>
  </si>
  <si>
    <t xml:space="preserve">Этические комитеты и регуляторы в шести странах.</t>
  </si>
  <si>
    <t xml:space="preserve">Набор: от первого до последнего включенного пациента</t>
  </si>
  <si>
    <t xml:space="preserve">Оценка клинической команды для 30 центров.</t>
  </si>
  <si>
    <t xml:space="preserve">Лечение последнего пациента</t>
  </si>
  <si>
    <t xml:space="preserve">24 недели, задано протоколом.</t>
  </si>
  <si>
    <t xml:space="preserve">Закрытие: от фиксации базы данных до основных результатов</t>
  </si>
  <si>
    <t xml:space="preserve">3   Затраты</t>
  </si>
  <si>
    <t xml:space="preserve">Запуск: протокол, начало работы CRO, согласования</t>
  </si>
  <si>
    <t xml:space="preserve">млн долл.</t>
  </si>
  <si>
    <t xml:space="preserve">Стоимость на пациента в скрининге</t>
  </si>
  <si>
    <t xml:space="preserve">тыс. долл.</t>
  </si>
  <si>
    <t xml:space="preserve">Скрининговый визит и анализы.</t>
  </si>
  <si>
    <t xml:space="preserve">Стоимость на включенного пациента</t>
  </si>
  <si>
    <t xml:space="preserve">Визиты, процедуры, визуализация, гонорары исследователей.</t>
  </si>
  <si>
    <t xml:space="preserve">Препарат: поставки и логистика</t>
  </si>
  <si>
    <t xml:space="preserve">Производство, упаковка, препарат сравнения, дистрибуция.</t>
  </si>
  <si>
    <t xml:space="preserve">Текущие затраты в месяц</t>
  </si>
  <si>
    <t xml:space="preserve">тыс. долл. в месяц</t>
  </si>
  <si>
    <t xml:space="preserve">Управление CRO, мониторинг, управление данными: от открытия первого центра до основных результатов.</t>
  </si>
  <si>
    <t xml:space="preserve">4   Риски</t>
  </si>
  <si>
    <t xml:space="preserve">Каждый риск задерживает исследование; его стоимость — текущие затраты за потерянные месяцы.</t>
  </si>
  <si>
    <t xml:space="preserve">Поправка к протоколу: вероятность</t>
  </si>
  <si>
    <t xml:space="preserve">вероятность</t>
  </si>
  <si>
    <t xml:space="preserve">Большинство протоколов II фазы хотя бы раз изменяются.</t>
  </si>
  <si>
    <t xml:space="preserve">Поправка к протоколу: задержка</t>
  </si>
  <si>
    <t xml:space="preserve">Рисковое событие  · PERT</t>
  </si>
  <si>
    <t xml:space="preserve">Повторное одобрение этическими комитетами; повторное обучение центров.</t>
  </si>
  <si>
    <t xml:space="preserve">Медленный набор, нужны новые центры: вероятность</t>
  </si>
  <si>
    <t xml:space="preserve">Медленный набор: задержка</t>
  </si>
  <si>
    <t xml:space="preserve">Время на открытие новых центров.</t>
  </si>
  <si>
    <t xml:space="preserve">Приостановка исследования регулятором: вероятность</t>
  </si>
  <si>
    <t xml:space="preserve">Сигнал по безопасности останавливает введение препарата, пока он не будет разрешен.</t>
  </si>
  <si>
    <t xml:space="preserve">Приостановка исследования: задержка</t>
  </si>
  <si>
    <t xml:space="preserve">ИССЛЕДОВАНИЕ   ·   Пациенты, длительность и даты, затраты: в этой итерации и в базовой оценке.</t>
  </si>
  <si>
    <t xml:space="preserve">◂  Исходные данные</t>
  </si>
  <si>
    <t xml:space="preserve">Далее:  Результаты  ▸</t>
  </si>
  <si>
    <t xml:space="preserve">1   Пациенты</t>
  </si>
  <si>
    <t xml:space="preserve">База: каждая оценка на наиболее вероятном значении и без рисков. Именно на базовой оценке строится большинство бюджетов.</t>
  </si>
  <si>
    <t xml:space="preserve">Величина</t>
  </si>
  <si>
    <t xml:space="preserve">Эта итерация</t>
  </si>
  <si>
    <t xml:space="preserve">База</t>
  </si>
  <si>
    <t xml:space="preserve">Как рассчитывается</t>
  </si>
  <si>
    <t xml:space="preserve">Пациентов для включения</t>
  </si>
  <si>
    <t xml:space="preserve">Достаточно, чтобы после выбывания осталось нужное число оцениваемых пациентов: оцениваемые ÷ (1 − доля выбывания), с округлением вверх</t>
  </si>
  <si>
    <t xml:space="preserve">Пациентов для скрининга</t>
  </si>
  <si>
    <t xml:space="preserve">Включенные ÷ (1 − доля отсева при скрининге), с округлением вверх</t>
  </si>
  <si>
    <t xml:space="preserve">2   Длительность и даты</t>
  </si>
  <si>
    <t xml:space="preserve">Задержка от рисков</t>
  </si>
  <si>
    <t xml:space="preserve">Три рисковых события с листа «Исходные данные»: ноль, если риск не наступил; в базе их нет</t>
  </si>
  <si>
    <t xml:space="preserve">Ожидаемая задержка от рисков, рассчитанная точно</t>
  </si>
  <si>
    <t xml:space="preserve">Средние рисковых событий с листа «Исходные данные» (вероятность × средняя задержка): проверка моделирования</t>
  </si>
  <si>
    <t xml:space="preserve">Месяцев работы исследования</t>
  </si>
  <si>
    <t xml:space="preserve">От открытия первого центра до основных результатов</t>
  </si>
  <si>
    <t xml:space="preserve">Длительность от утверждения протокола до основных результатов</t>
  </si>
  <si>
    <t xml:space="preserve">Запуск + месяцы работы исследования</t>
  </si>
  <si>
    <t xml:space="preserve">Открытие первого центра</t>
  </si>
  <si>
    <t xml:space="preserve">Утверждение протокола + запуск</t>
  </si>
  <si>
    <t xml:space="preserve">Включение последнего пациента</t>
  </si>
  <si>
    <t xml:space="preserve">+ набор + задержки от рисков</t>
  </si>
  <si>
    <t xml:space="preserve">Последний визит последнего пациента</t>
  </si>
  <si>
    <t xml:space="preserve">+ лечение</t>
  </si>
  <si>
    <t xml:space="preserve">Основные результаты</t>
  </si>
  <si>
    <t xml:space="preserve">+ закрытие</t>
  </si>
  <si>
    <t xml:space="preserve">Запуск</t>
  </si>
  <si>
    <t xml:space="preserve">С листа «Исходные данные»</t>
  </si>
  <si>
    <t xml:space="preserve">Скрининг</t>
  </si>
  <si>
    <t xml:space="preserve">Пациенты в скрининге × стоимость на пациента в скрининге</t>
  </si>
  <si>
    <t xml:space="preserve">Пациенты</t>
  </si>
  <si>
    <t xml:space="preserve">Включенные пациенты × стоимость на включенного пациента</t>
  </si>
  <si>
    <t xml:space="preserve">Текущие затраты</t>
  </si>
  <si>
    <t xml:space="preserve">Месяцы работы исследования × текущие затраты в месяц: столько стоит каждый месяц задержки</t>
  </si>
  <si>
    <t xml:space="preserve">Общая стоимость</t>
  </si>
  <si>
    <t xml:space="preserve">Сумма затрат выше</t>
  </si>
  <si>
    <t xml:space="preserve">4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</si>
  <si>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</si>
  <si>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</si>
  <si>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</si>
  <si>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</si>
  <si>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Итог раздела 3.</t>
  </si>
  <si>
    <t xml:space="preserve">Записывается как дата.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</si>
  <si>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</si>
  <si>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</si>
  <si>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Включенных пациентов хватает на оцениваемых после выбывания</t>
  </si>
  <si>
    <t xml:space="preserve">Доли выбывания и отсева при скрининге остаются ниже 90%</t>
  </si>
  <si>
    <t xml:space="preserve">Каждая дата следует за предыдущей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</si>
  <si>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</si>
  <si>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Исследование</t>
  </si>
  <si>
    <t xml:space="preserve">1   Бюджет</t>
  </si>
  <si>
    <t xml:space="preserve">Общая стоимость — S-кривая</t>
  </si>
  <si>
    <t xml:space="preserve">P80 — стоимость, которая не будет превышена с вероятностью 80%.</t>
  </si>
  <si>
    <t xml:space="preserve">Показатель</t>
  </si>
  <si>
    <t xml:space="preserve">Базовая оценка  (наиболее вероятные значения, без рисков)</t>
  </si>
  <si>
    <t xml:space="preserve">Средняя общая стоимость</t>
  </si>
  <si>
    <t xml:space="preserve">Вероятность, что базовой оценки хватит</t>
  </si>
  <si>
    <t xml:space="preserve">Бюджет P80</t>
  </si>
  <si>
    <t xml:space="preserve">Резерв для бюджета P80</t>
  </si>
  <si>
    <t xml:space="preserve">Резерв в процентах от базовой оценки</t>
  </si>
  <si>
    <t xml:space="preserve">2   График</t>
  </si>
  <si>
    <t xml:space="preserve">Длительность — распределение</t>
  </si>
  <si>
    <t xml:space="preserve">От утверждения протокола до основных результатов.</t>
  </si>
  <si>
    <t xml:space="preserve">Плановая длительность  (наиболее вероятные значения, без рисков)</t>
  </si>
  <si>
    <t xml:space="preserve">Средняя длительность</t>
  </si>
  <si>
    <t xml:space="preserve">Вероятность уложиться в план</t>
  </si>
  <si>
    <t xml:space="preserve">Длительность с надежностью 80%  (P80)</t>
  </si>
  <si>
    <t xml:space="preserve">Резерв времени для надежности 80%</t>
  </si>
  <si>
    <t xml:space="preserve">Основные результаты по плану</t>
  </si>
  <si>
    <t xml:space="preserve">Основные результаты с надежностью 50%</t>
  </si>
  <si>
    <t xml:space="preserve">Основные результаты с надежностью 80%</t>
  </si>
  <si>
    <t xml:space="preserve">3   Другие уровни надежности</t>
  </si>
  <si>
    <t xml:space="preserve">Выберите уровень надежности и посмотрите бюджет и длительность.</t>
  </si>
  <si>
    <t>P50</t>
  </si>
  <si>
    <t>P90</t>
  </si>
  <si>
    <t xml:space="preserve">Длительность</t>
  </si>
  <si>
    <t xml:space="preserve">Ожидаемая задержка от рисков, рассчитанная точно  (проверка)</t>
  </si>
  <si>
    <t xml:space="preserve">4   Что определяет стоимость</t>
  </si>
  <si>
    <t xml:space="preserve">Что определяет общую стоимость  (млн долл.)</t>
  </si>
  <si>
    <t xml:space="preserve">Наименьшая и наибольшая средняя общая стоимость по десяти равным группам каждой величины (VoseSimSensitivityMean): верхние в списке стоит оценить тщательнее.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</si>
  <si>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</si>
  <si>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</si>
  <si>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</si>
  <si>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</si>
  <si>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5   Как читать результаты</t>
  </si>
  <si>
    <t xml:space="preserve">•  Базовая оценка — каждая оценка на наиболее вероятном значении и без рисков — 12,8 млн долл. и 28 месяцев. Ее хватает лишь примерно в одном случае из семи: большинство оценок может превыситься сильнее, чем оказаться ниже, а риски только добавляют задержку.</t>
  </si>
  <si>
    <t xml:space="preserve">•  Бюджета около 14,5 млн долл. хватит с вероятностью 80%: резерв около 1,8 млн долл., 14% базовой оценки. Среднее, около 13,8 млн долл., — столько такие исследования стоят в среднем.</t>
  </si>
  <si>
    <t xml:space="preserve">•  Основные результаты запланированы на май 2029 года, но август так же вероятен, как и нет (надежность 50%), а октябрь дает надежность 80%: графику нужен резерв около 5,6 месяца. Три риска в среднем добавляют около двух месяцев — 2,12 месяца при точном расчете, что подтверждает моделирование, — а приостановка исследования, хоть и редкая, растягивает правый хвост.</t>
  </si>
  <si>
    <t xml:space="preserve">•  Сильнее всего стоимость определяет стоимость на включенного пациента: договоритесь о ней или зафиксируйте ее за визит с центрами. Далее идут текущие затраты и все, что удлиняет исследование, — приостановка, более долгий набор, медленный набор, — потому что каждый месяц стоит около 180 000 долл.</t>
  </si>
  <si>
    <t xml:space="preserve">•  Набор здесь — одна трехточечная оценка. Его можно построить подробнее, по открытию центров и темпам набора: это самая частая причина задержек клинических исследований.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</si>
  <si>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</si>
  <si>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</si>
  <si>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</si>
  <si>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</si>
  <si>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TotalCost</t>
  </si>
  <si>
    <t>TrialMonths</t>
  </si>
  <si>
    <t xml:space="preserve">Общее среднее TotalCost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</si>
  <si>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</si>
  <si>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</si>
  <si>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</si>
  <si>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Процентили: TrialMonths</t>
  </si>
  <si>
    <t xml:space="preserve">Гистограмма: TrialMonths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</si>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</sst>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_);\(#,##0\);&quot;–&quot;_)"/>
    <numFmt numFmtId="166" formatCode="d\ mmm\ yyyy"/>
    <numFmt numFmtId="167" formatCode="#,##0.0_);\(#,##0.0\);&quot;–&quot;_)"/>
    <numFmt numFmtId="168" formatCode="#,##0.00_);\(#,##0.00\);&quot;–&quot;_)"/>
    <numFmt numFmtId="169" formatCode="#,##0.00_);\(#,##0.00\);&quot;–&quot;_);&quot;–&quot;"/>
    <numFmt numFmtId="170" formatCode="0.0%;\-0.0%;0.0%;&quot;–&quot;"/>
    <numFmt numFmtId="171" formatCode="#,##0.0_);\(#,##0.0\);&quot;–&quot;_);&quot;–&quot;"/>
    <numFmt numFmtId="172" formatCode="mmm\ yyyy"/>
    <numFmt numFmtId="173" formatCode="mmm\ yyyy;\-mmm\ yyyy;mmm\ yyyy;&quot;–&quot;"/>
    <numFmt numFmtId="174" formatCode="0;\-0;0;&quot;–&quot;"/>
    <numFmt numFmtId="175" formatCode="0.0%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4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9" fontId="2" fillId="3" borderId="7" xfId="2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67" fontId="2" fillId="3" borderId="7" xfId="2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8" fontId="2" fillId="3" borderId="7" xfId="2" applyNumberFormat="1" applyBorder="1">
      <alignment horizontal="right" vertical="center"/>
    </xf>
    <xf numFmtId="168" fontId="1" fillId="2" borderId="7" xfId="1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4" fontId="3" fillId="0" borderId="2" xfId="3" applyNumberFormat="1">
      <alignment horizontal="right" vertical="center"/>
    </xf>
    <xf numFmtId="167" fontId="3" fillId="0" borderId="2" xfId="3" applyNumberFormat="1">
      <alignment horizontal="right" vertical="center"/>
    </xf>
    <xf numFmtId="166" fontId="3" fillId="0" borderId="8" xfId="3" applyNumberFormat="1" applyBorder="1">
      <alignment horizontal="right" vertical="center"/>
    </xf>
    <xf numFmtId="166" fontId="3" fillId="0" borderId="2" xfId="3" applyNumberFormat="1">
      <alignment horizontal="right" vertical="center"/>
    </xf>
    <xf numFmtId="168" fontId="3" fillId="0" borderId="2" xfId="3" applyNumberForma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8" fontId="12" fillId="0" borderId="8" xfId="3" applyNumberFormat="1" applyFont="1" applyBorder="1">
      <alignment horizontal="right" vertical="center"/>
    </xf>
    <xf numFmtId="168" fontId="12" fillId="0" borderId="2" xfId="3" applyNumberFormat="1" applyFont="1">
      <alignment horizontal="right" vertical="center"/>
    </xf>
    <xf numFmtId="168" fontId="4" fillId="4" borderId="9" xfId="4" applyNumberFormat="1" applyBorder="1">
      <alignment horizontal="right" vertical="center"/>
    </xf>
    <xf numFmtId="167" fontId="4" fillId="4" borderId="9" xfId="4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20" fillId="0" borderId="6" xfId="0" applyFont="1" applyBorder="1" applyAlignment="1">
      <alignment horizontal="left" vertical="center" indent="1"/>
    </xf>
    <xf numFmtId="169" fontId="21" fillId="5" borderId="7" xfId="5" applyNumberFormat="1" applyFon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1" fontId="21" fillId="5" borderId="7" xfId="5" applyNumberFormat="1" applyFon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2" fontId="3" fillId="0" borderId="8" xfId="3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4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9" fontId="1" fillId="5" borderId="1" xfId="5" applyNumberFormat="1">
      <alignment horizontal="right" vertical="center"/>
    </xf>
    <xf numFmtId="0" fontId="20" fillId="0" borderId="0" xfId="0" applyFont="1" applyAlignment="1">
      <alignment horizontal="left" vertical="center" indent="1"/>
    </xf>
    <xf numFmtId="175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13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Общая стоимость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'Результаты'!$D$77:$D$126</c:f>
              <c:numCache>
                <c:formatCode>#,##0.00</c:formatCode>
                <c:ptCount val="50"/>
                <c:pt idx="0">
                  <c:v>11.904169704934871</c:v>
                </c:pt>
                <c:pt idx="1">
                  <c:v>12.198028728040756</c:v>
                </c:pt>
                <c:pt idx="2">
                  <c:v>12.368422530582926</c:v>
                </c:pt>
                <c:pt idx="3">
                  <c:v>12.486346803744954</c:v>
                </c:pt>
                <c:pt idx="4">
                  <c:v>12.594465153364082</c:v>
                </c:pt>
                <c:pt idx="5">
                  <c:v>12.675009649555896</c:v>
                </c:pt>
                <c:pt idx="6">
                  <c:v>12.757932931056217</c:v>
                </c:pt>
                <c:pt idx="7">
                  <c:v>12.829043885782093</c:v>
                </c:pt>
                <c:pt idx="8">
                  <c:v>12.890597021437822</c:v>
                </c:pt>
                <c:pt idx="9">
                  <c:v>12.947879803628332</c:v>
                </c:pt>
                <c:pt idx="10">
                  <c:v>13.008118154688443</c:v>
                </c:pt>
                <c:pt idx="11">
                  <c:v>13.061504223309328</c:v>
                </c:pt>
                <c:pt idx="12">
                  <c:v>13.114108233461479</c:v>
                </c:pt>
                <c:pt idx="13">
                  <c:v>13.169857758816415</c:v>
                </c:pt>
                <c:pt idx="14">
                  <c:v>13.216680354788558</c:v>
                </c:pt>
                <c:pt idx="15">
                  <c:v>13.266964058531446</c:v>
                </c:pt>
                <c:pt idx="16">
                  <c:v>13.318963878415403</c:v>
                </c:pt>
                <c:pt idx="17">
                  <c:v>13.376551938565509</c:v>
                </c:pt>
                <c:pt idx="18">
                  <c:v>13.419478704308963</c:v>
                </c:pt>
                <c:pt idx="19">
                  <c:v>13.468299636769697</c:v>
                </c:pt>
                <c:pt idx="20">
                  <c:v>13.515274153314792</c:v>
                </c:pt>
                <c:pt idx="21">
                  <c:v>13.557173864931874</c:v>
                </c:pt>
                <c:pt idx="22">
                  <c:v>13.600583620478206</c:v>
                </c:pt>
                <c:pt idx="23">
                  <c:v>13.640100666590833</c:v>
                </c:pt>
                <c:pt idx="24">
                  <c:v>13.6836633202333</c:v>
                </c:pt>
                <c:pt idx="25">
                  <c:v>13.730865160654524</c:v>
                </c:pt>
                <c:pt idx="26">
                  <c:v>13.776743962027677</c:v>
                </c:pt>
                <c:pt idx="27">
                  <c:v>13.818505864453408</c:v>
                </c:pt>
                <c:pt idx="28">
                  <c:v>13.868146390027782</c:v>
                </c:pt>
                <c:pt idx="29">
                  <c:v>13.918698826690704</c:v>
                </c:pt>
                <c:pt idx="30">
                  <c:v>13.974586758843387</c:v>
                </c:pt>
                <c:pt idx="31">
                  <c:v>14.020276017981022</c:v>
                </c:pt>
                <c:pt idx="32">
                  <c:v>14.074018492930024</c:v>
                </c:pt>
                <c:pt idx="33">
                  <c:v>14.12367853304815</c:v>
                </c:pt>
                <c:pt idx="34">
                  <c:v>14.176186190388474</c:v>
                </c:pt>
                <c:pt idx="35">
                  <c:v>14.239542309426293</c:v>
                </c:pt>
                <c:pt idx="36">
                  <c:v>14.298862913554567</c:v>
                </c:pt>
                <c:pt idx="37">
                  <c:v>14.36487775019485</c:v>
                </c:pt>
                <c:pt idx="38">
                  <c:v>14.4255456841769</c:v>
                </c:pt>
                <c:pt idx="39">
                  <c:v>14.496480636314811</c:v>
                </c:pt>
                <c:pt idx="40">
                  <c:v>14.568102887914456</c:v>
                </c:pt>
                <c:pt idx="41">
                  <c:v>14.649745331291966</c:v>
                </c:pt>
                <c:pt idx="42">
                  <c:v>14.725391412311836</c:v>
                </c:pt>
                <c:pt idx="43">
                  <c:v>14.822652553493679</c:v>
                </c:pt>
                <c:pt idx="44">
                  <c:v>14.928420750755194</c:v>
                </c:pt>
                <c:pt idx="45">
                  <c:v>15.048657780045705</c:v>
                </c:pt>
                <c:pt idx="46">
                  <c:v>15.174486407750347</c:v>
                </c:pt>
                <c:pt idx="47">
                  <c:v>15.342228119361152</c:v>
                </c:pt>
                <c:pt idx="48">
                  <c:v>15.609012247165627</c:v>
                </c:pt>
                <c:pt idx="49">
                  <c:v>16.099499167033088</c:v>
                </c:pt>
              </c:numCache>
            </c:numRef>
          </c:xVal>
          <c:yVal>
            <c:numRef>
              <c:f>'Результаты'!$B$77:$B$126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A3-4ADE-9BA1-CF5EDABAC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1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Общая стоимость (млн долл.)</a:t>
                </a:r>
              </a:p>
            </c:rich>
          </c:tx>
          <c:overlay val="0"/>
        </c:title>
        <c:numFmt formatCode="#,##0.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Длительность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'Результаты'!$E$248:$E$271</c:f>
              <c:numCache>
                <c:formatCode>#,##0.00</c:formatCode>
                <c:ptCount val="24"/>
                <c:pt idx="0">
                  <c:v>25.796271226315433</c:v>
                </c:pt>
                <c:pt idx="1">
                  <c:v>26.448578978308021</c:v>
                </c:pt>
                <c:pt idx="2">
                  <c:v>27.100886730300601</c:v>
                </c:pt>
                <c:pt idx="3">
                  <c:v>27.753194482293189</c:v>
                </c:pt>
                <c:pt idx="4">
                  <c:v>28.40550223428577</c:v>
                </c:pt>
                <c:pt idx="5">
                  <c:v>29.057809986278357</c:v>
                </c:pt>
                <c:pt idx="6">
                  <c:v>29.710117738270942</c:v>
                </c:pt>
                <c:pt idx="7">
                  <c:v>30.362425490263526</c:v>
                </c:pt>
                <c:pt idx="8">
                  <c:v>31.014733242256113</c:v>
                </c:pt>
                <c:pt idx="9">
                  <c:v>31.667040994248694</c:v>
                </c:pt>
                <c:pt idx="10">
                  <c:v>32.319348746241282</c:v>
                </c:pt>
                <c:pt idx="11">
                  <c:v>32.971656498233862</c:v>
                </c:pt>
                <c:pt idx="12">
                  <c:v>33.62396425022645</c:v>
                </c:pt>
                <c:pt idx="13">
                  <c:v>34.276272002219031</c:v>
                </c:pt>
                <c:pt idx="14">
                  <c:v>34.928579754211619</c:v>
                </c:pt>
                <c:pt idx="15">
                  <c:v>35.580887506204206</c:v>
                </c:pt>
                <c:pt idx="16">
                  <c:v>36.233195258196787</c:v>
                </c:pt>
                <c:pt idx="17">
                  <c:v>36.885503010189368</c:v>
                </c:pt>
                <c:pt idx="18">
                  <c:v>37.537810762181955</c:v>
                </c:pt>
                <c:pt idx="19">
                  <c:v>38.190118514174543</c:v>
                </c:pt>
                <c:pt idx="20">
                  <c:v>38.842426266167124</c:v>
                </c:pt>
                <c:pt idx="21">
                  <c:v>39.494734018159704</c:v>
                </c:pt>
                <c:pt idx="22">
                  <c:v>40.147041770152292</c:v>
                </c:pt>
                <c:pt idx="23">
                  <c:v>40.79934952214488</c:v>
                </c:pt>
              </c:numCache>
            </c:numRef>
          </c:cat>
          <c:val>
            <c:numRef>
              <c:f>'Результаты'!$F$248:$F$271</c:f>
              <c:numCache>
                <c:formatCode>0.0%</c:formatCode>
                <c:ptCount val="24"/>
                <c:pt idx="0">
                  <c:v>1.2904807671722165E-2</c:v>
                </c:pt>
                <c:pt idx="1">
                  <c:v>2.2221741397465425E-2</c:v>
                </c:pt>
                <c:pt idx="2">
                  <c:v>3.7295499299264227E-2</c:v>
                </c:pt>
                <c:pt idx="3">
                  <c:v>5.5247230410475384E-2</c:v>
                </c:pt>
                <c:pt idx="4">
                  <c:v>6.5896763326054486E-2</c:v>
                </c:pt>
                <c:pt idx="5">
                  <c:v>7.6193868416777166E-2</c:v>
                </c:pt>
                <c:pt idx="6">
                  <c:v>8.6516643004595994E-2</c:v>
                </c:pt>
                <c:pt idx="7">
                  <c:v>9.752797837419025E-2</c:v>
                </c:pt>
                <c:pt idx="8">
                  <c:v>9.1757538573748298E-2</c:v>
                </c:pt>
                <c:pt idx="9">
                  <c:v>8.287487797521198E-2</c:v>
                </c:pt>
                <c:pt idx="10">
                  <c:v>7.5028763038240687E-2</c:v>
                </c:pt>
                <c:pt idx="11">
                  <c:v>6.114430904981405E-2</c:v>
                </c:pt>
                <c:pt idx="12">
                  <c:v>5.7662850849597214E-2</c:v>
                </c:pt>
                <c:pt idx="13">
                  <c:v>4.1407760104166913E-2</c:v>
                </c:pt>
                <c:pt idx="14">
                  <c:v>3.7202447550655715E-2</c:v>
                </c:pt>
                <c:pt idx="15">
                  <c:v>2.5946675856009627E-2</c:v>
                </c:pt>
                <c:pt idx="16">
                  <c:v>1.8509890941650342E-2</c:v>
                </c:pt>
                <c:pt idx="17">
                  <c:v>1.3770846935855952E-2</c:v>
                </c:pt>
                <c:pt idx="18">
                  <c:v>9.3556452263722223E-3</c:v>
                </c:pt>
                <c:pt idx="19">
                  <c:v>7.2131269969187839E-3</c:v>
                </c:pt>
                <c:pt idx="20">
                  <c:v>4.4990830012268113E-3</c:v>
                </c:pt>
                <c:pt idx="21">
                  <c:v>4.4990830012269223E-3</c:v>
                </c:pt>
                <c:pt idx="22">
                  <c:v>2.729616030040849E-3</c:v>
                </c:pt>
                <c:pt idx="23">
                  <c:v>2.5929529687185315E-3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803-4429-9160-DFC27D861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Месяцы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'Результаты'!$B$130:$B$142</c:f>
              <c:strCache>
                <c:ptCount val="13"/>
                <c:pt idx="0">
                  <c:v>Стоимость на включенного пациента</c:v>
                </c:pt>
                <c:pt idx="1">
                  <c:v>Текущие затраты в месяц</c:v>
                </c:pt>
                <c:pt idx="2">
                  <c:v>Приостановка исследования: задержка</c:v>
                </c:pt>
                <c:pt idx="3">
                  <c:v>Период набора</c:v>
                </c:pt>
                <c:pt idx="4">
                  <c:v>Доля выбывания</c:v>
                </c:pt>
                <c:pt idx="5">
                  <c:v>Медленный набор: задержка</c:v>
                </c:pt>
                <c:pt idx="6">
                  <c:v>Поправка к протоколу: задержка</c:v>
                </c:pt>
                <c:pt idx="7">
                  <c:v>Препарат: поставки и логистика</c:v>
                </c:pt>
                <c:pt idx="8">
                  <c:v>Затраты на запуск</c:v>
                </c:pt>
                <c:pt idx="9">
                  <c:v>Период закрытия</c:v>
                </c:pt>
                <c:pt idx="10">
                  <c:v>Стоимость на пациента в скрининге</c:v>
                </c:pt>
                <c:pt idx="11">
                  <c:v>Доля отсева при скрининге</c:v>
                </c:pt>
                <c:pt idx="12">
                  <c:v>Период запуска</c:v>
                </c:pt>
              </c:strCache>
            </c:strRef>
          </c:cat>
          <c:val>
            <c:numRef>
              <c:f>'Результаты'!$F$130:$F$142</c:f>
              <c:numCache>
                <c:formatCode>#,##0.00_);\(#,##0.00\);"–"_)</c:formatCode>
                <c:ptCount val="13"/>
                <c:pt idx="0">
                  <c:v>1.103709658373349</c:v>
                </c:pt>
                <c:pt idx="1">
                  <c:v>0.68657178590741985</c:v>
                </c:pt>
                <c:pt idx="2">
                  <c:v>1.0036236434150592</c:v>
                </c:pt>
                <c:pt idx="3">
                  <c:v>0.49378084238076347</c:v>
                </c:pt>
                <c:pt idx="4">
                  <c:v>0.44660322309598577</c:v>
                </c:pt>
                <c:pt idx="5">
                  <c:v>0.49844142718046669</c:v>
                </c:pt>
                <c:pt idx="6">
                  <c:v>0.33929165078277101</c:v>
                </c:pt>
                <c:pt idx="7">
                  <c:v>0.28099383335825401</c:v>
                </c:pt>
                <c:pt idx="8">
                  <c:v>0.22878784546459485</c:v>
                </c:pt>
                <c:pt idx="9">
                  <c:v>0.22233558794211383</c:v>
                </c:pt>
                <c:pt idx="10">
                  <c:v>0.21933894265856679</c:v>
                </c:pt>
                <c:pt idx="11">
                  <c:v>0.13321798958549635</c:v>
                </c:pt>
                <c:pt idx="12">
                  <c:v>5.169394677668393E-2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0-44FC-8094-486FA1DD5CC4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'Результаты'!$B$130:$B$142</c:f>
              <c:strCache>
                <c:ptCount val="13"/>
                <c:pt idx="0">
                  <c:v>Стоимость на включенного пациента</c:v>
                </c:pt>
                <c:pt idx="1">
                  <c:v>Текущие затраты в месяц</c:v>
                </c:pt>
                <c:pt idx="2">
                  <c:v>Приостановка исследования: задержка</c:v>
                </c:pt>
                <c:pt idx="3">
                  <c:v>Период набора</c:v>
                </c:pt>
                <c:pt idx="4">
                  <c:v>Доля выбывания</c:v>
                </c:pt>
                <c:pt idx="5">
                  <c:v>Медленный набор: задержка</c:v>
                </c:pt>
                <c:pt idx="6">
                  <c:v>Поправка к протоколу: задержка</c:v>
                </c:pt>
                <c:pt idx="7">
                  <c:v>Препарат: поставки и логистика</c:v>
                </c:pt>
                <c:pt idx="8">
                  <c:v>Затраты на запуск</c:v>
                </c:pt>
                <c:pt idx="9">
                  <c:v>Период закрытия</c:v>
                </c:pt>
                <c:pt idx="10">
                  <c:v>Стоимость на пациента в скрининге</c:v>
                </c:pt>
                <c:pt idx="11">
                  <c:v>Доля отсева при скрининге</c:v>
                </c:pt>
                <c:pt idx="12">
                  <c:v>Период запуска</c:v>
                </c:pt>
              </c:strCache>
            </c:strRef>
          </c:cat>
          <c:val>
            <c:numRef>
              <c:f>'Результаты'!$G$130:$G$142</c:f>
              <c:numCache>
                <c:formatCode>#,##0.00_);\(#,##0.00\);"–"_)</c:formatCode>
                <c:ptCount val="13"/>
                <c:pt idx="0">
                  <c:v>-0.89847391452111403</c:v>
                </c:pt>
                <c:pt idx="1">
                  <c:v>-0.62419198717357993</c:v>
                </c:pt>
                <c:pt idx="2">
                  <c:v>-5.4493007523348069E-2</c:v>
                </c:pt>
                <c:pt idx="3">
                  <c:v>-0.36104855136316338</c:v>
                </c:pt>
                <c:pt idx="4">
                  <c:v>-0.37089538978775671</c:v>
                </c:pt>
                <c:pt idx="5">
                  <c:v>-0.16665035000811379</c:v>
                </c:pt>
                <c:pt idx="6">
                  <c:v>-0.1537873095233202</c:v>
                </c:pt>
                <c:pt idx="7">
                  <c:v>-0.1565736624421703</c:v>
                </c:pt>
                <c:pt idx="8">
                  <c:v>-0.19207305186010615</c:v>
                </c:pt>
                <c:pt idx="9">
                  <c:v>-0.14163128645013323</c:v>
                </c:pt>
                <c:pt idx="10">
                  <c:v>-0.13616076576489178</c:v>
                </c:pt>
                <c:pt idx="11">
                  <c:v>-0.1065247659660713</c:v>
                </c:pt>
                <c:pt idx="12">
                  <c:v>-2.8086152695642852E-2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0-44FC-8094-486FA1DD5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48</xdr:row>
      <xdr:rowOff>0</xdr:rowOff>
    </xdr:from>
    <xdr:ext cx="6263999" cy="3006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9" t="s">
        <v>20</v>
      </c>
      <c r="C16" s="80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ht="26.25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81" t="s">
        <v>90</v>
      </c>
      <c r="C73" s="80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Исследование'!A1" display="Исследование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30" customHeight="1" x14ac:dyDescent="0.45">
      <c r="B6" s="82" t="s">
        <v>94</v>
      </c>
      <c r="C6" s="80"/>
      <c r="D6" s="80"/>
      <c r="E6" s="80"/>
      <c r="F6" s="80"/>
      <c r="G6" s="80"/>
      <c r="H6" s="80"/>
      <c r="I6" s="80"/>
      <c r="J6" s="80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24" t="s">
        <v>101</v>
      </c>
      <c r="G10" s="24" t="s">
        <v>102</v>
      </c>
      <c r="H10" s="24" t="s">
        <v>103</v>
      </c>
      <c r="I10" s="24" t="s">
        <v>104</v>
      </c>
      <c r="J10" s="23" t="s">
        <v>105</v>
      </c>
    </row>
    <row r="11" spans="1:10" x14ac:dyDescent="0.45">
      <c r="B11" s="25" t="s">
        <v>106</v>
      </c>
      <c r="C11" s="26" t="s">
        <v>107</v>
      </c>
      <c r="D11" s="27">
        <v>180</v>
      </c>
      <c r="E11" s="26" t="s">
        <v>108</v>
      </c>
      <c r="F11" s="28"/>
      <c r="G11" s="28"/>
      <c r="H11" s="28"/>
      <c r="I11" s="28"/>
      <c r="J11" s="29" t="s">
        <v>109</v>
      </c>
    </row>
    <row r="12" spans="1:10" x14ac:dyDescent="0.45">
      <c r="B12" s="25" t="s">
        <v>110</v>
      </c>
      <c r="C12" s="26" t="s">
        <v>111</v>
      </c>
      <c r="D12" s="30" cm="1">
        <f t="array" aca="1" ref="D12" ca="1">_xll.VoseInput("Доля выбывания","от включенных пациентов")+_xll.VosePERT(F12,G12,H12)</f>
        <v>0.14997520483624888</v>
      </c>
      <c r="E12" s="26" t="s">
        <v>112</v>
      </c>
      <c r="F12" s="31">
        <v>0.1</v>
      </c>
      <c r="G12" s="31">
        <v>0.15</v>
      </c>
      <c r="H12" s="31">
        <v>0.25</v>
      </c>
      <c r="I12" s="32" cm="1">
        <f t="array" ref="I12">IF(AND(F12&lt;=G12,G12&lt;=H12,F12&lt;H12,F12&gt;=0,H12&lt;=1),_xll.VoseMean(_xll.VosePERTObject(F12,G12,H12)),"✗ диапазон")</f>
        <v>0.15833333333333333</v>
      </c>
      <c r="J12" s="29" t="s">
        <v>113</v>
      </c>
    </row>
    <row r="13" spans="1:10" x14ac:dyDescent="0.45">
      <c r="B13" s="25" t="s">
        <v>114</v>
      </c>
      <c r="C13" s="26" t="s">
        <v>115</v>
      </c>
      <c r="D13" s="30" cm="1">
        <f t="array" aca="1" ref="D13" ca="1">_xll.VoseInput("Доля отсева при скрининге","от пациентов в скрининге")+_xll.VosePERT(F13,G13,H13)</f>
        <v>0.26519864350486627</v>
      </c>
      <c r="E13" s="26" t="s">
        <v>112</v>
      </c>
      <c r="F13" s="31">
        <v>0.25</v>
      </c>
      <c r="G13" s="31">
        <v>0.35</v>
      </c>
      <c r="H13" s="31">
        <v>0.5</v>
      </c>
      <c r="I13" s="32" cm="1">
        <f t="array" ref="I13">IF(AND(F13&lt;=G13,G13&lt;=H13,F13&lt;H13,F13&gt;=0,H13&lt;=1),_xll.VoseMean(_xll.VosePERTObject(F13,G13,H13)),"✗ диапазон")</f>
        <v>0.35833333333333334</v>
      </c>
      <c r="J13" s="29" t="s">
        <v>116</v>
      </c>
    </row>
    <row r="14" spans="1:10" x14ac:dyDescent="0.45">
      <c r="B14" s="25" t="s">
        <v>117</v>
      </c>
      <c r="C14" s="26" t="s">
        <v>118</v>
      </c>
      <c r="D14" s="33">
        <v>46391</v>
      </c>
      <c r="E14" s="26" t="s">
        <v>108</v>
      </c>
      <c r="F14" s="28"/>
      <c r="G14" s="28"/>
      <c r="H14" s="28"/>
      <c r="I14" s="28"/>
      <c r="J14" s="29" t="s">
        <v>119</v>
      </c>
    </row>
    <row r="15" spans="1:10" x14ac:dyDescent="0.45">
      <c r="B15" s="25" t="s">
        <v>120</v>
      </c>
      <c r="C15" s="26" t="s">
        <v>121</v>
      </c>
      <c r="D15" s="34">
        <f>365.25/12</f>
        <v>30.4375</v>
      </c>
      <c r="E15" s="26" t="s">
        <v>122</v>
      </c>
      <c r="F15" s="28"/>
      <c r="G15" s="28"/>
      <c r="H15" s="28"/>
      <c r="I15" s="28"/>
      <c r="J15" s="29" t="s">
        <v>123</v>
      </c>
    </row>
    <row r="16" spans="1:10" ht="8" customHeight="1" x14ac:dyDescent="0.45"/>
    <row r="17" spans="2:10" ht="22.05" customHeight="1" x14ac:dyDescent="0.5">
      <c r="B17" s="7" t="s">
        <v>124</v>
      </c>
      <c r="C17" s="8"/>
      <c r="D17" s="8"/>
      <c r="E17" s="8"/>
      <c r="F17" s="8"/>
      <c r="G17" s="8"/>
      <c r="H17" s="8"/>
      <c r="I17" s="8"/>
      <c r="J17" s="8"/>
    </row>
    <row r="18" spans="2:10" ht="18" customHeight="1" x14ac:dyDescent="0.45">
      <c r="B18" s="13" t="s">
        <v>125</v>
      </c>
    </row>
    <row r="19" spans="2:10" ht="18" customHeight="1" x14ac:dyDescent="0.45">
      <c r="B19" s="23" t="s">
        <v>97</v>
      </c>
      <c r="C19" s="23" t="s">
        <v>98</v>
      </c>
      <c r="D19" s="24" t="s">
        <v>99</v>
      </c>
      <c r="E19" s="23" t="s">
        <v>100</v>
      </c>
      <c r="F19" s="24" t="s">
        <v>101</v>
      </c>
      <c r="G19" s="24" t="s">
        <v>102</v>
      </c>
      <c r="H19" s="24" t="s">
        <v>103</v>
      </c>
      <c r="I19" s="24" t="s">
        <v>104</v>
      </c>
      <c r="J19" s="23" t="s">
        <v>105</v>
      </c>
    </row>
    <row r="20" spans="2:10" x14ac:dyDescent="0.45">
      <c r="B20" s="25" t="s">
        <v>126</v>
      </c>
      <c r="C20" s="26" t="s">
        <v>127</v>
      </c>
      <c r="D20" s="35" cm="1">
        <f t="array" aca="1" ref="D20" ca="1">_xll.VoseInput("Период запуска","мес.")+_xll.VosePERT(F20,G20,H20)</f>
        <v>5.2514066055235489</v>
      </c>
      <c r="E20" s="26" t="s">
        <v>112</v>
      </c>
      <c r="F20" s="36">
        <v>4</v>
      </c>
      <c r="G20" s="36">
        <v>6</v>
      </c>
      <c r="H20" s="36">
        <v>10</v>
      </c>
      <c r="I20" s="37" cm="1">
        <f t="array" ref="I20">IF(AND(F20&lt;=G20,G20&lt;=H20,F20&lt;H20),_xll.VoseMean(_xll.VosePERTObject(F20,G20,H20)),"✗ диапазон")</f>
        <v>6.333333333333333</v>
      </c>
      <c r="J20" s="29" t="s">
        <v>128</v>
      </c>
    </row>
    <row r="21" spans="2:10" x14ac:dyDescent="0.45">
      <c r="B21" s="25" t="s">
        <v>129</v>
      </c>
      <c r="C21" s="26" t="s">
        <v>127</v>
      </c>
      <c r="D21" s="35" cm="1">
        <f t="array" aca="1" ref="D21" ca="1">_xll.VoseInput("Период набора","мес.")+_xll.VosePERT(F21,G21,H21)</f>
        <v>11.175637644879593</v>
      </c>
      <c r="E21" s="26" t="s">
        <v>112</v>
      </c>
      <c r="F21" s="36">
        <v>10</v>
      </c>
      <c r="G21" s="36">
        <v>12</v>
      </c>
      <c r="H21" s="36">
        <v>18</v>
      </c>
      <c r="I21" s="37" cm="1">
        <f t="array" ref="I21">IF(AND(F21&lt;=G21,G21&lt;=H21,F21&lt;H21),_xll.VoseMean(_xll.VosePERTObject(F21,G21,H21)),"✗ диапазон")</f>
        <v>12.666666666666666</v>
      </c>
      <c r="J21" s="29" t="s">
        <v>130</v>
      </c>
    </row>
    <row r="22" spans="2:10" x14ac:dyDescent="0.45">
      <c r="B22" s="25" t="s">
        <v>131</v>
      </c>
      <c r="C22" s="26" t="s">
        <v>127</v>
      </c>
      <c r="D22" s="27">
        <v>6</v>
      </c>
      <c r="E22" s="26" t="s">
        <v>108</v>
      </c>
      <c r="F22" s="28"/>
      <c r="G22" s="28"/>
      <c r="H22" s="28"/>
      <c r="I22" s="28"/>
      <c r="J22" s="29" t="s">
        <v>132</v>
      </c>
    </row>
    <row r="23" spans="2:10" x14ac:dyDescent="0.45">
      <c r="B23" s="25" t="s">
        <v>133</v>
      </c>
      <c r="C23" s="26" t="s">
        <v>127</v>
      </c>
      <c r="D23" s="35" cm="1">
        <f t="array" aca="1" ref="D23" ca="1">_xll.VoseInput("Период закрытия","мес.")+_xll.VosePERT(F23,G23,H23)</f>
        <v>3.4733696974675174</v>
      </c>
      <c r="E23" s="26" t="s">
        <v>112</v>
      </c>
      <c r="F23" s="36">
        <v>3</v>
      </c>
      <c r="G23" s="36">
        <v>4</v>
      </c>
      <c r="H23" s="36">
        <v>6</v>
      </c>
      <c r="I23" s="37" cm="1">
        <f t="array" ref="I23">IF(AND(F23&lt;=G23,G23&lt;=H23,F23&lt;H23),_xll.VoseMean(_xll.VosePERTObject(F23,G23,H23)),"✗ диапазон")</f>
        <v>4.166666666666667</v>
      </c>
      <c r="J23" s="29"/>
    </row>
    <row r="24" spans="2:10" ht="8" customHeight="1" x14ac:dyDescent="0.45"/>
    <row r="25" spans="2:10" ht="22.05" customHeight="1" x14ac:dyDescent="0.5">
      <c r="B25" s="7" t="s">
        <v>134</v>
      </c>
      <c r="C25" s="8"/>
      <c r="D25" s="8"/>
      <c r="E25" s="8"/>
      <c r="F25" s="8"/>
      <c r="G25" s="8"/>
      <c r="H25" s="8"/>
      <c r="I25" s="8"/>
      <c r="J25" s="8"/>
    </row>
    <row r="26" spans="2:10" ht="18" customHeight="1" x14ac:dyDescent="0.45">
      <c r="B26" s="23" t="s">
        <v>97</v>
      </c>
      <c r="C26" s="23" t="s">
        <v>98</v>
      </c>
      <c r="D26" s="24" t="s">
        <v>99</v>
      </c>
      <c r="E26" s="23" t="s">
        <v>100</v>
      </c>
      <c r="F26" s="24" t="s">
        <v>101</v>
      </c>
      <c r="G26" s="24" t="s">
        <v>102</v>
      </c>
      <c r="H26" s="24" t="s">
        <v>103</v>
      </c>
      <c r="I26" s="24" t="s">
        <v>104</v>
      </c>
      <c r="J26" s="23" t="s">
        <v>105</v>
      </c>
    </row>
    <row r="27" spans="2:10" x14ac:dyDescent="0.45">
      <c r="B27" s="25" t="s">
        <v>135</v>
      </c>
      <c r="C27" s="26" t="s">
        <v>136</v>
      </c>
      <c r="D27" s="38" cm="1">
        <f t="array" aca="1" ref="D27" ca="1">_xll.VoseInput("Затраты на запуск","млн долл.")+_xll.VosePERT(F27,G27,H27)</f>
        <v>0.6532372165672834</v>
      </c>
      <c r="E27" s="26" t="s">
        <v>112</v>
      </c>
      <c r="F27" s="39">
        <v>0.6</v>
      </c>
      <c r="G27" s="39">
        <v>0.8</v>
      </c>
      <c r="H27" s="39">
        <v>1.2</v>
      </c>
      <c r="I27" s="40" cm="1">
        <f t="array" ref="I27">IF(AND(F27&lt;=G27,G27&lt;=H27,F27&lt;H27),_xll.VoseMean(_xll.VosePERTObject(F27,G27,H27)),"✗ диапазон")</f>
        <v>0.83333333333333337</v>
      </c>
      <c r="J27" s="29"/>
    </row>
    <row r="28" spans="2:10" x14ac:dyDescent="0.45">
      <c r="B28" s="25" t="s">
        <v>137</v>
      </c>
      <c r="C28" s="26" t="s">
        <v>138</v>
      </c>
      <c r="D28" s="35" cm="1">
        <f t="array" aca="1" ref="D28" ca="1">_xll.VoseInput("Стоимость на пациента в скрининге","тыс. долл.")+_xll.VosePERT(F28,G28,H28)</f>
        <v>1.895381465120463</v>
      </c>
      <c r="E28" s="26" t="s">
        <v>112</v>
      </c>
      <c r="F28" s="36">
        <v>1.5</v>
      </c>
      <c r="G28" s="36">
        <v>2</v>
      </c>
      <c r="H28" s="36">
        <v>3</v>
      </c>
      <c r="I28" s="37" cm="1">
        <f t="array" ref="I28">IF(AND(F28&lt;=G28,G28&lt;=H28,F28&lt;H28),_xll.VoseMean(_xll.VosePERTObject(F28,G28,H28)),"✗ диапазон")</f>
        <v>2.0833333333333335</v>
      </c>
      <c r="J28" s="29" t="s">
        <v>139</v>
      </c>
    </row>
    <row r="29" spans="2:10" x14ac:dyDescent="0.45">
      <c r="B29" s="25" t="s">
        <v>140</v>
      </c>
      <c r="C29" s="26" t="s">
        <v>138</v>
      </c>
      <c r="D29" s="35" cm="1">
        <f t="array" aca="1" ref="D29" ca="1">_xll.VoseInput("Стоимость на включенного пациента","тыс. долл.")+_xll.VosePERT(F29,G29,H29)</f>
        <v>36.103204970706564</v>
      </c>
      <c r="E29" s="26" t="s">
        <v>112</v>
      </c>
      <c r="F29" s="36">
        <v>25</v>
      </c>
      <c r="G29" s="36">
        <v>30</v>
      </c>
      <c r="H29" s="36">
        <v>40</v>
      </c>
      <c r="I29" s="37" cm="1">
        <f t="array" ref="I29">IF(AND(F29&lt;=G29,G29&lt;=H29,F29&lt;H29),_xll.VoseMean(_xll.VosePERTObject(F29,G29,H29)),"✗ диапазон")</f>
        <v>30.833333333333332</v>
      </c>
      <c r="J29" s="29" t="s">
        <v>141</v>
      </c>
    </row>
    <row r="30" spans="2:10" x14ac:dyDescent="0.45">
      <c r="B30" s="25" t="s">
        <v>142</v>
      </c>
      <c r="C30" s="26" t="s">
        <v>136</v>
      </c>
      <c r="D30" s="38" cm="1">
        <f t="array" aca="1" ref="D30" ca="1">_xll.VoseInput("Препарат: поставки и логистика","млн долл.")+_xll.VosePERT(F30,G30,H30)</f>
        <v>0.90938466815679542</v>
      </c>
      <c r="E30" s="26" t="s">
        <v>112</v>
      </c>
      <c r="F30" s="39">
        <v>0.8</v>
      </c>
      <c r="G30" s="39">
        <v>1</v>
      </c>
      <c r="H30" s="39">
        <v>1.5</v>
      </c>
      <c r="I30" s="40" cm="1">
        <f t="array" ref="I30">IF(AND(F30&lt;=G30,G30&lt;=H30,F30&lt;H30),_xll.VoseMean(_xll.VosePERTObject(F30,G30,H30)),"✗ диапазон")</f>
        <v>1.05</v>
      </c>
      <c r="J30" s="29" t="s">
        <v>143</v>
      </c>
    </row>
    <row r="31" spans="2:10" ht="23.25" x14ac:dyDescent="0.45">
      <c r="B31" s="25" t="s">
        <v>144</v>
      </c>
      <c r="C31" s="26" t="s">
        <v>145</v>
      </c>
      <c r="D31" s="41" cm="1">
        <f t="array" aca="1" ref="D31" ca="1">_xll.VoseInput("Текущие затраты в месяц","тыс. долл. в месяц")+_xll.VosePERT(F31,G31,H31)</f>
        <v>187.48861317562273</v>
      </c>
      <c r="E31" s="26" t="s">
        <v>112</v>
      </c>
      <c r="F31" s="27">
        <v>150</v>
      </c>
      <c r="G31" s="27">
        <v>180</v>
      </c>
      <c r="H31" s="27">
        <v>230</v>
      </c>
      <c r="I31" s="42" cm="1">
        <f t="array" ref="I31">IF(AND(F31&lt;=G31,G31&lt;=H31,F31&lt;H31),_xll.VoseMean(_xll.VosePERTObject(F31,G31,H31)),"✗ диапазон")</f>
        <v>183.33333333333334</v>
      </c>
      <c r="J31" s="29" t="s">
        <v>146</v>
      </c>
    </row>
    <row r="32" spans="2:10" ht="8" customHeight="1" x14ac:dyDescent="0.45"/>
    <row r="33" spans="2:10" ht="22.05" customHeight="1" x14ac:dyDescent="0.5">
      <c r="B33" s="7" t="s">
        <v>147</v>
      </c>
      <c r="C33" s="8"/>
      <c r="D33" s="8"/>
      <c r="E33" s="8"/>
      <c r="F33" s="8"/>
      <c r="G33" s="8"/>
      <c r="H33" s="8"/>
      <c r="I33" s="8"/>
      <c r="J33" s="8"/>
    </row>
    <row r="34" spans="2:10" ht="18" customHeight="1" x14ac:dyDescent="0.45">
      <c r="B34" s="13" t="s">
        <v>148</v>
      </c>
    </row>
    <row r="35" spans="2:10" ht="18" customHeight="1" x14ac:dyDescent="0.45">
      <c r="B35" s="23" t="s">
        <v>97</v>
      </c>
      <c r="C35" s="23" t="s">
        <v>98</v>
      </c>
      <c r="D35" s="24" t="s">
        <v>99</v>
      </c>
      <c r="E35" s="23" t="s">
        <v>100</v>
      </c>
      <c r="F35" s="24" t="s">
        <v>101</v>
      </c>
      <c r="G35" s="24" t="s">
        <v>102</v>
      </c>
      <c r="H35" s="24" t="s">
        <v>103</v>
      </c>
      <c r="I35" s="24" t="s">
        <v>104</v>
      </c>
      <c r="J35" s="23" t="s">
        <v>105</v>
      </c>
    </row>
    <row r="36" spans="2:10" x14ac:dyDescent="0.45">
      <c r="B36" s="25" t="s">
        <v>149</v>
      </c>
      <c r="C36" s="26" t="s">
        <v>150</v>
      </c>
      <c r="D36" s="31">
        <v>0.4</v>
      </c>
      <c r="E36" s="26" t="s">
        <v>108</v>
      </c>
      <c r="F36" s="28"/>
      <c r="G36" s="28"/>
      <c r="H36" s="28"/>
      <c r="I36" s="28"/>
      <c r="J36" s="29" t="s">
        <v>151</v>
      </c>
    </row>
    <row r="37" spans="2:10" x14ac:dyDescent="0.45">
      <c r="B37" s="25" t="s">
        <v>152</v>
      </c>
      <c r="C37" s="26" t="s">
        <v>127</v>
      </c>
      <c r="D37" s="35" cm="1">
        <f t="array" aca="1" ref="D37" ca="1">_xll.VoseInput("Поправка к протоколу: задержка","мес.")+_xll.VoseRiskEvent(P_Amend,_xll.VosePERTObject(F37,G37,H37))</f>
        <v>0</v>
      </c>
      <c r="E37" s="26" t="s">
        <v>153</v>
      </c>
      <c r="F37" s="36">
        <v>1</v>
      </c>
      <c r="G37" s="36">
        <v>2</v>
      </c>
      <c r="H37" s="36">
        <v>4</v>
      </c>
      <c r="I37" s="37" cm="1">
        <f t="array" ref="I37">IF(AND(F37&lt;=G37,G37&lt;=H37,F37&lt;H37),_xll.VoseMean(_xll.VoseRiskEventObject(P_Amend,_xll.VosePERTObject(F37,G37,H37))),"✗ диапазон")</f>
        <v>0.8666666666666667</v>
      </c>
      <c r="J37" s="29" t="s">
        <v>154</v>
      </c>
    </row>
    <row r="38" spans="2:10" x14ac:dyDescent="0.45">
      <c r="B38" s="25" t="s">
        <v>155</v>
      </c>
      <c r="C38" s="26" t="s">
        <v>150</v>
      </c>
      <c r="D38" s="31">
        <v>0.3</v>
      </c>
      <c r="E38" s="26" t="s">
        <v>108</v>
      </c>
      <c r="F38" s="28"/>
      <c r="G38" s="28"/>
      <c r="H38" s="28"/>
      <c r="I38" s="28"/>
      <c r="J38" s="29"/>
    </row>
    <row r="39" spans="2:10" x14ac:dyDescent="0.45">
      <c r="B39" s="25" t="s">
        <v>156</v>
      </c>
      <c r="C39" s="26" t="s">
        <v>127</v>
      </c>
      <c r="D39" s="35" cm="1">
        <f t="array" aca="1" ref="D39" ca="1">_xll.VoseInput("Медленный набор: задержка","мес.")+_xll.VoseRiskEvent(P_Slow,_xll.VosePERTObject(F39,G39,H39))</f>
        <v>0</v>
      </c>
      <c r="E39" s="26" t="s">
        <v>153</v>
      </c>
      <c r="F39" s="36">
        <v>2</v>
      </c>
      <c r="G39" s="36">
        <v>3</v>
      </c>
      <c r="H39" s="36">
        <v>5</v>
      </c>
      <c r="I39" s="37" cm="1">
        <f t="array" ref="I39">IF(AND(F39&lt;=G39,G39&lt;=H39,F39&lt;H39),_xll.VoseMean(_xll.VoseRiskEventObject(P_Slow,_xll.VosePERTObject(F39,G39,H39))),"✗ диапазон")</f>
        <v>0.95</v>
      </c>
      <c r="J39" s="29" t="s">
        <v>157</v>
      </c>
    </row>
    <row r="40" spans="2:10" x14ac:dyDescent="0.45">
      <c r="B40" s="25" t="s">
        <v>158</v>
      </c>
      <c r="C40" s="26" t="s">
        <v>150</v>
      </c>
      <c r="D40" s="31">
        <v>0.05</v>
      </c>
      <c r="E40" s="26" t="s">
        <v>108</v>
      </c>
      <c r="F40" s="28"/>
      <c r="G40" s="28"/>
      <c r="H40" s="28"/>
      <c r="I40" s="28"/>
      <c r="J40" s="29" t="s">
        <v>159</v>
      </c>
    </row>
    <row r="41" spans="2:10" x14ac:dyDescent="0.45">
      <c r="B41" s="25" t="s">
        <v>160</v>
      </c>
      <c r="C41" s="26" t="s">
        <v>127</v>
      </c>
      <c r="D41" s="35" cm="1">
        <f t="array" aca="1" ref="D41" ca="1">_xll.VoseInput("Приостановка исследования: задержка","мес.")+_xll.VoseRiskEvent(P_Hold,_xll.VosePERTObject(F41,G41,H41))</f>
        <v>0</v>
      </c>
      <c r="E41" s="26" t="s">
        <v>153</v>
      </c>
      <c r="F41" s="36">
        <v>3</v>
      </c>
      <c r="G41" s="36">
        <v>6</v>
      </c>
      <c r="H41" s="36">
        <v>9</v>
      </c>
      <c r="I41" s="37" cm="1">
        <f t="array" ref="I41">IF(AND(F41&lt;=G41,G41&lt;=H41,F41&lt;H41),_xll.VoseMean(_xll.VoseRiskEventObject(P_Hold,_xll.VosePERTObject(F41,G41,H41))),"✗ диапазон")</f>
        <v>0.30000000000000004</v>
      </c>
      <c r="J41" s="29"/>
    </row>
    <row r="42" spans="2:10" ht="8" customHeight="1" x14ac:dyDescent="0.45"/>
  </sheetData>
  <mergeCells count="1">
    <mergeCell ref="B6:J6"/>
  </mergeCells>
  <conditionalFormatting sqref="I12:I13">
    <cfRule type="expression" dxfId="12" priority="1">
      <formula>LEFT($I12,1)="✗"</formula>
    </cfRule>
  </conditionalFormatting>
  <conditionalFormatting sqref="I20:I21">
    <cfRule type="expression" dxfId="11" priority="3">
      <formula>LEFT($I20,1)="✗"</formula>
    </cfRule>
  </conditionalFormatting>
  <conditionalFormatting sqref="I23">
    <cfRule type="expression" dxfId="10" priority="5">
      <formula>LEFT($I23,1)="✗"</formula>
    </cfRule>
  </conditionalFormatting>
  <conditionalFormatting sqref="I27:I31">
    <cfRule type="expression" dxfId="9" priority="6">
      <formula>LEFT($I27,1)="✗"</formula>
    </cfRule>
  </conditionalFormatting>
  <conditionalFormatting sqref="I37">
    <cfRule type="expression" dxfId="8" priority="11">
      <formula>LEFT($I37,1)="✗"</formula>
    </cfRule>
  </conditionalFormatting>
  <conditionalFormatting sqref="I39">
    <cfRule type="expression" dxfId="7" priority="12">
      <formula>LEFT($I39,1)="✗"</formula>
    </cfRule>
  </conditionalFormatting>
  <conditionalFormatting sqref="I41">
    <cfRule type="expression" dxfId="6" priority="13">
      <formula>LEFT($I41,1)="✗"</formula>
    </cfRule>
  </conditionalFormatting>
  <dataValidations count="4">
    <dataValidation type="decimal" operator="greaterThan" showErrorMessage="1" errorTitle="Положительное значение" error="Введите значение больше нуля." sqref="D11 D22" xr:uid="{00000000-0002-0000-0100-000000000000}">
      <formula1>0</formula1>
    </dataValidation>
    <dataValidation type="custom" showErrorMessage="1" errorTitle="Диапазон PERT" error="Мин. должно быть меньше макс., наиболее вероятное — между ними, все — от 0% до 100%." sqref="F12:H13" xr:uid="{00000000-0002-0000-0100-000001000000}">
      <formula1>AND($F12&lt;=$G12,$G12&lt;=$H12,$F12&lt;$H12,$F12&gt;=0,$H12&lt;=1)</formula1>
    </dataValidation>
    <dataValidation type="custom" showErrorMessage="1" errorTitle="Диапазон PERT" error="Мин. должно быть меньше макс., наиболее вероятное — между ними." sqref="F41:H41 F39:H39 F37:H37 F27:H31 F23:H23 F20:H21" xr:uid="{00000000-0002-0000-0100-000003000000}">
      <formula1>AND($F20&lt;=$G20,$G20&lt;=$H20,$F20&lt;$H20)</formula1>
    </dataValidation>
    <dataValidation type="decimal" showErrorMessage="1" errorTitle="Вероятность" error="Введите значение от 0% до 100%." sqref="D36 D40 D38" xr:uid="{00000000-0002-0000-0100-00000C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Исследование'!A1" display="Далее:  Исследование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F45"/>
  <sheetViews>
    <sheetView showGridLines="0" workbookViewId="0"/>
  </sheetViews>
  <sheetFormatPr defaultRowHeight="14.25" x14ac:dyDescent="0.45"/>
  <cols>
    <col min="1" max="1" width="2" customWidth="1"/>
    <col min="2" max="2" width="50" customWidth="1"/>
    <col min="3" max="3" width="14" customWidth="1"/>
    <col min="4" max="5" width="13" customWidth="1"/>
    <col min="6" max="6" width="80" customWidth="1"/>
  </cols>
  <sheetData>
    <row r="1" spans="1:6" ht="6" customHeight="1" x14ac:dyDescent="0.45"/>
    <row r="2" spans="1:6" ht="30" customHeight="1" x14ac:dyDescent="0.45">
      <c r="A2" s="1"/>
      <c r="B2" s="21" t="s">
        <v>0</v>
      </c>
      <c r="C2" s="1"/>
      <c r="D2" s="1"/>
      <c r="E2" s="1"/>
      <c r="F2" s="3" t="s">
        <v>1</v>
      </c>
    </row>
    <row r="3" spans="1:6" ht="20" customHeight="1" x14ac:dyDescent="0.45">
      <c r="A3" s="1"/>
      <c r="B3" s="4" t="s">
        <v>161</v>
      </c>
      <c r="C3" s="1"/>
      <c r="D3" s="1"/>
      <c r="E3" s="1"/>
      <c r="F3" s="1"/>
    </row>
    <row r="4" spans="1:6" ht="20" customHeight="1" x14ac:dyDescent="0.45">
      <c r="A4" s="5"/>
      <c r="B4" s="22" t="s">
        <v>162</v>
      </c>
      <c r="C4" s="5"/>
      <c r="D4" s="5"/>
      <c r="E4" s="5"/>
      <c r="F4" s="6" t="s">
        <v>163</v>
      </c>
    </row>
    <row r="5" spans="1:6" ht="8" customHeight="1" x14ac:dyDescent="0.45"/>
    <row r="6" spans="1:6" ht="22.05" customHeight="1" x14ac:dyDescent="0.5">
      <c r="B6" s="7" t="s">
        <v>164</v>
      </c>
      <c r="C6" s="8"/>
      <c r="D6" s="8"/>
      <c r="E6" s="8"/>
      <c r="F6" s="8"/>
    </row>
    <row r="7" spans="1:6" ht="18" customHeight="1" x14ac:dyDescent="0.45">
      <c r="B7" s="13" t="s">
        <v>165</v>
      </c>
    </row>
    <row r="8" spans="1:6" ht="18" customHeight="1" x14ac:dyDescent="0.45">
      <c r="B8" s="43" t="s">
        <v>166</v>
      </c>
      <c r="C8" s="43" t="s">
        <v>98</v>
      </c>
      <c r="D8" s="44" t="s">
        <v>167</v>
      </c>
      <c r="E8" s="44" t="s">
        <v>168</v>
      </c>
      <c r="F8" s="43" t="s">
        <v>169</v>
      </c>
    </row>
    <row r="9" spans="1:6" x14ac:dyDescent="0.45">
      <c r="B9" s="25" t="s">
        <v>170</v>
      </c>
      <c r="C9" s="26" t="s">
        <v>107</v>
      </c>
      <c r="D9" s="42">
        <f ca="1">ROUNDUP(Evaluable/(1-Dropout),0)</f>
        <v>212</v>
      </c>
      <c r="E9" s="45">
        <f>ROUNDUP(Evaluable/(1-Dropout_ML),0)</f>
        <v>212</v>
      </c>
      <c r="F9" s="26" t="s">
        <v>171</v>
      </c>
    </row>
    <row r="10" spans="1:6" x14ac:dyDescent="0.45">
      <c r="B10" s="25" t="s">
        <v>172</v>
      </c>
      <c r="C10" s="26" t="s">
        <v>107</v>
      </c>
      <c r="D10" s="42">
        <f ca="1">ROUNDUP(Enrolled/(1-ScreenFail),0)</f>
        <v>289</v>
      </c>
      <c r="E10" s="45">
        <f>ROUNDUP(EnrolledBase/(1-ScreenFail_ML),0)</f>
        <v>327</v>
      </c>
      <c r="F10" s="26" t="s">
        <v>173</v>
      </c>
    </row>
    <row r="11" spans="1:6" ht="8" customHeight="1" x14ac:dyDescent="0.45"/>
    <row r="12" spans="1:6" ht="22.05" customHeight="1" x14ac:dyDescent="0.5">
      <c r="B12" s="7" t="s">
        <v>174</v>
      </c>
      <c r="C12" s="8"/>
      <c r="D12" s="8"/>
      <c r="E12" s="8"/>
      <c r="F12" s="8"/>
    </row>
    <row r="13" spans="1:6" ht="18" customHeight="1" x14ac:dyDescent="0.45">
      <c r="B13" s="43" t="s">
        <v>166</v>
      </c>
      <c r="C13" s="43" t="s">
        <v>98</v>
      </c>
      <c r="D13" s="44" t="s">
        <v>167</v>
      </c>
      <c r="E13" s="44" t="s">
        <v>168</v>
      </c>
      <c r="F13" s="43" t="s">
        <v>169</v>
      </c>
    </row>
    <row r="14" spans="1:6" x14ac:dyDescent="0.45">
      <c r="B14" s="25" t="s">
        <v>175</v>
      </c>
      <c r="C14" s="26" t="s">
        <v>127</v>
      </c>
      <c r="D14" s="37">
        <f ca="1">D_Amend+D_Slow+D_Hold</f>
        <v>0</v>
      </c>
      <c r="E14" s="46">
        <v>0</v>
      </c>
      <c r="F14" s="26" t="s">
        <v>176</v>
      </c>
    </row>
    <row r="15" spans="1:6" x14ac:dyDescent="0.45">
      <c r="B15" s="25" t="s">
        <v>177</v>
      </c>
      <c r="C15" s="26" t="s">
        <v>127</v>
      </c>
      <c r="D15" s="40">
        <f>D_Amend_Mean+D_Slow_Mean+D_Hold_Mean</f>
        <v>2.1166666666666667</v>
      </c>
      <c r="E15" s="28"/>
      <c r="F15" s="26" t="s">
        <v>178</v>
      </c>
    </row>
    <row r="16" spans="1:6" x14ac:dyDescent="0.45">
      <c r="B16" s="25" t="s">
        <v>179</v>
      </c>
      <c r="C16" s="26" t="s">
        <v>127</v>
      </c>
      <c r="D16" s="37">
        <f ca="1">Enrol+Delays+Treat+CloseOut</f>
        <v>20.649007342347112</v>
      </c>
      <c r="E16" s="46">
        <f>Enrol_ML+DelaysBase+Treat+CloseOut_ML</f>
        <v>22</v>
      </c>
      <c r="F16" s="26" t="s">
        <v>180</v>
      </c>
    </row>
    <row r="17" spans="2:6" x14ac:dyDescent="0.45">
      <c r="B17" s="25" t="s">
        <v>181</v>
      </c>
      <c r="C17" s="26" t="s">
        <v>127</v>
      </c>
      <c r="D17" s="37">
        <f ca="1">StartUp+RunMonths</f>
        <v>25.900413947870661</v>
      </c>
      <c r="E17" s="46">
        <f>StartUp_ML+RunMonthsBase</f>
        <v>28</v>
      </c>
      <c r="F17" s="26" t="s">
        <v>182</v>
      </c>
    </row>
    <row r="18" spans="2:6" x14ac:dyDescent="0.45">
      <c r="B18" s="25" t="s">
        <v>183</v>
      </c>
      <c r="C18" s="26" t="s">
        <v>118</v>
      </c>
      <c r="D18" s="47">
        <f ca="1">StartDate+StartUp*DaysPerMonth</f>
        <v>46550.839688555621</v>
      </c>
      <c r="E18" s="48">
        <f>StartDate+StartUp_ML*DaysPerMonth</f>
        <v>46573.625</v>
      </c>
      <c r="F18" s="26" t="s">
        <v>184</v>
      </c>
    </row>
    <row r="19" spans="2:6" x14ac:dyDescent="0.45">
      <c r="B19" s="25" t="s">
        <v>185</v>
      </c>
      <c r="C19" s="26" t="s">
        <v>118</v>
      </c>
      <c r="D19" s="47">
        <f ca="1">FirstSite+(Enrol+Delays)*DaysPerMonth</f>
        <v>46890.998159371644</v>
      </c>
      <c r="E19" s="48">
        <f>FirstSiteBase+(Enrol_ML+DelaysBase)*DaysPerMonth</f>
        <v>46938.875</v>
      </c>
      <c r="F19" s="26" t="s">
        <v>186</v>
      </c>
    </row>
    <row r="20" spans="2:6" x14ac:dyDescent="0.45">
      <c r="B20" s="25" t="s">
        <v>187</v>
      </c>
      <c r="C20" s="26" t="s">
        <v>118</v>
      </c>
      <c r="D20" s="47">
        <f ca="1">LastIn+Treat*DaysPerMonth</f>
        <v>47073.623159371644</v>
      </c>
      <c r="E20" s="48">
        <f>LastInBase+Treat*DaysPerMonth</f>
        <v>47121.5</v>
      </c>
      <c r="F20" s="26" t="s">
        <v>188</v>
      </c>
    </row>
    <row r="21" spans="2:6" x14ac:dyDescent="0.45">
      <c r="B21" s="25" t="s">
        <v>189</v>
      </c>
      <c r="C21" s="26" t="s">
        <v>118</v>
      </c>
      <c r="D21" s="47">
        <f ca="1">LastOut+CloseOut*DaysPerMonth</f>
        <v>47179.343849538309</v>
      </c>
      <c r="E21" s="48">
        <f>LastOutBase+CloseOut_ML*DaysPerMonth</f>
        <v>47243.25</v>
      </c>
      <c r="F21" s="26" t="s">
        <v>190</v>
      </c>
    </row>
    <row r="22" spans="2:6" ht="8" customHeight="1" x14ac:dyDescent="0.45"/>
    <row r="23" spans="2:6" ht="22.05" customHeight="1" x14ac:dyDescent="0.5">
      <c r="B23" s="7" t="s">
        <v>134</v>
      </c>
      <c r="C23" s="8"/>
      <c r="D23" s="8"/>
      <c r="E23" s="8"/>
      <c r="F23" s="8"/>
    </row>
    <row r="24" spans="2:6" ht="18" customHeight="1" x14ac:dyDescent="0.45">
      <c r="B24" s="43" t="s">
        <v>166</v>
      </c>
      <c r="C24" s="43" t="s">
        <v>98</v>
      </c>
      <c r="D24" s="44" t="s">
        <v>167</v>
      </c>
      <c r="E24" s="44" t="s">
        <v>168</v>
      </c>
      <c r="F24" s="43" t="s">
        <v>169</v>
      </c>
    </row>
    <row r="25" spans="2:6" x14ac:dyDescent="0.45">
      <c r="B25" s="25" t="s">
        <v>191</v>
      </c>
      <c r="C25" s="26" t="s">
        <v>136</v>
      </c>
      <c r="D25" s="40">
        <f ca="1">SetUp</f>
        <v>0.6532372165672834</v>
      </c>
      <c r="E25" s="49">
        <f>SetUp_ML</f>
        <v>0.8</v>
      </c>
      <c r="F25" s="26" t="s">
        <v>192</v>
      </c>
    </row>
    <row r="26" spans="2:6" x14ac:dyDescent="0.45">
      <c r="B26" s="25" t="s">
        <v>193</v>
      </c>
      <c r="C26" s="26" t="s">
        <v>136</v>
      </c>
      <c r="D26" s="40">
        <f ca="1">Screened*CostScreen/1000</f>
        <v>0.54776524341981381</v>
      </c>
      <c r="E26" s="49">
        <f>ScreenedBase*CostScreen_ML/1000</f>
        <v>0.65400000000000003</v>
      </c>
      <c r="F26" s="26" t="s">
        <v>194</v>
      </c>
    </row>
    <row r="27" spans="2:6" x14ac:dyDescent="0.45">
      <c r="B27" s="25" t="s">
        <v>195</v>
      </c>
      <c r="C27" s="26" t="s">
        <v>136</v>
      </c>
      <c r="D27" s="40">
        <f ca="1">Enrolled*CostPatient/1000</f>
        <v>7.6538794537897914</v>
      </c>
      <c r="E27" s="49">
        <f>EnrolledBase*CostPatient_ML/1000</f>
        <v>6.36</v>
      </c>
      <c r="F27" s="26" t="s">
        <v>196</v>
      </c>
    </row>
    <row r="28" spans="2:6" x14ac:dyDescent="0.45">
      <c r="B28" s="25" t="s">
        <v>142</v>
      </c>
      <c r="C28" s="26" t="s">
        <v>136</v>
      </c>
      <c r="D28" s="40">
        <f ca="1">DrugSupply</f>
        <v>0.90938466815679542</v>
      </c>
      <c r="E28" s="49">
        <f>DrugSupply_ML</f>
        <v>1</v>
      </c>
      <c r="F28" s="26" t="s">
        <v>192</v>
      </c>
    </row>
    <row r="29" spans="2:6" x14ac:dyDescent="0.45">
      <c r="B29" s="25" t="s">
        <v>197</v>
      </c>
      <c r="C29" s="26" t="s">
        <v>136</v>
      </c>
      <c r="D29" s="40">
        <f ca="1">RunMonths*Running/1000</f>
        <v>3.8714537500699113</v>
      </c>
      <c r="E29" s="49">
        <f>RunMonthsBase*Running_ML/1000</f>
        <v>3.96</v>
      </c>
      <c r="F29" s="26" t="s">
        <v>198</v>
      </c>
    </row>
    <row r="30" spans="2:6" x14ac:dyDescent="0.45">
      <c r="B30" s="50" t="s">
        <v>199</v>
      </c>
      <c r="C30" s="26" t="s">
        <v>136</v>
      </c>
      <c r="D30" s="51">
        <f ca="1">SUM(D25:D29)</f>
        <v>13.635720332003595</v>
      </c>
      <c r="E30" s="52">
        <f>SUM(E25:E29)</f>
        <v>12.774000000000001</v>
      </c>
      <c r="F30" s="26" t="s">
        <v>200</v>
      </c>
    </row>
    <row r="31" spans="2:6" ht="8" customHeight="1" x14ac:dyDescent="0.45"/>
    <row r="32" spans="2:6" ht="22.05" customHeight="1" x14ac:dyDescent="0.5">
      <c r="B32" s="7" t="s">
        <v>201</v>
      </c>
      <c r="C32" s="8"/>
      <c r="D32" s="8"/>
      <c r="E32" s="8"/>
      <c r="F32" s="8"/>
    </row>
    <row r="33" spans="2:6" ht="18" customHeight="1" x14ac:dyDescent="0.45">
      <c r="B33" s="13" t="s">
        <v>202</v>
      </c>
    </row>
    <row r="34" spans="2:6" ht="18" customHeight="1" x14ac:dyDescent="0.45">
      <c r="B34" s="43" t="s">
        <v>203</v>
      </c>
      <c r="C34" s="43" t="s">
        <v>98</v>
      </c>
      <c r="D34" s="44" t="s">
        <v>204</v>
      </c>
      <c r="E34" s="5"/>
      <c r="F34" s="43" t="s">
        <v>205</v>
      </c>
    </row>
    <row r="35" spans="2:6" x14ac:dyDescent="0.45">
      <c r="B35" s="25" t="s">
        <v>199</v>
      </c>
      <c r="C35" s="26" t="s">
        <v>136</v>
      </c>
      <c r="D35" s="53" cm="1">
        <f t="array" aca="1" ref="D35" ca="1">_xll.VoseOutput("Общая стоимость","млн долл.")+D30</f>
        <v>13.635720332003595</v>
      </c>
      <c r="E35" s="28"/>
      <c r="F35" s="26" t="s">
        <v>206</v>
      </c>
    </row>
    <row r="36" spans="2:6" x14ac:dyDescent="0.45">
      <c r="B36" s="25" t="s">
        <v>181</v>
      </c>
      <c r="C36" s="26" t="s">
        <v>127</v>
      </c>
      <c r="D36" s="54" cm="1">
        <f t="array" aca="1" ref="D36" ca="1">_xll.VoseOutput("Длительность","мес.")+TrialDur</f>
        <v>25.900413947870661</v>
      </c>
      <c r="E36" s="28"/>
      <c r="F36" s="26"/>
    </row>
    <row r="37" spans="2:6" x14ac:dyDescent="0.45">
      <c r="B37" s="25" t="s">
        <v>189</v>
      </c>
      <c r="C37" s="26" t="s">
        <v>118</v>
      </c>
      <c r="D37" s="55" cm="1">
        <f t="array" aca="1" ref="D37" ca="1">_xll.VoseOutput("Основные результаты","дата")+TopLineDate</f>
        <v>47179.343849538309</v>
      </c>
      <c r="E37" s="28"/>
      <c r="F37" s="26" t="s">
        <v>207</v>
      </c>
    </row>
    <row r="38" spans="2:6" x14ac:dyDescent="0.45">
      <c r="B38" s="25" t="s">
        <v>175</v>
      </c>
      <c r="C38" s="26" t="s">
        <v>127</v>
      </c>
      <c r="D38" s="54" cm="1">
        <f t="array" aca="1" ref="D38" ca="1">_xll.VoseOutput("Задержка от рисков","мес.")+Delays</f>
        <v>0</v>
      </c>
      <c r="E38" s="28"/>
      <c r="F38" s="26"/>
    </row>
    <row r="39" spans="2:6" ht="8" customHeight="1" x14ac:dyDescent="0.45"/>
    <row r="40" spans="2:6" ht="22.05" customHeight="1" x14ac:dyDescent="0.5">
      <c r="B40" s="7" t="s">
        <v>208</v>
      </c>
      <c r="C40" s="8"/>
      <c r="D40" s="8"/>
      <c r="E40" s="8"/>
      <c r="F40" s="8"/>
    </row>
    <row r="41" spans="2:6" ht="18" customHeight="1" x14ac:dyDescent="0.45">
      <c r="B41" s="13" t="s">
        <v>209</v>
      </c>
    </row>
    <row r="42" spans="2:6" x14ac:dyDescent="0.45">
      <c r="B42" s="25" t="s">
        <v>210</v>
      </c>
      <c r="C42" s="28"/>
      <c r="D42" s="56" t="str">
        <f ca="1">IF(Enrolled*(1-Dropout)&gt;=Evaluable,"ОК","ПРОВЕРИТЬ")</f>
        <v>ОК</v>
      </c>
      <c r="E42" s="28"/>
      <c r="F42" s="28"/>
    </row>
    <row r="43" spans="2:6" x14ac:dyDescent="0.45">
      <c r="B43" s="25" t="s">
        <v>211</v>
      </c>
      <c r="C43" s="28"/>
      <c r="D43" s="56" t="str">
        <f>IF(AND(Dropout_Hi&lt;0.9,ScreenFail_Hi&lt;0.9),"ОК","ПРОВЕРИТЬ")</f>
        <v>ОК</v>
      </c>
      <c r="E43" s="28"/>
      <c r="F43" s="28"/>
    </row>
    <row r="44" spans="2:6" x14ac:dyDescent="0.45">
      <c r="B44" s="25" t="s">
        <v>212</v>
      </c>
      <c r="C44" s="28"/>
      <c r="D44" s="56" t="str">
        <f ca="1">IF(AND(FirstSite&gt;=StartDate,LastIn&gt;=FirstSite,LastOut&gt;=LastIn,TopLineDate&gt;=LastOut,TopLineBase&gt;=StartDate),"ОК","ПРОВЕРИТЬ")</f>
        <v>ОК</v>
      </c>
      <c r="E44" s="28"/>
      <c r="F44" s="28"/>
    </row>
    <row r="45" spans="2:6" ht="14" customHeight="1" x14ac:dyDescent="0.45"/>
  </sheetData>
  <conditionalFormatting sqref="D42:D44">
    <cfRule type="expression" dxfId="5" priority="1">
      <formula>D42="CHECK"</formula>
    </cfRule>
  </conditionalFormatting>
  <hyperlinks>
    <hyperlink ref="B4" location="'Исходные данные'!A1" display="◂  Исходные данные" xr:uid="{00000000-0004-0000-0200-000000000000}"/>
    <hyperlink ref="F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0" fitToHeight="0" orientation="landscape" r:id="rId1"/>
  <headerFooter>
    <oddFooter>&amp;L&amp;K3F5876&amp;8&amp;F · &amp;A&amp;R&amp;K3F5876&amp;8Page &amp;P of &amp;N</oddFooter>
  </headerFooter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72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7" t="str" cm="1">
        <f t="array" aca="1" ref="B6" ca="1">IF(ISNUMBER(_xll.VoseSimMean(TotalCost)),"✔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8"/>
      <c r="D6" s="58"/>
      <c r="E6" s="58"/>
      <c r="F6" s="58"/>
      <c r="G6" s="58"/>
    </row>
    <row r="7" spans="1:18" x14ac:dyDescent="0.45">
      <c r="B7" s="59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215</v>
      </c>
      <c r="C9" s="8"/>
      <c r="D9" s="8"/>
      <c r="E9" s="8"/>
      <c r="F9" s="8"/>
      <c r="G9" s="8"/>
      <c r="I9" s="60" t="s">
        <v>216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217</v>
      </c>
    </row>
    <row r="11" spans="1:18" ht="18" customHeight="1" x14ac:dyDescent="0.45">
      <c r="B11" s="23" t="s">
        <v>218</v>
      </c>
      <c r="C11" s="23" t="s">
        <v>98</v>
      </c>
      <c r="D11" s="24" t="s">
        <v>204</v>
      </c>
      <c r="E11" s="5"/>
      <c r="F11" s="5"/>
      <c r="G11" s="5"/>
    </row>
    <row r="12" spans="1:18" x14ac:dyDescent="0.45">
      <c r="B12" s="61" t="s">
        <v>219</v>
      </c>
      <c r="C12" s="26" t="s">
        <v>136</v>
      </c>
      <c r="D12" s="40">
        <f>CostBase</f>
        <v>12.774000000000001</v>
      </c>
      <c r="E12" s="28"/>
      <c r="F12" s="28"/>
      <c r="G12" s="28"/>
    </row>
    <row r="13" spans="1:18" ht="22.05" customHeight="1" x14ac:dyDescent="0.45">
      <c r="B13" s="50" t="s">
        <v>220</v>
      </c>
      <c r="C13" s="26" t="s">
        <v>136</v>
      </c>
      <c r="D13" s="62" cm="1">
        <f t="array" aca="1" ref="D13" ca="1">_xll.VoseSimMean(TotalCost)</f>
        <v>13.768802211613462</v>
      </c>
      <c r="E13" s="28"/>
      <c r="F13" s="28"/>
      <c r="G13" s="28"/>
    </row>
    <row r="14" spans="1:18" x14ac:dyDescent="0.45">
      <c r="B14" s="25" t="s">
        <v>221</v>
      </c>
      <c r="C14" s="26" t="s">
        <v>150</v>
      </c>
      <c r="D14" s="63" cm="1">
        <f t="array" aca="1" ref="D14" ca="1">_xll.VoseSimProbability(TotalCost,CostBase)</f>
        <v>0.13458654134586542</v>
      </c>
      <c r="E14" s="28"/>
      <c r="F14" s="28"/>
      <c r="G14" s="28"/>
    </row>
    <row r="15" spans="1:18" x14ac:dyDescent="0.45">
      <c r="B15" s="50" t="s">
        <v>222</v>
      </c>
      <c r="C15" s="26" t="s">
        <v>136</v>
      </c>
      <c r="D15" s="64" cm="1">
        <f t="array" aca="1" ref="D15" ca="1">_xll.VoseSimPercentile(TotalCost,0.8)</f>
        <v>14.535472553864977</v>
      </c>
      <c r="E15" s="28"/>
      <c r="F15" s="28"/>
      <c r="G15" s="28"/>
    </row>
    <row r="16" spans="1:18" x14ac:dyDescent="0.45">
      <c r="B16" s="25" t="s">
        <v>223</v>
      </c>
      <c r="C16" s="26" t="s">
        <v>136</v>
      </c>
      <c r="D16" s="64">
        <f ca="1">IFERROR(D15-CostBase,"–")</f>
        <v>1.7614725538649765</v>
      </c>
      <c r="E16" s="28"/>
      <c r="F16" s="28"/>
      <c r="G16" s="28"/>
    </row>
    <row r="17" spans="2:18" x14ac:dyDescent="0.45">
      <c r="B17" s="25" t="s">
        <v>224</v>
      </c>
      <c r="C17" s="26"/>
      <c r="D17" s="63">
        <f ca="1">IFERROR((D15-CostBase)/CostBase,"–")</f>
        <v>0.13789514277947207</v>
      </c>
      <c r="E17" s="28"/>
      <c r="F17" s="28"/>
      <c r="G17" s="28"/>
    </row>
    <row r="18" spans="2:18" ht="8" customHeight="1" x14ac:dyDescent="0.45"/>
    <row r="25" spans="2:18" ht="22.05" customHeight="1" x14ac:dyDescent="0.5">
      <c r="B25" s="7" t="s">
        <v>225</v>
      </c>
      <c r="C25" s="8"/>
      <c r="D25" s="8"/>
      <c r="E25" s="8"/>
      <c r="F25" s="8"/>
      <c r="G25" s="8"/>
      <c r="I25" s="60" t="s">
        <v>226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ht="18" customHeight="1" x14ac:dyDescent="0.45">
      <c r="B26" s="13" t="s">
        <v>227</v>
      </c>
    </row>
    <row r="27" spans="2:18" ht="18" customHeight="1" x14ac:dyDescent="0.45">
      <c r="B27" s="23" t="s">
        <v>218</v>
      </c>
      <c r="C27" s="23" t="s">
        <v>98</v>
      </c>
      <c r="D27" s="24" t="s">
        <v>204</v>
      </c>
      <c r="E27" s="5"/>
      <c r="F27" s="5"/>
      <c r="G27" s="5"/>
    </row>
    <row r="28" spans="2:18" x14ac:dyDescent="0.45">
      <c r="B28" s="61" t="s">
        <v>228</v>
      </c>
      <c r="C28" s="26" t="s">
        <v>127</v>
      </c>
      <c r="D28" s="37">
        <f>DurationBase</f>
        <v>28</v>
      </c>
      <c r="E28" s="28"/>
      <c r="F28" s="28"/>
      <c r="G28" s="28"/>
    </row>
    <row r="29" spans="2:18" ht="22.05" customHeight="1" x14ac:dyDescent="0.45">
      <c r="B29" s="50" t="s">
        <v>229</v>
      </c>
      <c r="C29" s="26" t="s">
        <v>127</v>
      </c>
      <c r="D29" s="65" cm="1">
        <f t="array" aca="1" ref="D29" ca="1">_xll.VoseSimMean(TrialMonths)</f>
        <v>31.285969317792908</v>
      </c>
      <c r="E29" s="28"/>
      <c r="F29" s="28"/>
      <c r="G29" s="28"/>
    </row>
    <row r="30" spans="2:18" x14ac:dyDescent="0.45">
      <c r="B30" s="25" t="s">
        <v>230</v>
      </c>
      <c r="C30" s="26" t="s">
        <v>150</v>
      </c>
      <c r="D30" s="63" cm="1">
        <f t="array" aca="1" ref="D30" ca="1">_xll.VoseSimProbability(TrialMonths,DurationBase)</f>
        <v>0.12548745125487451</v>
      </c>
      <c r="E30" s="28"/>
      <c r="F30" s="28"/>
      <c r="G30" s="28"/>
    </row>
    <row r="31" spans="2:18" x14ac:dyDescent="0.45">
      <c r="B31" s="50" t="s">
        <v>231</v>
      </c>
      <c r="C31" s="26" t="s">
        <v>127</v>
      </c>
      <c r="D31" s="66" cm="1">
        <f t="array" aca="1" ref="D31" ca="1">_xll.VoseSimPercentile(TrialMonths,0.8)</f>
        <v>33.616097061709155</v>
      </c>
      <c r="E31" s="28"/>
      <c r="F31" s="28"/>
      <c r="G31" s="28"/>
    </row>
    <row r="32" spans="2:18" x14ac:dyDescent="0.45">
      <c r="B32" s="25" t="s">
        <v>232</v>
      </c>
      <c r="C32" s="26" t="s">
        <v>127</v>
      </c>
      <c r="D32" s="66">
        <f ca="1">IFERROR(D31-DurationBase,"–")</f>
        <v>5.616097061709155</v>
      </c>
      <c r="E32" s="28"/>
      <c r="F32" s="28"/>
      <c r="G32" s="28"/>
    </row>
    <row r="33" spans="2:18" x14ac:dyDescent="0.45">
      <c r="B33" s="61" t="s">
        <v>233</v>
      </c>
      <c r="C33" s="26" t="s">
        <v>118</v>
      </c>
      <c r="D33" s="67">
        <f>TopLineBase</f>
        <v>47243.25</v>
      </c>
      <c r="E33" s="28"/>
      <c r="F33" s="28"/>
      <c r="G33" s="28"/>
    </row>
    <row r="34" spans="2:18" x14ac:dyDescent="0.45">
      <c r="B34" s="25" t="s">
        <v>234</v>
      </c>
      <c r="C34" s="26" t="s">
        <v>118</v>
      </c>
      <c r="D34" s="68" cm="1">
        <f t="array" aca="1" ref="D34" ca="1">_xll.VoseSimPercentile(TopLine,0.5)</f>
        <v>47333.737265728319</v>
      </c>
      <c r="E34" s="28"/>
      <c r="F34" s="28"/>
      <c r="G34" s="28"/>
    </row>
    <row r="35" spans="2:18" x14ac:dyDescent="0.45">
      <c r="B35" s="50" t="s">
        <v>235</v>
      </c>
      <c r="C35" s="26" t="s">
        <v>118</v>
      </c>
      <c r="D35" s="68" cm="1">
        <f t="array" aca="1" ref="D35" ca="1">_xll.VoseSimPercentile(TopLine,0.8)</f>
        <v>47414.189954315771</v>
      </c>
      <c r="E35" s="28"/>
      <c r="F35" s="28"/>
      <c r="G35" s="28"/>
    </row>
    <row r="36" spans="2:18" ht="8" customHeight="1" x14ac:dyDescent="0.45"/>
    <row r="40" spans="2:18" ht="22.05" customHeight="1" x14ac:dyDescent="0.5">
      <c r="B40" s="7" t="s">
        <v>236</v>
      </c>
      <c r="C40" s="8"/>
      <c r="D40" s="8"/>
      <c r="E40" s="8"/>
      <c r="F40" s="8"/>
      <c r="G40" s="8"/>
    </row>
    <row r="41" spans="2:18" ht="18" customHeight="1" x14ac:dyDescent="0.45">
      <c r="B41" s="13" t="s">
        <v>237</v>
      </c>
    </row>
    <row r="42" spans="2:18" ht="18" customHeight="1" x14ac:dyDescent="0.45">
      <c r="B42" s="23" t="s">
        <v>218</v>
      </c>
      <c r="C42" s="23" t="s">
        <v>98</v>
      </c>
      <c r="D42" s="24" t="s">
        <v>238</v>
      </c>
      <c r="E42" s="24" t="s">
        <v>61</v>
      </c>
      <c r="F42" s="24" t="s">
        <v>239</v>
      </c>
      <c r="G42" s="24" t="s">
        <v>104</v>
      </c>
    </row>
    <row r="43" spans="2:18" x14ac:dyDescent="0.45">
      <c r="B43" s="25" t="s">
        <v>199</v>
      </c>
      <c r="C43" s="26" t="s">
        <v>136</v>
      </c>
      <c r="D43" s="64" cm="1">
        <f t="array" aca="1" ref="D43" ca="1">_xll.VoseSimPercentile(TotalCost,0.5)</f>
        <v>13.707099077401413</v>
      </c>
      <c r="E43" s="64" cm="1">
        <f t="array" aca="1" ref="E43" ca="1">_xll.VoseSimPercentile(TotalCost,0.8)</f>
        <v>14.535472553864977</v>
      </c>
      <c r="F43" s="64" cm="1">
        <f t="array" aca="1" ref="F43" ca="1">_xll.VoseSimPercentile(TotalCost,0.9)</f>
        <v>14.987628207789108</v>
      </c>
      <c r="G43" s="64" cm="1">
        <f t="array" aca="1" ref="G43" ca="1">_xll.VoseSimMean(TotalCost)</f>
        <v>13.768802211613462</v>
      </c>
    </row>
    <row r="44" spans="2:18" x14ac:dyDescent="0.45">
      <c r="B44" s="25" t="s">
        <v>240</v>
      </c>
      <c r="C44" s="26" t="s">
        <v>127</v>
      </c>
      <c r="D44" s="66" cm="1">
        <f t="array" aca="1" ref="D44" ca="1">_xll.VoseSimPercentile(TrialMonths,0.5)</f>
        <v>30.972887580396687</v>
      </c>
      <c r="E44" s="66" cm="1">
        <f t="array" aca="1" ref="E44" ca="1">_xll.VoseSimPercentile(TrialMonths,0.8)</f>
        <v>33.616097061709155</v>
      </c>
      <c r="F44" s="66" cm="1">
        <f t="array" aca="1" ref="F44" ca="1">_xll.VoseSimPercentile(TrialMonths,0.9)</f>
        <v>35.129206569315976</v>
      </c>
      <c r="G44" s="66" cm="1">
        <f t="array" aca="1" ref="G44" ca="1">_xll.VoseSimMean(TrialMonths)</f>
        <v>31.285969317792908</v>
      </c>
    </row>
    <row r="45" spans="2:18" x14ac:dyDescent="0.45">
      <c r="B45" s="25" t="s">
        <v>175</v>
      </c>
      <c r="C45" s="26" t="s">
        <v>127</v>
      </c>
      <c r="D45" s="66" cm="1">
        <f t="array" aca="1" ref="D45" ca="1">_xll.VoseSimPercentile(RiskDelay,0.5)</f>
        <v>1.9365450750809683</v>
      </c>
      <c r="E45" s="66" cm="1">
        <f t="array" aca="1" ref="E45" ca="1">_xll.VoseSimPercentile(RiskDelay,0.8)</f>
        <v>3.5832331252185248</v>
      </c>
      <c r="F45" s="66" cm="1">
        <f t="array" aca="1" ref="F45" ca="1">_xll.VoseSimPercentile(RiskDelay,0.9)</f>
        <v>5.2809799839266525</v>
      </c>
      <c r="G45" s="66" cm="1">
        <f t="array" aca="1" ref="G45" ca="1">_xll.VoseSimMean(RiskDelay)</f>
        <v>2.1025283249675155</v>
      </c>
    </row>
    <row r="46" spans="2:18" x14ac:dyDescent="0.45">
      <c r="B46" s="25" t="s">
        <v>241</v>
      </c>
      <c r="C46" s="26" t="s">
        <v>127</v>
      </c>
      <c r="D46" s="28"/>
      <c r="E46" s="28"/>
      <c r="F46" s="28"/>
      <c r="G46" s="64">
        <f>ExpDelay</f>
        <v>2.1166666666666667</v>
      </c>
    </row>
    <row r="47" spans="2:18" ht="8" customHeight="1" x14ac:dyDescent="0.45"/>
    <row r="48" spans="2:18" ht="22.05" customHeight="1" x14ac:dyDescent="0.5">
      <c r="B48" s="7" t="s">
        <v>242</v>
      </c>
      <c r="C48" s="8"/>
      <c r="D48" s="8"/>
      <c r="E48" s="8"/>
      <c r="F48" s="8"/>
      <c r="G48" s="8"/>
      <c r="I48" s="60" t="s">
        <v>243</v>
      </c>
      <c r="J48" s="8"/>
      <c r="K48" s="8"/>
      <c r="L48" s="8"/>
      <c r="M48" s="8"/>
      <c r="N48" s="8"/>
      <c r="O48" s="8"/>
      <c r="P48" s="8"/>
      <c r="Q48" s="8"/>
      <c r="R48" s="8"/>
    </row>
    <row r="49" spans="2:7" ht="18" customHeight="1" x14ac:dyDescent="0.45">
      <c r="B49" s="13" t="s">
        <v>244</v>
      </c>
    </row>
    <row r="50" spans="2:7" ht="18" customHeight="1" x14ac:dyDescent="0.45">
      <c r="B50" s="23" t="s">
        <v>245</v>
      </c>
      <c r="C50" s="24" t="s">
        <v>246</v>
      </c>
      <c r="D50" s="24" t="s">
        <v>247</v>
      </c>
      <c r="E50" s="69" t="s">
        <v>248</v>
      </c>
      <c r="F50" s="5"/>
      <c r="G50" s="5"/>
    </row>
    <row r="51" spans="2:7" x14ac:dyDescent="0.45">
      <c r="B51" s="25" t="str">
        <f t="array" aca="1" ref="B51:E63" ca="1">_xll.VoseSimSensitivityMean(TotalCost,10,1,FALSE)</f>
        <v>Стоимость на включенного пациента</v>
      </c>
      <c r="C51" s="64">
        <f ca="1"/>
        <v>12.870328297092348</v>
      </c>
      <c r="D51" s="64">
        <f ca="1"/>
        <v>14.872511869986811</v>
      </c>
      <c r="E51" s="70">
        <f ca="1"/>
        <v>1</v>
      </c>
      <c r="F51" s="28"/>
      <c r="G51" s="28"/>
    </row>
    <row r="52" spans="2:7" x14ac:dyDescent="0.45">
      <c r="B52" s="25" t="str">
        <f ca="1"/>
        <v>Текущие затраты в месяц</v>
      </c>
      <c r="C52" s="64">
        <f ca="1"/>
        <v>13.144610224439882</v>
      </c>
      <c r="D52" s="64">
        <f ca="1"/>
        <v>14.455373997520882</v>
      </c>
      <c r="E52" s="70">
        <f ca="1"/>
        <v>2</v>
      </c>
      <c r="F52" s="28"/>
      <c r="G52" s="28"/>
    </row>
    <row r="53" spans="2:7" x14ac:dyDescent="0.45">
      <c r="B53" s="25" t="str">
        <f ca="1"/>
        <v>Приостановка исследования: задержка</v>
      </c>
      <c r="C53" s="64">
        <f ca="1"/>
        <v>13.714309204090114</v>
      </c>
      <c r="D53" s="64">
        <f ca="1"/>
        <v>14.772425855028521</v>
      </c>
      <c r="E53" s="70">
        <f ca="1"/>
        <v>3</v>
      </c>
      <c r="F53" s="28"/>
      <c r="G53" s="28"/>
    </row>
    <row r="54" spans="2:7" x14ac:dyDescent="0.45">
      <c r="B54" s="25" t="str">
        <f ca="1"/>
        <v>Период набора</v>
      </c>
      <c r="C54" s="64">
        <f ca="1"/>
        <v>13.407753660250298</v>
      </c>
      <c r="D54" s="64">
        <f ca="1"/>
        <v>14.262583053994225</v>
      </c>
      <c r="E54" s="70">
        <f ca="1"/>
        <v>4</v>
      </c>
      <c r="F54" s="28"/>
      <c r="G54" s="28"/>
    </row>
    <row r="55" spans="2:7" x14ac:dyDescent="0.45">
      <c r="B55" s="25" t="str">
        <f ca="1"/>
        <v>Доля выбывания</v>
      </c>
      <c r="C55" s="64">
        <f ca="1"/>
        <v>13.397906821825705</v>
      </c>
      <c r="D55" s="64">
        <f ca="1"/>
        <v>14.215405434709448</v>
      </c>
      <c r="E55" s="70">
        <f ca="1"/>
        <v>5</v>
      </c>
      <c r="F55" s="28"/>
      <c r="G55" s="28"/>
    </row>
    <row r="56" spans="2:7" x14ac:dyDescent="0.45">
      <c r="B56" s="25" t="str">
        <f ca="1"/>
        <v>Медленный набор: задержка</v>
      </c>
      <c r="C56" s="64">
        <f ca="1"/>
        <v>13.602151861605348</v>
      </c>
      <c r="D56" s="64">
        <f ca="1"/>
        <v>14.267243638793929</v>
      </c>
      <c r="E56" s="70">
        <f ca="1"/>
        <v>6</v>
      </c>
      <c r="F56" s="28"/>
      <c r="G56" s="28"/>
    </row>
    <row r="57" spans="2:7" x14ac:dyDescent="0.45">
      <c r="B57" s="25" t="str">
        <f ca="1"/>
        <v>Поправка к протоколу: задержка</v>
      </c>
      <c r="C57" s="64">
        <f ca="1"/>
        <v>13.615014902090142</v>
      </c>
      <c r="D57" s="64">
        <f ca="1"/>
        <v>14.108093862396233</v>
      </c>
      <c r="E57" s="70">
        <f ca="1"/>
        <v>7</v>
      </c>
      <c r="F57" s="28"/>
      <c r="G57" s="28"/>
    </row>
    <row r="58" spans="2:7" x14ac:dyDescent="0.45">
      <c r="B58" s="25" t="str">
        <f ca="1"/>
        <v>Препарат: поставки и логистика</v>
      </c>
      <c r="C58" s="64">
        <f ca="1"/>
        <v>13.612228549171292</v>
      </c>
      <c r="D58" s="64">
        <f ca="1"/>
        <v>14.049796044971716</v>
      </c>
      <c r="E58" s="70">
        <f ca="1"/>
        <v>8</v>
      </c>
      <c r="F58" s="28"/>
      <c r="G58" s="28"/>
    </row>
    <row r="59" spans="2:7" x14ac:dyDescent="0.45">
      <c r="B59" s="25" t="str">
        <f ca="1"/>
        <v>Затраты на запуск</v>
      </c>
      <c r="C59" s="64">
        <f ca="1"/>
        <v>13.576729159753356</v>
      </c>
      <c r="D59" s="64">
        <f ca="1"/>
        <v>13.997590057078057</v>
      </c>
      <c r="E59" s="70">
        <f ca="1"/>
        <v>9</v>
      </c>
      <c r="F59" s="28"/>
      <c r="G59" s="28"/>
    </row>
    <row r="60" spans="2:7" x14ac:dyDescent="0.45">
      <c r="B60" s="25" t="str">
        <f ca="1"/>
        <v>Период закрытия</v>
      </c>
      <c r="C60" s="64">
        <f ca="1"/>
        <v>13.627170925163329</v>
      </c>
      <c r="D60" s="64">
        <f ca="1"/>
        <v>13.991137799555576</v>
      </c>
      <c r="E60" s="70">
        <f ca="1"/>
        <v>10</v>
      </c>
      <c r="F60" s="28"/>
      <c r="G60" s="28"/>
    </row>
    <row r="61" spans="2:7" x14ac:dyDescent="0.45">
      <c r="B61" s="25" t="str">
        <f ca="1"/>
        <v>Стоимость на пациента в скрининге</v>
      </c>
      <c r="C61" s="64">
        <f ca="1"/>
        <v>13.63264144584857</v>
      </c>
      <c r="D61" s="64">
        <f ca="1"/>
        <v>13.988141154272029</v>
      </c>
      <c r="E61" s="70">
        <f ca="1"/>
        <v>11</v>
      </c>
      <c r="F61" s="28"/>
      <c r="G61" s="28"/>
    </row>
    <row r="62" spans="2:7" x14ac:dyDescent="0.45">
      <c r="B62" s="25" t="str">
        <f ca="1"/>
        <v>Доля отсева при скрининге</v>
      </c>
      <c r="C62" s="64">
        <f ca="1"/>
        <v>13.662277445647391</v>
      </c>
      <c r="D62" s="64">
        <f ca="1"/>
        <v>13.902020201198958</v>
      </c>
      <c r="E62" s="70">
        <f ca="1"/>
        <v>12</v>
      </c>
      <c r="F62" s="28"/>
      <c r="G62" s="28"/>
    </row>
    <row r="63" spans="2:7" x14ac:dyDescent="0.45">
      <c r="B63" s="25" t="str">
        <f ca="1"/>
        <v>Период запуска</v>
      </c>
      <c r="C63" s="64">
        <f ca="1"/>
        <v>13.740716058917819</v>
      </c>
      <c r="D63" s="64">
        <f ca="1"/>
        <v>13.820496158390146</v>
      </c>
      <c r="E63" s="70">
        <f ca="1"/>
        <v>13</v>
      </c>
      <c r="F63" s="28"/>
      <c r="G63" s="28"/>
    </row>
    <row r="66" spans="2:7" ht="22.05" customHeight="1" x14ac:dyDescent="0.5">
      <c r="B66" s="7" t="s">
        <v>249</v>
      </c>
      <c r="C66" s="8"/>
      <c r="D66" s="8"/>
      <c r="E66" s="8"/>
      <c r="F66" s="8"/>
      <c r="G66" s="8"/>
    </row>
    <row r="67" spans="2:7" ht="32" customHeight="1" x14ac:dyDescent="0.45">
      <c r="B67" s="79" t="s">
        <v>250</v>
      </c>
      <c r="C67" s="80"/>
      <c r="D67" s="80"/>
      <c r="E67" s="80"/>
      <c r="F67" s="80"/>
      <c r="G67" s="80"/>
    </row>
    <row r="68" spans="2:7" ht="32" customHeight="1" x14ac:dyDescent="0.45">
      <c r="B68" s="79" t="s">
        <v>251</v>
      </c>
      <c r="C68" s="80"/>
      <c r="D68" s="80"/>
      <c r="E68" s="80"/>
      <c r="F68" s="80"/>
      <c r="G68" s="80"/>
    </row>
    <row r="69" spans="2:7" ht="45" customHeight="1" x14ac:dyDescent="0.45">
      <c r="B69" s="79" t="s">
        <v>252</v>
      </c>
      <c r="C69" s="80"/>
      <c r="D69" s="80"/>
      <c r="E69" s="80"/>
      <c r="F69" s="80"/>
      <c r="G69" s="80"/>
    </row>
    <row r="70" spans="2:7" ht="45" customHeight="1" x14ac:dyDescent="0.45">
      <c r="B70" s="79" t="s">
        <v>253</v>
      </c>
      <c r="C70" s="80"/>
      <c r="D70" s="80"/>
      <c r="E70" s="80"/>
      <c r="F70" s="80"/>
      <c r="G70" s="80"/>
    </row>
    <row r="71" spans="2:7" ht="32" customHeight="1" x14ac:dyDescent="0.45">
      <c r="B71" s="79" t="s">
        <v>254</v>
      </c>
      <c r="C71" s="80"/>
      <c r="D71" s="80"/>
      <c r="E71" s="80"/>
      <c r="F71" s="80"/>
      <c r="G71" s="80"/>
    </row>
    <row r="72" spans="2:7" ht="14" customHeight="1" x14ac:dyDescent="0.45"/>
    <row r="73" spans="2:7" ht="14" customHeight="1" x14ac:dyDescent="0.45"/>
    <row r="74" spans="2:7" ht="22.05" customHeight="1" x14ac:dyDescent="0.5">
      <c r="B74" s="7" t="s">
        <v>255</v>
      </c>
      <c r="C74" s="8"/>
      <c r="D74" s="8"/>
      <c r="E74" s="8"/>
      <c r="F74" s="8"/>
      <c r="G74" s="8"/>
    </row>
    <row r="75" spans="2:7" ht="18" customHeight="1" x14ac:dyDescent="0.45">
      <c r="B75" s="13" t="s">
        <v>256</v>
      </c>
    </row>
    <row r="76" spans="2:7" ht="28.05" hidden="1" customHeight="1" outlineLevel="1" x14ac:dyDescent="0.45">
      <c r="B76" s="24" t="s">
        <v>257</v>
      </c>
      <c r="C76" s="24" t="s">
        <v>258</v>
      </c>
      <c r="D76" s="24" t="s">
        <v>259</v>
      </c>
      <c r="E76" s="24" t="s">
        <v>260</v>
      </c>
      <c r="F76" s="5"/>
      <c r="G76" s="5"/>
    </row>
    <row r="77" spans="2:7" hidden="1" outlineLevel="1" x14ac:dyDescent="0.45">
      <c r="B77" s="71">
        <v>0.01</v>
      </c>
      <c r="C77" s="71">
        <f t="shared" ref="C77:C108" si="0">1-B77</f>
        <v>0.99</v>
      </c>
      <c r="D77" s="72" cm="1">
        <f t="array" aca="1" ref="D77" ca="1">IF(ISNUMBER(_xll.VoseSimPercentile(TotalCost,$B77)),_xll.VoseSimPercentile(TotalCost,$B77),NA())</f>
        <v>11.904169704934871</v>
      </c>
      <c r="E77" s="72" cm="1">
        <f t="array" aca="1" ref="E77" ca="1">IF(ISNUMBER(_xll.VoseSimPercentile(TrialMonths,$B77)),_xll.VoseSimPercentile(TrialMonths,$B77),NA())</f>
        <v>25.796212014250251</v>
      </c>
    </row>
    <row r="78" spans="2:7" hidden="1" outlineLevel="1" x14ac:dyDescent="0.45">
      <c r="B78" s="71">
        <v>0.03</v>
      </c>
      <c r="C78" s="71">
        <f t="shared" si="0"/>
        <v>0.97</v>
      </c>
      <c r="D78" s="72" cm="1">
        <f t="array" aca="1" ref="D78" ca="1">IF(ISNUMBER(_xll.VoseSimPercentile(TotalCost,$B78)),_xll.VoseSimPercentile(TotalCost,$B78),NA())</f>
        <v>12.198028728040756</v>
      </c>
      <c r="E78" s="72" cm="1">
        <f t="array" aca="1" ref="E78" ca="1">IF(ISNUMBER(_xll.VoseSimPercentile(TrialMonths,$B78)),_xll.VoseSimPercentile(TrialMonths,$B78),NA())</f>
        <v>26.545520540634474</v>
      </c>
    </row>
    <row r="79" spans="2:7" hidden="1" outlineLevel="1" x14ac:dyDescent="0.45">
      <c r="B79" s="71">
        <v>0.05</v>
      </c>
      <c r="C79" s="71">
        <f t="shared" si="0"/>
        <v>0.95</v>
      </c>
      <c r="D79" s="72" cm="1">
        <f t="array" aca="1" ref="D79" ca="1">IF(ISNUMBER(_xll.VoseSimPercentile(TotalCost,$B79)),_xll.VoseSimPercentile(TotalCost,$B79),NA())</f>
        <v>12.368422530582926</v>
      </c>
      <c r="E79" s="72" cm="1">
        <f t="array" aca="1" ref="E79" ca="1">IF(ISNUMBER(_xll.VoseSimPercentile(TrialMonths,$B79)),_xll.VoseSimPercentile(TrialMonths,$B79),NA())</f>
        <v>26.991170171548852</v>
      </c>
    </row>
    <row r="80" spans="2:7" hidden="1" outlineLevel="1" x14ac:dyDescent="0.45">
      <c r="B80" s="71">
        <v>7.0000000000000007E-2</v>
      </c>
      <c r="C80" s="71">
        <f t="shared" si="0"/>
        <v>0.92999999999999994</v>
      </c>
      <c r="D80" s="72" cm="1">
        <f t="array" aca="1" ref="D80" ca="1">IF(ISNUMBER(_xll.VoseSimPercentile(TotalCost,$B80)),_xll.VoseSimPercentile(TotalCost,$B80),NA())</f>
        <v>12.486346803744954</v>
      </c>
      <c r="E80" s="72" cm="1">
        <f t="array" aca="1" ref="E80" ca="1">IF(ISNUMBER(_xll.VoseSimPercentile(TrialMonths,$B80)),_xll.VoseSimPercentile(TrialMonths,$B80),NA())</f>
        <v>27.339590623271775</v>
      </c>
    </row>
    <row r="81" spans="2:5" hidden="1" outlineLevel="1" x14ac:dyDescent="0.45">
      <c r="B81" s="71">
        <v>0.09</v>
      </c>
      <c r="C81" s="71">
        <f t="shared" si="0"/>
        <v>0.91</v>
      </c>
      <c r="D81" s="72" cm="1">
        <f t="array" aca="1" ref="D81" ca="1">IF(ISNUMBER(_xll.VoseSimPercentile(TotalCost,$B81)),_xll.VoseSimPercentile(TotalCost,$B81),NA())</f>
        <v>12.594465153364082</v>
      </c>
      <c r="E81" s="72" cm="1">
        <f t="array" aca="1" ref="E81" ca="1">IF(ISNUMBER(_xll.VoseSimPercentile(TrialMonths,$B81)),_xll.VoseSimPercentile(TrialMonths,$B81),NA())</f>
        <v>27.603625864108277</v>
      </c>
    </row>
    <row r="82" spans="2:5" hidden="1" outlineLevel="1" x14ac:dyDescent="0.45">
      <c r="B82" s="71">
        <v>0.11</v>
      </c>
      <c r="C82" s="71">
        <f t="shared" si="0"/>
        <v>0.89</v>
      </c>
      <c r="D82" s="72" cm="1">
        <f t="array" aca="1" ref="D82" ca="1">IF(ISNUMBER(_xll.VoseSimPercentile(TotalCost,$B82)),_xll.VoseSimPercentile(TotalCost,$B82),NA())</f>
        <v>12.675009649555896</v>
      </c>
      <c r="E82" s="72" cm="1">
        <f t="array" aca="1" ref="E82" ca="1">IF(ISNUMBER(_xll.VoseSimPercentile(TrialMonths,$B82)),_xll.VoseSimPercentile(TrialMonths,$B82),NA())</f>
        <v>27.818199426381927</v>
      </c>
    </row>
    <row r="83" spans="2:5" hidden="1" outlineLevel="1" x14ac:dyDescent="0.45">
      <c r="B83" s="71">
        <v>0.13</v>
      </c>
      <c r="C83" s="71">
        <f t="shared" si="0"/>
        <v>0.87</v>
      </c>
      <c r="D83" s="72" cm="1">
        <f t="array" aca="1" ref="D83" ca="1">IF(ISNUMBER(_xll.VoseSimPercentile(TotalCost,$B83)),_xll.VoseSimPercentile(TotalCost,$B83),NA())</f>
        <v>12.757932931056217</v>
      </c>
      <c r="E83" s="72" cm="1">
        <f t="array" aca="1" ref="E83" ca="1">IF(ISNUMBER(_xll.VoseSimPercentile(TrialMonths,$B83)),_xll.VoseSimPercentile(TrialMonths,$B83),NA())</f>
        <v>28.051961111875375</v>
      </c>
    </row>
    <row r="84" spans="2:5" hidden="1" outlineLevel="1" x14ac:dyDescent="0.45">
      <c r="B84" s="71">
        <v>0.15</v>
      </c>
      <c r="C84" s="71">
        <f t="shared" si="0"/>
        <v>0.85</v>
      </c>
      <c r="D84" s="72" cm="1">
        <f t="array" aca="1" ref="D84" ca="1">IF(ISNUMBER(_xll.VoseSimPercentile(TotalCost,$B84)),_xll.VoseSimPercentile(TotalCost,$B84),NA())</f>
        <v>12.829043885782093</v>
      </c>
      <c r="E84" s="72" cm="1">
        <f t="array" aca="1" ref="E84" ca="1">IF(ISNUMBER(_xll.VoseSimPercentile(TrialMonths,$B84)),_xll.VoseSimPercentile(TrialMonths,$B84),NA())</f>
        <v>28.265359879463322</v>
      </c>
    </row>
    <row r="85" spans="2:5" hidden="1" outlineLevel="1" x14ac:dyDescent="0.45">
      <c r="B85" s="71">
        <v>0.17</v>
      </c>
      <c r="C85" s="71">
        <f t="shared" si="0"/>
        <v>0.83</v>
      </c>
      <c r="D85" s="72" cm="1">
        <f t="array" aca="1" ref="D85" ca="1">IF(ISNUMBER(_xll.VoseSimPercentile(TotalCost,$B85)),_xll.VoseSimPercentile(TotalCost,$B85),NA())</f>
        <v>12.890597021437822</v>
      </c>
      <c r="E85" s="72" cm="1">
        <f t="array" aca="1" ref="E85" ca="1">IF(ISNUMBER(_xll.VoseSimPercentile(TrialMonths,$B85)),_xll.VoseSimPercentile(TrialMonths,$B85),NA())</f>
        <v>28.468056222425414</v>
      </c>
    </row>
    <row r="86" spans="2:5" hidden="1" outlineLevel="1" x14ac:dyDescent="0.45">
      <c r="B86" s="71">
        <v>0.19</v>
      </c>
      <c r="C86" s="71">
        <f t="shared" si="0"/>
        <v>0.81</v>
      </c>
      <c r="D86" s="72" cm="1">
        <f t="array" aca="1" ref="D86" ca="1">IF(ISNUMBER(_xll.VoseSimPercentile(TotalCost,$B86)),_xll.VoseSimPercentile(TotalCost,$B86),NA())</f>
        <v>12.947879803628332</v>
      </c>
      <c r="E86" s="72" cm="1">
        <f t="array" aca="1" ref="E86" ca="1">IF(ISNUMBER(_xll.VoseSimPercentile(TrialMonths,$B86)),_xll.VoseSimPercentile(TrialMonths,$B86),NA())</f>
        <v>28.637780855104285</v>
      </c>
    </row>
    <row r="87" spans="2:5" hidden="1" outlineLevel="1" x14ac:dyDescent="0.45">
      <c r="B87" s="71">
        <v>0.21</v>
      </c>
      <c r="C87" s="71">
        <f t="shared" si="0"/>
        <v>0.79</v>
      </c>
      <c r="D87" s="72" cm="1">
        <f t="array" aca="1" ref="D87" ca="1">IF(ISNUMBER(_xll.VoseSimPercentile(TotalCost,$B87)),_xll.VoseSimPercentile(TotalCost,$B87),NA())</f>
        <v>13.008118154688443</v>
      </c>
      <c r="E87" s="72" cm="1">
        <f t="array" aca="1" ref="E87" ca="1">IF(ISNUMBER(_xll.VoseSimPercentile(TrialMonths,$B87)),_xll.VoseSimPercentile(TrialMonths,$B87),NA())</f>
        <v>28.819064904820802</v>
      </c>
    </row>
    <row r="88" spans="2:5" hidden="1" outlineLevel="1" x14ac:dyDescent="0.45">
      <c r="B88" s="71">
        <v>0.23</v>
      </c>
      <c r="C88" s="71">
        <f t="shared" si="0"/>
        <v>0.77</v>
      </c>
      <c r="D88" s="72" cm="1">
        <f t="array" aca="1" ref="D88" ca="1">IF(ISNUMBER(_xll.VoseSimPercentile(TotalCost,$B88)),_xll.VoseSimPercentile(TotalCost,$B88),NA())</f>
        <v>13.061504223309328</v>
      </c>
      <c r="E88" s="72" cm="1">
        <f t="array" aca="1" ref="E88" ca="1">IF(ISNUMBER(_xll.VoseSimPercentile(TrialMonths,$B88)),_xll.VoseSimPercentile(TrialMonths,$B88),NA())</f>
        <v>28.998776752395358</v>
      </c>
    </row>
    <row r="89" spans="2:5" hidden="1" outlineLevel="1" x14ac:dyDescent="0.45">
      <c r="B89" s="71">
        <v>0.25</v>
      </c>
      <c r="C89" s="71">
        <f t="shared" si="0"/>
        <v>0.75</v>
      </c>
      <c r="D89" s="72" cm="1">
        <f t="array" aca="1" ref="D89" ca="1">IF(ISNUMBER(_xll.VoseSimPercentile(TotalCost,$B89)),_xll.VoseSimPercentile(TotalCost,$B89),NA())</f>
        <v>13.114108233461479</v>
      </c>
      <c r="E89" s="72" cm="1">
        <f t="array" aca="1" ref="E89" ca="1">IF(ISNUMBER(_xll.VoseSimPercentile(TrialMonths,$B89)),_xll.VoseSimPercentile(TrialMonths,$B89),NA())</f>
        <v>29.180652496956483</v>
      </c>
    </row>
    <row r="90" spans="2:5" hidden="1" outlineLevel="1" x14ac:dyDescent="0.45">
      <c r="B90" s="71">
        <v>0.27</v>
      </c>
      <c r="C90" s="71">
        <f t="shared" si="0"/>
        <v>0.73</v>
      </c>
      <c r="D90" s="72" cm="1">
        <f t="array" aca="1" ref="D90" ca="1">IF(ISNUMBER(_xll.VoseSimPercentile(TotalCost,$B90)),_xll.VoseSimPercentile(TotalCost,$B90),NA())</f>
        <v>13.169857758816415</v>
      </c>
      <c r="E90" s="72" cm="1">
        <f t="array" aca="1" ref="E90" ca="1">IF(ISNUMBER(_xll.VoseSimPercentile(TrialMonths,$B90)),_xll.VoseSimPercentile(TrialMonths,$B90),NA())</f>
        <v>29.348517801423142</v>
      </c>
    </row>
    <row r="91" spans="2:5" hidden="1" outlineLevel="1" x14ac:dyDescent="0.45">
      <c r="B91" s="71">
        <v>0.28999999999999998</v>
      </c>
      <c r="C91" s="71">
        <f t="shared" si="0"/>
        <v>0.71</v>
      </c>
      <c r="D91" s="72" cm="1">
        <f t="array" aca="1" ref="D91" ca="1">IF(ISNUMBER(_xll.VoseSimPercentile(TotalCost,$B91)),_xll.VoseSimPercentile(TotalCost,$B91),NA())</f>
        <v>13.216680354788558</v>
      </c>
      <c r="E91" s="72" cm="1">
        <f t="array" aca="1" ref="E91" ca="1">IF(ISNUMBER(_xll.VoseSimPercentile(TrialMonths,$B91)),_xll.VoseSimPercentile(TrialMonths,$B91),NA())</f>
        <v>29.499502926491903</v>
      </c>
    </row>
    <row r="92" spans="2:5" hidden="1" outlineLevel="1" x14ac:dyDescent="0.45">
      <c r="B92" s="71">
        <v>0.31</v>
      </c>
      <c r="C92" s="71">
        <f t="shared" si="0"/>
        <v>0.69</v>
      </c>
      <c r="D92" s="72" cm="1">
        <f t="array" aca="1" ref="D92" ca="1">IF(ISNUMBER(_xll.VoseSimPercentile(TotalCost,$B92)),_xll.VoseSimPercentile(TotalCost,$B92),NA())</f>
        <v>13.266964058531446</v>
      </c>
      <c r="E92" s="72" cm="1">
        <f t="array" aca="1" ref="E92" ca="1">IF(ISNUMBER(_xll.VoseSimPercentile(TrialMonths,$B92)),_xll.VoseSimPercentile(TrialMonths,$B92),NA())</f>
        <v>29.659448797498555</v>
      </c>
    </row>
    <row r="93" spans="2:5" hidden="1" outlineLevel="1" x14ac:dyDescent="0.45">
      <c r="B93" s="71">
        <v>0.33</v>
      </c>
      <c r="C93" s="71">
        <f t="shared" si="0"/>
        <v>0.66999999999999993</v>
      </c>
      <c r="D93" s="72" cm="1">
        <f t="array" aca="1" ref="D93" ca="1">IF(ISNUMBER(_xll.VoseSimPercentile(TotalCost,$B93)),_xll.VoseSimPercentile(TotalCost,$B93),NA())</f>
        <v>13.318963878415403</v>
      </c>
      <c r="E93" s="72" cm="1">
        <f t="array" aca="1" ref="E93" ca="1">IF(ISNUMBER(_xll.VoseSimPercentile(TrialMonths,$B93)),_xll.VoseSimPercentile(TrialMonths,$B93),NA())</f>
        <v>29.812358388955161</v>
      </c>
    </row>
    <row r="94" spans="2:5" hidden="1" outlineLevel="1" x14ac:dyDescent="0.45">
      <c r="B94" s="71">
        <v>0.35</v>
      </c>
      <c r="C94" s="71">
        <f t="shared" si="0"/>
        <v>0.65</v>
      </c>
      <c r="D94" s="72" cm="1">
        <f t="array" aca="1" ref="D94" ca="1">IF(ISNUMBER(_xll.VoseSimPercentile(TotalCost,$B94)),_xll.VoseSimPercentile(TotalCost,$B94),NA())</f>
        <v>13.376551938565509</v>
      </c>
      <c r="E94" s="72" cm="1">
        <f t="array" aca="1" ref="E94" ca="1">IF(ISNUMBER(_xll.VoseSimPercentile(TrialMonths,$B94)),_xll.VoseSimPercentile(TrialMonths,$B94),NA())</f>
        <v>29.959116966015536</v>
      </c>
    </row>
    <row r="95" spans="2:5" hidden="1" outlineLevel="1" x14ac:dyDescent="0.45">
      <c r="B95" s="71">
        <v>0.37</v>
      </c>
      <c r="C95" s="71">
        <f t="shared" si="0"/>
        <v>0.63</v>
      </c>
      <c r="D95" s="72" cm="1">
        <f t="array" aca="1" ref="D95" ca="1">IF(ISNUMBER(_xll.VoseSimPercentile(TotalCost,$B95)),_xll.VoseSimPercentile(TotalCost,$B95),NA())</f>
        <v>13.419478704308963</v>
      </c>
      <c r="E95" s="72" cm="1">
        <f t="array" aca="1" ref="E95" ca="1">IF(ISNUMBER(_xll.VoseSimPercentile(TrialMonths,$B95)),_xll.VoseSimPercentile(TrialMonths,$B95),NA())</f>
        <v>30.102768503448054</v>
      </c>
    </row>
    <row r="96" spans="2:5" hidden="1" outlineLevel="1" x14ac:dyDescent="0.45">
      <c r="B96" s="71">
        <v>0.39</v>
      </c>
      <c r="C96" s="71">
        <f t="shared" si="0"/>
        <v>0.61</v>
      </c>
      <c r="D96" s="72" cm="1">
        <f t="array" aca="1" ref="D96" ca="1">IF(ISNUMBER(_xll.VoseSimPercentile(TotalCost,$B96)),_xll.VoseSimPercentile(TotalCost,$B96),NA())</f>
        <v>13.468299636769697</v>
      </c>
      <c r="E96" s="72" cm="1">
        <f t="array" aca="1" ref="E96" ca="1">IF(ISNUMBER(_xll.VoseSimPercentile(TrialMonths,$B96)),_xll.VoseSimPercentile(TrialMonths,$B96),NA())</f>
        <v>30.22892757683648</v>
      </c>
    </row>
    <row r="97" spans="2:5" hidden="1" outlineLevel="1" x14ac:dyDescent="0.45">
      <c r="B97" s="71">
        <v>0.41</v>
      </c>
      <c r="C97" s="71">
        <f t="shared" si="0"/>
        <v>0.59000000000000008</v>
      </c>
      <c r="D97" s="72" cm="1">
        <f t="array" aca="1" ref="D97" ca="1">IF(ISNUMBER(_xll.VoseSimPercentile(TotalCost,$B97)),_xll.VoseSimPercentile(TotalCost,$B97),NA())</f>
        <v>13.515274153314792</v>
      </c>
      <c r="E97" s="72" cm="1">
        <f t="array" aca="1" ref="E97" ca="1">IF(ISNUMBER(_xll.VoseSimPercentile(TrialMonths,$B97)),_xll.VoseSimPercentile(TrialMonths,$B97),NA())</f>
        <v>30.384718257672933</v>
      </c>
    </row>
    <row r="98" spans="2:5" hidden="1" outlineLevel="1" x14ac:dyDescent="0.45">
      <c r="B98" s="71">
        <v>0.43</v>
      </c>
      <c r="C98" s="71">
        <f t="shared" si="0"/>
        <v>0.57000000000000006</v>
      </c>
      <c r="D98" s="72" cm="1">
        <f t="array" aca="1" ref="D98" ca="1">IF(ISNUMBER(_xll.VoseSimPercentile(TotalCost,$B98)),_xll.VoseSimPercentile(TotalCost,$B98),NA())</f>
        <v>13.557173864931874</v>
      </c>
      <c r="E98" s="72" cm="1">
        <f t="array" aca="1" ref="E98" ca="1">IF(ISNUMBER(_xll.VoseSimPercentile(TrialMonths,$B98)),_xll.VoseSimPercentile(TrialMonths,$B98),NA())</f>
        <v>30.508010109800431</v>
      </c>
    </row>
    <row r="99" spans="2:5" hidden="1" outlineLevel="1" x14ac:dyDescent="0.45">
      <c r="B99" s="71">
        <v>0.45</v>
      </c>
      <c r="C99" s="71">
        <f t="shared" si="0"/>
        <v>0.55000000000000004</v>
      </c>
      <c r="D99" s="72" cm="1">
        <f t="array" aca="1" ref="D99" ca="1">IF(ISNUMBER(_xll.VoseSimPercentile(TotalCost,$B99)),_xll.VoseSimPercentile(TotalCost,$B99),NA())</f>
        <v>13.600583620478206</v>
      </c>
      <c r="E99" s="72" cm="1">
        <f t="array" aca="1" ref="E99" ca="1">IF(ISNUMBER(_xll.VoseSimPercentile(TrialMonths,$B99)),_xll.VoseSimPercentile(TrialMonths,$B99),NA())</f>
        <v>30.640021969624932</v>
      </c>
    </row>
    <row r="100" spans="2:5" hidden="1" outlineLevel="1" x14ac:dyDescent="0.45">
      <c r="B100" s="71">
        <v>0.47</v>
      </c>
      <c r="C100" s="71">
        <f t="shared" si="0"/>
        <v>0.53</v>
      </c>
      <c r="D100" s="72" cm="1">
        <f t="array" aca="1" ref="D100" ca="1">IF(ISNUMBER(_xll.VoseSimPercentile(TotalCost,$B100)),_xll.VoseSimPercentile(TotalCost,$B100),NA())</f>
        <v>13.640100666590833</v>
      </c>
      <c r="E100" s="72" cm="1">
        <f t="array" aca="1" ref="E100" ca="1">IF(ISNUMBER(_xll.VoseSimPercentile(TrialMonths,$B100)),_xll.VoseSimPercentile(TrialMonths,$B100),NA())</f>
        <v>30.762373941778151</v>
      </c>
    </row>
    <row r="101" spans="2:5" hidden="1" outlineLevel="1" x14ac:dyDescent="0.45">
      <c r="B101" s="71">
        <v>0.49</v>
      </c>
      <c r="C101" s="71">
        <f t="shared" si="0"/>
        <v>0.51</v>
      </c>
      <c r="D101" s="72" cm="1">
        <f t="array" aca="1" ref="D101" ca="1">IF(ISNUMBER(_xll.VoseSimPercentile(TotalCost,$B101)),_xll.VoseSimPercentile(TotalCost,$B101),NA())</f>
        <v>13.6836633202333</v>
      </c>
      <c r="E101" s="72" cm="1">
        <f t="array" aca="1" ref="E101" ca="1">IF(ISNUMBER(_xll.VoseSimPercentile(TrialMonths,$B101)),_xll.VoseSimPercentile(TrialMonths,$B101),NA())</f>
        <v>30.897856730757823</v>
      </c>
    </row>
    <row r="102" spans="2:5" hidden="1" outlineLevel="1" x14ac:dyDescent="0.45">
      <c r="B102" s="71">
        <v>0.51</v>
      </c>
      <c r="C102" s="71">
        <f t="shared" si="0"/>
        <v>0.49</v>
      </c>
      <c r="D102" s="72" cm="1">
        <f t="array" aca="1" ref="D102" ca="1">IF(ISNUMBER(_xll.VoseSimPercentile(TotalCost,$B102)),_xll.VoseSimPercentile(TotalCost,$B102),NA())</f>
        <v>13.730865160654524</v>
      </c>
      <c r="E102" s="72" cm="1">
        <f t="array" aca="1" ref="E102" ca="1">IF(ISNUMBER(_xll.VoseSimPercentile(TrialMonths,$B102)),_xll.VoseSimPercentile(TrialMonths,$B102),NA())</f>
        <v>31.048933124395433</v>
      </c>
    </row>
    <row r="103" spans="2:5" hidden="1" outlineLevel="1" x14ac:dyDescent="0.45">
      <c r="B103" s="71">
        <v>0.53</v>
      </c>
      <c r="C103" s="71">
        <f t="shared" si="0"/>
        <v>0.47</v>
      </c>
      <c r="D103" s="72" cm="1">
        <f t="array" aca="1" ref="D103" ca="1">IF(ISNUMBER(_xll.VoseSimPercentile(TotalCost,$B103)),_xll.VoseSimPercentile(TotalCost,$B103),NA())</f>
        <v>13.776743962027677</v>
      </c>
      <c r="E103" s="72" cm="1">
        <f t="array" aca="1" ref="E103" ca="1">IF(ISNUMBER(_xll.VoseSimPercentile(TrialMonths,$B103)),_xll.VoseSimPercentile(TrialMonths,$B103),NA())</f>
        <v>31.18901267180626</v>
      </c>
    </row>
    <row r="104" spans="2:5" hidden="1" outlineLevel="1" x14ac:dyDescent="0.45">
      <c r="B104" s="71">
        <v>0.55000000000000004</v>
      </c>
      <c r="C104" s="71">
        <f t="shared" si="0"/>
        <v>0.44999999999999996</v>
      </c>
      <c r="D104" s="72" cm="1">
        <f t="array" aca="1" ref="D104" ca="1">IF(ISNUMBER(_xll.VoseSimPercentile(TotalCost,$B104)),_xll.VoseSimPercentile(TotalCost,$B104),NA())</f>
        <v>13.818505864453408</v>
      </c>
      <c r="E104" s="72" cm="1">
        <f t="array" aca="1" ref="E104" ca="1">IF(ISNUMBER(_xll.VoseSimPercentile(TrialMonths,$B104)),_xll.VoseSimPercentile(TrialMonths,$B104),NA())</f>
        <v>31.336885809855556</v>
      </c>
    </row>
    <row r="105" spans="2:5" hidden="1" outlineLevel="1" x14ac:dyDescent="0.45">
      <c r="B105" s="71">
        <v>0.56999999999999995</v>
      </c>
      <c r="C105" s="71">
        <f t="shared" si="0"/>
        <v>0.43000000000000005</v>
      </c>
      <c r="D105" s="72" cm="1">
        <f t="array" aca="1" ref="D105" ca="1">IF(ISNUMBER(_xll.VoseSimPercentile(TotalCost,$B105)),_xll.VoseSimPercentile(TotalCost,$B105),NA())</f>
        <v>13.868146390027782</v>
      </c>
      <c r="E105" s="72" cm="1">
        <f t="array" aca="1" ref="E105" ca="1">IF(ISNUMBER(_xll.VoseSimPercentile(TrialMonths,$B105)),_xll.VoseSimPercentile(TrialMonths,$B105),NA())</f>
        <v>31.485723952805802</v>
      </c>
    </row>
    <row r="106" spans="2:5" hidden="1" outlineLevel="1" x14ac:dyDescent="0.45">
      <c r="B106" s="71">
        <v>0.59</v>
      </c>
      <c r="C106" s="71">
        <f t="shared" si="0"/>
        <v>0.41000000000000003</v>
      </c>
      <c r="D106" s="72" cm="1">
        <f t="array" aca="1" ref="D106" ca="1">IF(ISNUMBER(_xll.VoseSimPercentile(TotalCost,$B106)),_xll.VoseSimPercentile(TotalCost,$B106),NA())</f>
        <v>13.918698826690704</v>
      </c>
      <c r="E106" s="72" cm="1">
        <f t="array" aca="1" ref="E106" ca="1">IF(ISNUMBER(_xll.VoseSimPercentile(TrialMonths,$B106)),_xll.VoseSimPercentile(TrialMonths,$B106),NA())</f>
        <v>31.644526769458892</v>
      </c>
    </row>
    <row r="107" spans="2:5" hidden="1" outlineLevel="1" x14ac:dyDescent="0.45">
      <c r="B107" s="71">
        <v>0.61</v>
      </c>
      <c r="C107" s="71">
        <f t="shared" si="0"/>
        <v>0.39</v>
      </c>
      <c r="D107" s="72" cm="1">
        <f t="array" aca="1" ref="D107" ca="1">IF(ISNUMBER(_xll.VoseSimPercentile(TotalCost,$B107)),_xll.VoseSimPercentile(TotalCost,$B107),NA())</f>
        <v>13.974586758843387</v>
      </c>
      <c r="E107" s="72" cm="1">
        <f t="array" aca="1" ref="E107" ca="1">IF(ISNUMBER(_xll.VoseSimPercentile(TrialMonths,$B107)),_xll.VoseSimPercentile(TrialMonths,$B107),NA())</f>
        <v>31.812085125279289</v>
      </c>
    </row>
    <row r="108" spans="2:5" hidden="1" outlineLevel="1" x14ac:dyDescent="0.45">
      <c r="B108" s="71">
        <v>0.63</v>
      </c>
      <c r="C108" s="71">
        <f t="shared" si="0"/>
        <v>0.37</v>
      </c>
      <c r="D108" s="72" cm="1">
        <f t="array" aca="1" ref="D108" ca="1">IF(ISNUMBER(_xll.VoseSimPercentile(TotalCost,$B108)),_xll.VoseSimPercentile(TotalCost,$B108),NA())</f>
        <v>14.020276017981022</v>
      </c>
      <c r="E108" s="72" cm="1">
        <f t="array" aca="1" ref="E108" ca="1">IF(ISNUMBER(_xll.VoseSimPercentile(TrialMonths,$B108)),_xll.VoseSimPercentile(TrialMonths,$B108),NA())</f>
        <v>31.965980138662015</v>
      </c>
    </row>
    <row r="109" spans="2:5" hidden="1" outlineLevel="1" x14ac:dyDescent="0.45">
      <c r="B109" s="71">
        <v>0.65</v>
      </c>
      <c r="C109" s="71">
        <f t="shared" ref="C109:C140" si="1">1-B109</f>
        <v>0.35</v>
      </c>
      <c r="D109" s="72" cm="1">
        <f t="array" aca="1" ref="D109" ca="1">IF(ISNUMBER(_xll.VoseSimPercentile(TotalCost,$B109)),_xll.VoseSimPercentile(TotalCost,$B109),NA())</f>
        <v>14.074018492930024</v>
      </c>
      <c r="E109" s="72" cm="1">
        <f t="array" aca="1" ref="E109" ca="1">IF(ISNUMBER(_xll.VoseSimPercentile(TrialMonths,$B109)),_xll.VoseSimPercentile(TrialMonths,$B109),NA())</f>
        <v>32.13333221164612</v>
      </c>
    </row>
    <row r="110" spans="2:5" hidden="1" outlineLevel="1" x14ac:dyDescent="0.45">
      <c r="B110" s="71">
        <v>0.67</v>
      </c>
      <c r="C110" s="71">
        <f t="shared" si="1"/>
        <v>0.32999999999999996</v>
      </c>
      <c r="D110" s="72" cm="1">
        <f t="array" aca="1" ref="D110" ca="1">IF(ISNUMBER(_xll.VoseSimPercentile(TotalCost,$B110)),_xll.VoseSimPercentile(TotalCost,$B110),NA())</f>
        <v>14.12367853304815</v>
      </c>
      <c r="E110" s="72" cm="1">
        <f t="array" aca="1" ref="E110" ca="1">IF(ISNUMBER(_xll.VoseSimPercentile(TrialMonths,$B110)),_xll.VoseSimPercentile(TrialMonths,$B110),NA())</f>
        <v>32.30422691525267</v>
      </c>
    </row>
    <row r="111" spans="2:5" hidden="1" outlineLevel="1" x14ac:dyDescent="0.45">
      <c r="B111" s="71">
        <v>0.69</v>
      </c>
      <c r="C111" s="71">
        <f t="shared" si="1"/>
        <v>0.31000000000000005</v>
      </c>
      <c r="D111" s="72" cm="1">
        <f t="array" aca="1" ref="D111" ca="1">IF(ISNUMBER(_xll.VoseSimPercentile(TotalCost,$B111)),_xll.VoseSimPercentile(TotalCost,$B111),NA())</f>
        <v>14.176186190388474</v>
      </c>
      <c r="E111" s="72" cm="1">
        <f t="array" aca="1" ref="E111" ca="1">IF(ISNUMBER(_xll.VoseSimPercentile(TrialMonths,$B111)),_xll.VoseSimPercentile(TrialMonths,$B111),NA())</f>
        <v>32.482500483598642</v>
      </c>
    </row>
    <row r="112" spans="2:5" hidden="1" outlineLevel="1" x14ac:dyDescent="0.45">
      <c r="B112" s="71">
        <v>0.71</v>
      </c>
      <c r="C112" s="71">
        <f t="shared" si="1"/>
        <v>0.29000000000000004</v>
      </c>
      <c r="D112" s="72" cm="1">
        <f t="array" aca="1" ref="D112" ca="1">IF(ISNUMBER(_xll.VoseSimPercentile(TotalCost,$B112)),_xll.VoseSimPercentile(TotalCost,$B112),NA())</f>
        <v>14.239542309426293</v>
      </c>
      <c r="E112" s="72" cm="1">
        <f t="array" aca="1" ref="E112" ca="1">IF(ISNUMBER(_xll.VoseSimPercentile(TrialMonths,$B112)),_xll.VoseSimPercentile(TrialMonths,$B112),NA())</f>
        <v>32.658118617461909</v>
      </c>
    </row>
    <row r="113" spans="2:5" hidden="1" outlineLevel="1" x14ac:dyDescent="0.45">
      <c r="B113" s="71">
        <v>0.73</v>
      </c>
      <c r="C113" s="71">
        <f t="shared" si="1"/>
        <v>0.27</v>
      </c>
      <c r="D113" s="72" cm="1">
        <f t="array" aca="1" ref="D113" ca="1">IF(ISNUMBER(_xll.VoseSimPercentile(TotalCost,$B113)),_xll.VoseSimPercentile(TotalCost,$B113),NA())</f>
        <v>14.298862913554567</v>
      </c>
      <c r="E113" s="72" cm="1">
        <f t="array" aca="1" ref="E113" ca="1">IF(ISNUMBER(_xll.VoseSimPercentile(TrialMonths,$B113)),_xll.VoseSimPercentile(TrialMonths,$B113),NA())</f>
        <v>32.847580402573442</v>
      </c>
    </row>
    <row r="114" spans="2:5" hidden="1" outlineLevel="1" x14ac:dyDescent="0.45">
      <c r="B114" s="71">
        <v>0.75</v>
      </c>
      <c r="C114" s="71">
        <f t="shared" si="1"/>
        <v>0.25</v>
      </c>
      <c r="D114" s="72" cm="1">
        <f t="array" aca="1" ref="D114" ca="1">IF(ISNUMBER(_xll.VoseSimPercentile(TotalCost,$B114)),_xll.VoseSimPercentile(TotalCost,$B114),NA())</f>
        <v>14.36487775019485</v>
      </c>
      <c r="E114" s="72" cm="1">
        <f t="array" aca="1" ref="E114" ca="1">IF(ISNUMBER(_xll.VoseSimPercentile(TrialMonths,$B114)),_xll.VoseSimPercentile(TrialMonths,$B114),NA())</f>
        <v>33.054392810197925</v>
      </c>
    </row>
    <row r="115" spans="2:5" hidden="1" outlineLevel="1" x14ac:dyDescent="0.45">
      <c r="B115" s="71">
        <v>0.77</v>
      </c>
      <c r="C115" s="71">
        <f t="shared" si="1"/>
        <v>0.22999999999999998</v>
      </c>
      <c r="D115" s="72" cm="1">
        <f t="array" aca="1" ref="D115" ca="1">IF(ISNUMBER(_xll.VoseSimPercentile(TotalCost,$B115)),_xll.VoseSimPercentile(TotalCost,$B115),NA())</f>
        <v>14.4255456841769</v>
      </c>
      <c r="E115" s="72" cm="1">
        <f t="array" aca="1" ref="E115" ca="1">IF(ISNUMBER(_xll.VoseSimPercentile(TrialMonths,$B115)),_xll.VoseSimPercentile(TrialMonths,$B115),NA())</f>
        <v>33.302426855274369</v>
      </c>
    </row>
    <row r="116" spans="2:5" hidden="1" outlineLevel="1" x14ac:dyDescent="0.45">
      <c r="B116" s="71">
        <v>0.79</v>
      </c>
      <c r="C116" s="71">
        <f t="shared" si="1"/>
        <v>0.20999999999999996</v>
      </c>
      <c r="D116" s="72" cm="1">
        <f t="array" aca="1" ref="D116" ca="1">IF(ISNUMBER(_xll.VoseSimPercentile(TotalCost,$B116)),_xll.VoseSimPercentile(TotalCost,$B116),NA())</f>
        <v>14.496480636314811</v>
      </c>
      <c r="E116" s="72" cm="1">
        <f t="array" aca="1" ref="E116" ca="1">IF(ISNUMBER(_xll.VoseSimPercentile(TrialMonths,$B116)),_xll.VoseSimPercentile(TrialMonths,$B116),NA())</f>
        <v>33.511056689404086</v>
      </c>
    </row>
    <row r="117" spans="2:5" hidden="1" outlineLevel="1" x14ac:dyDescent="0.45">
      <c r="B117" s="71">
        <v>0.81</v>
      </c>
      <c r="C117" s="71">
        <f t="shared" si="1"/>
        <v>0.18999999999999995</v>
      </c>
      <c r="D117" s="72" cm="1">
        <f t="array" aca="1" ref="D117" ca="1">IF(ISNUMBER(_xll.VoseSimPercentile(TotalCost,$B117)),_xll.VoseSimPercentile(TotalCost,$B117),NA())</f>
        <v>14.568102887914456</v>
      </c>
      <c r="E117" s="72" cm="1">
        <f t="array" aca="1" ref="E117" ca="1">IF(ISNUMBER(_xll.VoseSimPercentile(TrialMonths,$B117)),_xll.VoseSimPercentile(TrialMonths,$B117),NA())</f>
        <v>33.729339985303284</v>
      </c>
    </row>
    <row r="118" spans="2:5" hidden="1" outlineLevel="1" x14ac:dyDescent="0.45">
      <c r="B118" s="71">
        <v>0.83</v>
      </c>
      <c r="C118" s="71">
        <f t="shared" si="1"/>
        <v>0.17000000000000004</v>
      </c>
      <c r="D118" s="72" cm="1">
        <f t="array" aca="1" ref="D118" ca="1">IF(ISNUMBER(_xll.VoseSimPercentile(TotalCost,$B118)),_xll.VoseSimPercentile(TotalCost,$B118),NA())</f>
        <v>14.649745331291966</v>
      </c>
      <c r="E118" s="72" cm="1">
        <f t="array" aca="1" ref="E118" ca="1">IF(ISNUMBER(_xll.VoseSimPercentile(TrialMonths,$B118)),_xll.VoseSimPercentile(TrialMonths,$B118),NA())</f>
        <v>33.984286968696537</v>
      </c>
    </row>
    <row r="119" spans="2:5" hidden="1" outlineLevel="1" x14ac:dyDescent="0.45">
      <c r="B119" s="71">
        <v>0.85</v>
      </c>
      <c r="C119" s="71">
        <f t="shared" si="1"/>
        <v>0.15000000000000002</v>
      </c>
      <c r="D119" s="72" cm="1">
        <f t="array" aca="1" ref="D119" ca="1">IF(ISNUMBER(_xll.VoseSimPercentile(TotalCost,$B119)),_xll.VoseSimPercentile(TotalCost,$B119),NA())</f>
        <v>14.725391412311836</v>
      </c>
      <c r="E119" s="72" cm="1">
        <f t="array" aca="1" ref="E119" ca="1">IF(ISNUMBER(_xll.VoseSimPercentile(TrialMonths,$B119)),_xll.VoseSimPercentile(TrialMonths,$B119),NA())</f>
        <v>34.276719218787342</v>
      </c>
    </row>
    <row r="120" spans="2:5" hidden="1" outlineLevel="1" x14ac:dyDescent="0.45">
      <c r="B120" s="71">
        <v>0.87</v>
      </c>
      <c r="C120" s="71">
        <f t="shared" si="1"/>
        <v>0.13</v>
      </c>
      <c r="D120" s="72" cm="1">
        <f t="array" aca="1" ref="D120" ca="1">IF(ISNUMBER(_xll.VoseSimPercentile(TotalCost,$B120)),_xll.VoseSimPercentile(TotalCost,$B120),NA())</f>
        <v>14.822652553493679</v>
      </c>
      <c r="E120" s="72" cm="1">
        <f t="array" aca="1" ref="E120" ca="1">IF(ISNUMBER(_xll.VoseSimPercentile(TrialMonths,$B120)),_xll.VoseSimPercentile(TrialMonths,$B120),NA())</f>
        <v>34.624636026700756</v>
      </c>
    </row>
    <row r="121" spans="2:5" hidden="1" outlineLevel="1" x14ac:dyDescent="0.45">
      <c r="B121" s="71">
        <v>0.89</v>
      </c>
      <c r="C121" s="71">
        <f t="shared" si="1"/>
        <v>0.10999999999999999</v>
      </c>
      <c r="D121" s="72" cm="1">
        <f t="array" aca="1" ref="D121" ca="1">IF(ISNUMBER(_xll.VoseSimPercentile(TotalCost,$B121)),_xll.VoseSimPercentile(TotalCost,$B121),NA())</f>
        <v>14.928420750755194</v>
      </c>
      <c r="E121" s="72" cm="1">
        <f t="array" aca="1" ref="E121" ca="1">IF(ISNUMBER(_xll.VoseSimPercentile(TrialMonths,$B121)),_xll.VoseSimPercentile(TrialMonths,$B121),NA())</f>
        <v>34.947444913262345</v>
      </c>
    </row>
    <row r="122" spans="2:5" hidden="1" outlineLevel="1" x14ac:dyDescent="0.45">
      <c r="B122" s="71">
        <v>0.91</v>
      </c>
      <c r="C122" s="71">
        <f t="shared" si="1"/>
        <v>8.9999999999999969E-2</v>
      </c>
      <c r="D122" s="72" cm="1">
        <f t="array" aca="1" ref="D122" ca="1">IF(ISNUMBER(_xll.VoseSimPercentile(TotalCost,$B122)),_xll.VoseSimPercentile(TotalCost,$B122),NA())</f>
        <v>15.048657780045705</v>
      </c>
      <c r="E122" s="72" cm="1">
        <f t="array" aca="1" ref="E122" ca="1">IF(ISNUMBER(_xll.VoseSimPercentile(TrialMonths,$B122)),_xll.VoseSimPercentile(TrialMonths,$B122),NA())</f>
        <v>35.342576235091684</v>
      </c>
    </row>
    <row r="123" spans="2:5" hidden="1" outlineLevel="1" x14ac:dyDescent="0.45">
      <c r="B123" s="71">
        <v>0.93</v>
      </c>
      <c r="C123" s="71">
        <f t="shared" si="1"/>
        <v>6.9999999999999951E-2</v>
      </c>
      <c r="D123" s="72" cm="1">
        <f t="array" aca="1" ref="D123" ca="1">IF(ISNUMBER(_xll.VoseSimPercentile(TotalCost,$B123)),_xll.VoseSimPercentile(TotalCost,$B123),NA())</f>
        <v>15.174486407750347</v>
      </c>
      <c r="E123" s="72" cm="1">
        <f t="array" aca="1" ref="E123" ca="1">IF(ISNUMBER(_xll.VoseSimPercentile(TrialMonths,$B123)),_xll.VoseSimPercentile(TrialMonths,$B123),NA())</f>
        <v>35.840442950261227</v>
      </c>
    </row>
    <row r="124" spans="2:5" hidden="1" outlineLevel="1" x14ac:dyDescent="0.45">
      <c r="B124" s="71">
        <v>0.95</v>
      </c>
      <c r="C124" s="71">
        <f t="shared" si="1"/>
        <v>5.0000000000000044E-2</v>
      </c>
      <c r="D124" s="72" cm="1">
        <f t="array" aca="1" ref="D124" ca="1">IF(ISNUMBER(_xll.VoseSimPercentile(TotalCost,$B124)),_xll.VoseSimPercentile(TotalCost,$B124),NA())</f>
        <v>15.342228119361152</v>
      </c>
      <c r="E124" s="72" cm="1">
        <f t="array" aca="1" ref="E124" ca="1">IF(ISNUMBER(_xll.VoseSimPercentile(TrialMonths,$B124)),_xll.VoseSimPercentile(TrialMonths,$B124),NA())</f>
        <v>36.545212142104802</v>
      </c>
    </row>
    <row r="125" spans="2:5" hidden="1" outlineLevel="1" x14ac:dyDescent="0.45">
      <c r="B125" s="71">
        <v>0.97</v>
      </c>
      <c r="C125" s="71">
        <f t="shared" si="1"/>
        <v>3.0000000000000027E-2</v>
      </c>
      <c r="D125" s="72" cm="1">
        <f t="array" aca="1" ref="D125" ca="1">IF(ISNUMBER(_xll.VoseSimPercentile(TotalCost,$B125)),_xll.VoseSimPercentile(TotalCost,$B125),NA())</f>
        <v>15.609012247165627</v>
      </c>
      <c r="E125" s="72" cm="1">
        <f t="array" aca="1" ref="E125" ca="1">IF(ISNUMBER(_xll.VoseSimPercentile(TrialMonths,$B125)),_xll.VoseSimPercentile(TrialMonths,$B125),NA())</f>
        <v>37.570167813336134</v>
      </c>
    </row>
    <row r="126" spans="2:5" hidden="1" outlineLevel="1" x14ac:dyDescent="0.45">
      <c r="B126" s="71">
        <v>0.99</v>
      </c>
      <c r="C126" s="71">
        <f t="shared" si="1"/>
        <v>1.0000000000000009E-2</v>
      </c>
      <c r="D126" s="72" cm="1">
        <f t="array" aca="1" ref="D126" ca="1">IF(ISNUMBER(_xll.VoseSimPercentile(TotalCost,$B126)),_xll.VoseSimPercentile(TotalCost,$B126),NA())</f>
        <v>16.099499167033088</v>
      </c>
      <c r="E126" s="72" cm="1">
        <f t="array" aca="1" ref="E126" ca="1">IF(ISNUMBER(_xll.VoseSimPercentile(TrialMonths,$B126)),_xll.VoseSimPercentile(TrialMonths,$B126),NA())</f>
        <v>39.867656148572706</v>
      </c>
    </row>
    <row r="127" spans="2:5" hidden="1" outlineLevel="1" x14ac:dyDescent="0.45"/>
    <row r="128" spans="2:5" hidden="1" outlineLevel="1" x14ac:dyDescent="0.45">
      <c r="B128" s="73" t="s">
        <v>261</v>
      </c>
      <c r="D128" s="74" cm="1">
        <f t="array" aca="1" ref="D128" ca="1">_xll.VoseSimMean(TotalCost)</f>
        <v>13.768802211613462</v>
      </c>
    </row>
    <row r="129" spans="2:7" ht="18" hidden="1" customHeight="1" outlineLevel="1" x14ac:dyDescent="0.45">
      <c r="B129" s="23" t="s">
        <v>262</v>
      </c>
      <c r="C129" s="5"/>
      <c r="D129" s="5"/>
      <c r="E129" s="5"/>
      <c r="F129" s="24" t="s">
        <v>263</v>
      </c>
      <c r="G129" s="24" t="s">
        <v>264</v>
      </c>
    </row>
    <row r="130" spans="2:7" hidden="1" outlineLevel="1" x14ac:dyDescent="0.45">
      <c r="B130" s="75" t="str">
        <f t="shared" ref="B130:B142" ca="1" si="2">B51</f>
        <v>Стоимость на включенного пациента</v>
      </c>
      <c r="F130" s="49">
        <f t="shared" ref="F130:F142" ca="1" si="3">IFERROR(D51-$D$128,NA())</f>
        <v>1.103709658373349</v>
      </c>
      <c r="G130" s="49">
        <f t="shared" ref="G130:G142" ca="1" si="4">IFERROR(C51-$D$128,NA())</f>
        <v>-0.89847391452111403</v>
      </c>
    </row>
    <row r="131" spans="2:7" hidden="1" outlineLevel="1" x14ac:dyDescent="0.45">
      <c r="B131" s="75" t="str">
        <f t="shared" ca="1" si="2"/>
        <v>Текущие затраты в месяц</v>
      </c>
      <c r="F131" s="49">
        <f t="shared" ca="1" si="3"/>
        <v>0.68657178590741985</v>
      </c>
      <c r="G131" s="49">
        <f t="shared" ca="1" si="4"/>
        <v>-0.62419198717357993</v>
      </c>
    </row>
    <row r="132" spans="2:7" hidden="1" outlineLevel="1" x14ac:dyDescent="0.45">
      <c r="B132" s="75" t="str">
        <f t="shared" ca="1" si="2"/>
        <v>Приостановка исследования: задержка</v>
      </c>
      <c r="F132" s="49">
        <f t="shared" ca="1" si="3"/>
        <v>1.0036236434150592</v>
      </c>
      <c r="G132" s="49">
        <f t="shared" ca="1" si="4"/>
        <v>-5.4493007523348069E-2</v>
      </c>
    </row>
    <row r="133" spans="2:7" hidden="1" outlineLevel="1" x14ac:dyDescent="0.45">
      <c r="B133" s="75" t="str">
        <f t="shared" ca="1" si="2"/>
        <v>Период набора</v>
      </c>
      <c r="F133" s="49">
        <f t="shared" ca="1" si="3"/>
        <v>0.49378084238076347</v>
      </c>
      <c r="G133" s="49">
        <f t="shared" ca="1" si="4"/>
        <v>-0.36104855136316338</v>
      </c>
    </row>
    <row r="134" spans="2:7" hidden="1" outlineLevel="1" x14ac:dyDescent="0.45">
      <c r="B134" s="75" t="str">
        <f t="shared" ca="1" si="2"/>
        <v>Доля выбывания</v>
      </c>
      <c r="F134" s="49">
        <f t="shared" ca="1" si="3"/>
        <v>0.44660322309598577</v>
      </c>
      <c r="G134" s="49">
        <f t="shared" ca="1" si="4"/>
        <v>-0.37089538978775671</v>
      </c>
    </row>
    <row r="135" spans="2:7" hidden="1" outlineLevel="1" x14ac:dyDescent="0.45">
      <c r="B135" s="75" t="str">
        <f t="shared" ca="1" si="2"/>
        <v>Медленный набор: задержка</v>
      </c>
      <c r="F135" s="49">
        <f t="shared" ca="1" si="3"/>
        <v>0.49844142718046669</v>
      </c>
      <c r="G135" s="49">
        <f t="shared" ca="1" si="4"/>
        <v>-0.16665035000811379</v>
      </c>
    </row>
    <row r="136" spans="2:7" hidden="1" outlineLevel="1" x14ac:dyDescent="0.45">
      <c r="B136" s="75" t="str">
        <f t="shared" ca="1" si="2"/>
        <v>Поправка к протоколу: задержка</v>
      </c>
      <c r="F136" s="49">
        <f t="shared" ca="1" si="3"/>
        <v>0.33929165078277101</v>
      </c>
      <c r="G136" s="49">
        <f t="shared" ca="1" si="4"/>
        <v>-0.1537873095233202</v>
      </c>
    </row>
    <row r="137" spans="2:7" hidden="1" outlineLevel="1" x14ac:dyDescent="0.45">
      <c r="B137" s="75" t="str">
        <f t="shared" ca="1" si="2"/>
        <v>Препарат: поставки и логистика</v>
      </c>
      <c r="F137" s="49">
        <f t="shared" ca="1" si="3"/>
        <v>0.28099383335825401</v>
      </c>
      <c r="G137" s="49">
        <f t="shared" ca="1" si="4"/>
        <v>-0.1565736624421703</v>
      </c>
    </row>
    <row r="138" spans="2:7" hidden="1" outlineLevel="1" x14ac:dyDescent="0.45">
      <c r="B138" s="75" t="str">
        <f t="shared" ca="1" si="2"/>
        <v>Затраты на запуск</v>
      </c>
      <c r="F138" s="49">
        <f t="shared" ca="1" si="3"/>
        <v>0.22878784546459485</v>
      </c>
      <c r="G138" s="49">
        <f t="shared" ca="1" si="4"/>
        <v>-0.19207305186010615</v>
      </c>
    </row>
    <row r="139" spans="2:7" hidden="1" outlineLevel="1" x14ac:dyDescent="0.45">
      <c r="B139" s="75" t="str">
        <f t="shared" ca="1" si="2"/>
        <v>Период закрытия</v>
      </c>
      <c r="F139" s="49">
        <f t="shared" ca="1" si="3"/>
        <v>0.22233558794211383</v>
      </c>
      <c r="G139" s="49">
        <f t="shared" ca="1" si="4"/>
        <v>-0.14163128645013323</v>
      </c>
    </row>
    <row r="140" spans="2:7" hidden="1" outlineLevel="1" x14ac:dyDescent="0.45">
      <c r="B140" s="75" t="str">
        <f t="shared" ca="1" si="2"/>
        <v>Стоимость на пациента в скрининге</v>
      </c>
      <c r="F140" s="49">
        <f t="shared" ca="1" si="3"/>
        <v>0.21933894265856679</v>
      </c>
      <c r="G140" s="49">
        <f t="shared" ca="1" si="4"/>
        <v>-0.13616076576489178</v>
      </c>
    </row>
    <row r="141" spans="2:7" hidden="1" outlineLevel="1" x14ac:dyDescent="0.45">
      <c r="B141" s="75" t="str">
        <f t="shared" ca="1" si="2"/>
        <v>Доля отсева при скрининге</v>
      </c>
      <c r="F141" s="49">
        <f t="shared" ca="1" si="3"/>
        <v>0.13321798958549635</v>
      </c>
      <c r="G141" s="49">
        <f t="shared" ca="1" si="4"/>
        <v>-0.1065247659660713</v>
      </c>
    </row>
    <row r="142" spans="2:7" hidden="1" outlineLevel="1" x14ac:dyDescent="0.45">
      <c r="B142" s="75" t="str">
        <f t="shared" ca="1" si="2"/>
        <v>Период запуска</v>
      </c>
      <c r="F142" s="49">
        <f t="shared" ca="1" si="3"/>
        <v>5.169394677668393E-2</v>
      </c>
      <c r="G142" s="49">
        <f t="shared" ca="1" si="4"/>
        <v>-2.8086152695642852E-2</v>
      </c>
    </row>
    <row r="143" spans="2:7" hidden="1" outlineLevel="1" x14ac:dyDescent="0.45"/>
    <row r="144" spans="2:7" ht="18" hidden="1" customHeight="1" outlineLevel="1" x14ac:dyDescent="0.45">
      <c r="B144" s="23" t="s">
        <v>265</v>
      </c>
      <c r="C144" s="24" t="s">
        <v>204</v>
      </c>
      <c r="D144" s="5"/>
      <c r="E144" s="5"/>
      <c r="F144" s="5"/>
      <c r="G144" s="5"/>
    </row>
    <row r="145" spans="2:3" hidden="1" outlineLevel="1" x14ac:dyDescent="0.45">
      <c r="B145" s="76">
        <v>5.0000000000000001E-3</v>
      </c>
      <c r="C145" s="72" cm="1">
        <f t="array" aca="1" ref="C145" ca="1">IF(ISNUMBER(_xll.VoseSimPercentile(TrialMonths,0.005)),_xll.VoseSimPercentile(TrialMonths,0.005),NA())</f>
        <v>25.470117350319143</v>
      </c>
    </row>
    <row r="146" spans="2:3" hidden="1" outlineLevel="1" x14ac:dyDescent="0.45">
      <c r="B146" s="76">
        <v>0.01</v>
      </c>
      <c r="C146" s="72" cm="1">
        <f t="array" aca="1" ref="C146" ca="1">IF(ISNUMBER(_xll.VoseSimPercentile(TrialMonths,0.01)),_xll.VoseSimPercentile(TrialMonths,0.01),NA())</f>
        <v>25.796212014250251</v>
      </c>
    </row>
    <row r="147" spans="2:3" hidden="1" outlineLevel="1" x14ac:dyDescent="0.45">
      <c r="B147" s="76">
        <v>0.02</v>
      </c>
      <c r="C147" s="72" cm="1">
        <f t="array" aca="1" ref="C147" ca="1">IF(ISNUMBER(_xll.VoseSimPercentile(TrialMonths,0.02)),_xll.VoseSimPercentile(TrialMonths,0.02),NA())</f>
        <v>26.208888832724199</v>
      </c>
    </row>
    <row r="148" spans="2:3" hidden="1" outlineLevel="1" x14ac:dyDescent="0.45">
      <c r="B148" s="76">
        <v>0.03</v>
      </c>
      <c r="C148" s="72" cm="1">
        <f t="array" aca="1" ref="C148" ca="1">IF(ISNUMBER(_xll.VoseSimPercentile(TrialMonths,0.03)),_xll.VoseSimPercentile(TrialMonths,0.03),NA())</f>
        <v>26.545520540634474</v>
      </c>
    </row>
    <row r="149" spans="2:3" hidden="1" outlineLevel="1" x14ac:dyDescent="0.45">
      <c r="B149" s="76">
        <v>0.04</v>
      </c>
      <c r="C149" s="72" cm="1">
        <f t="array" aca="1" ref="C149" ca="1">IF(ISNUMBER(_xll.VoseSimPercentile(TrialMonths,0.04)),_xll.VoseSimPercentile(TrialMonths,0.04),NA())</f>
        <v>26.771958754222517</v>
      </c>
    </row>
    <row r="150" spans="2:3" hidden="1" outlineLevel="1" x14ac:dyDescent="0.45">
      <c r="B150" s="76">
        <v>0.05</v>
      </c>
      <c r="C150" s="72" cm="1">
        <f t="array" aca="1" ref="C150" ca="1">IF(ISNUMBER(_xll.VoseSimPercentile(TrialMonths,0.05)),_xll.VoseSimPercentile(TrialMonths,0.05),NA())</f>
        <v>26.991170171548852</v>
      </c>
    </row>
    <row r="151" spans="2:3" hidden="1" outlineLevel="1" x14ac:dyDescent="0.45">
      <c r="B151" s="76">
        <v>0.06</v>
      </c>
      <c r="C151" s="72" cm="1">
        <f t="array" aca="1" ref="C151" ca="1">IF(ISNUMBER(_xll.VoseSimPercentile(TrialMonths,0.06)),_xll.VoseSimPercentile(TrialMonths,0.06),NA())</f>
        <v>27.183072654202505</v>
      </c>
    </row>
    <row r="152" spans="2:3" hidden="1" outlineLevel="1" x14ac:dyDescent="0.45">
      <c r="B152" s="76">
        <v>7.0000000000000007E-2</v>
      </c>
      <c r="C152" s="72" cm="1">
        <f t="array" aca="1" ref="C152" ca="1">IF(ISNUMBER(_xll.VoseSimPercentile(TrialMonths,0.07)),_xll.VoseSimPercentile(TrialMonths,0.07),NA())</f>
        <v>27.339590623271775</v>
      </c>
    </row>
    <row r="153" spans="2:3" hidden="1" outlineLevel="1" x14ac:dyDescent="0.45">
      <c r="B153" s="76">
        <v>0.08</v>
      </c>
      <c r="C153" s="72" cm="1">
        <f t="array" aca="1" ref="C153" ca="1">IF(ISNUMBER(_xll.VoseSimPercentile(TrialMonths,0.08)),_xll.VoseSimPercentile(TrialMonths,0.08),NA())</f>
        <v>27.457415216542866</v>
      </c>
    </row>
    <row r="154" spans="2:3" hidden="1" outlineLevel="1" x14ac:dyDescent="0.45">
      <c r="B154" s="76">
        <v>0.09</v>
      </c>
      <c r="C154" s="72" cm="1">
        <f t="array" aca="1" ref="C154" ca="1">IF(ISNUMBER(_xll.VoseSimPercentile(TrialMonths,0.09)),_xll.VoseSimPercentile(TrialMonths,0.09),NA())</f>
        <v>27.603625864108277</v>
      </c>
    </row>
    <row r="155" spans="2:3" hidden="1" outlineLevel="1" x14ac:dyDescent="0.45">
      <c r="B155" s="76">
        <v>0.1</v>
      </c>
      <c r="C155" s="72" cm="1">
        <f t="array" aca="1" ref="C155" ca="1">IF(ISNUMBER(_xll.VoseSimPercentile(TrialMonths,0.1)),_xll.VoseSimPercentile(TrialMonths,0.1),NA())</f>
        <v>27.741166316665637</v>
      </c>
    </row>
    <row r="156" spans="2:3" hidden="1" outlineLevel="1" x14ac:dyDescent="0.45">
      <c r="B156" s="76">
        <v>0.11</v>
      </c>
      <c r="C156" s="72" cm="1">
        <f t="array" aca="1" ref="C156" ca="1">IF(ISNUMBER(_xll.VoseSimPercentile(TrialMonths,0.11)),_xll.VoseSimPercentile(TrialMonths,0.11),NA())</f>
        <v>27.818199426381927</v>
      </c>
    </row>
    <row r="157" spans="2:3" hidden="1" outlineLevel="1" x14ac:dyDescent="0.45">
      <c r="B157" s="76">
        <v>0.12</v>
      </c>
      <c r="C157" s="72" cm="1">
        <f t="array" aca="1" ref="C157" ca="1">IF(ISNUMBER(_xll.VoseSimPercentile(TrialMonths,0.12)),_xll.VoseSimPercentile(TrialMonths,0.12),NA())</f>
        <v>27.939025421200881</v>
      </c>
    </row>
    <row r="158" spans="2:3" hidden="1" outlineLevel="1" x14ac:dyDescent="0.45">
      <c r="B158" s="76">
        <v>0.13</v>
      </c>
      <c r="C158" s="72" cm="1">
        <f t="array" aca="1" ref="C158" ca="1">IF(ISNUMBER(_xll.VoseSimPercentile(TrialMonths,0.13)),_xll.VoseSimPercentile(TrialMonths,0.13),NA())</f>
        <v>28.051961111875375</v>
      </c>
    </row>
    <row r="159" spans="2:3" hidden="1" outlineLevel="1" x14ac:dyDescent="0.45">
      <c r="B159" s="76">
        <v>0.14000000000000001</v>
      </c>
      <c r="C159" s="72" cm="1">
        <f t="array" aca="1" ref="C159" ca="1">IF(ISNUMBER(_xll.VoseSimPercentile(TrialMonths,0.14)),_xll.VoseSimPercentile(TrialMonths,0.14),NA())</f>
        <v>28.154562783271839</v>
      </c>
    </row>
    <row r="160" spans="2:3" hidden="1" outlineLevel="1" x14ac:dyDescent="0.45">
      <c r="B160" s="76">
        <v>0.15</v>
      </c>
      <c r="C160" s="72" cm="1">
        <f t="array" aca="1" ref="C160" ca="1">IF(ISNUMBER(_xll.VoseSimPercentile(TrialMonths,0.15)),_xll.VoseSimPercentile(TrialMonths,0.15),NA())</f>
        <v>28.265359879463322</v>
      </c>
    </row>
    <row r="161" spans="2:3" hidden="1" outlineLevel="1" x14ac:dyDescent="0.45">
      <c r="B161" s="76">
        <v>0.16</v>
      </c>
      <c r="C161" s="72" cm="1">
        <f t="array" aca="1" ref="C161" ca="1">IF(ISNUMBER(_xll.VoseSimPercentile(TrialMonths,0.16)),_xll.VoseSimPercentile(TrialMonths,0.16),NA())</f>
        <v>28.369051147546898</v>
      </c>
    </row>
    <row r="162" spans="2:3" hidden="1" outlineLevel="1" x14ac:dyDescent="0.45">
      <c r="B162" s="76">
        <v>0.17</v>
      </c>
      <c r="C162" s="72" cm="1">
        <f t="array" aca="1" ref="C162" ca="1">IF(ISNUMBER(_xll.VoseSimPercentile(TrialMonths,0.17)),_xll.VoseSimPercentile(TrialMonths,0.17),NA())</f>
        <v>28.468056222425414</v>
      </c>
    </row>
    <row r="163" spans="2:3" hidden="1" outlineLevel="1" x14ac:dyDescent="0.45">
      <c r="B163" s="76">
        <v>0.18</v>
      </c>
      <c r="C163" s="72" cm="1">
        <f t="array" aca="1" ref="C163" ca="1">IF(ISNUMBER(_xll.VoseSimPercentile(TrialMonths,0.18)),_xll.VoseSimPercentile(TrialMonths,0.18),NA())</f>
        <v>28.564720016906261</v>
      </c>
    </row>
    <row r="164" spans="2:3" hidden="1" outlineLevel="1" x14ac:dyDescent="0.45">
      <c r="B164" s="76">
        <v>0.19</v>
      </c>
      <c r="C164" s="72" cm="1">
        <f t="array" aca="1" ref="C164" ca="1">IF(ISNUMBER(_xll.VoseSimPercentile(TrialMonths,0.19)),_xll.VoseSimPercentile(TrialMonths,0.19),NA())</f>
        <v>28.637780855104285</v>
      </c>
    </row>
    <row r="165" spans="2:3" hidden="1" outlineLevel="1" x14ac:dyDescent="0.45">
      <c r="B165" s="76">
        <v>0.2</v>
      </c>
      <c r="C165" s="72" cm="1">
        <f t="array" aca="1" ref="C165" ca="1">IF(ISNUMBER(_xll.VoseSimPercentile(TrialMonths,0.2)),_xll.VoseSimPercentile(TrialMonths,0.2),NA())</f>
        <v>28.747370854811599</v>
      </c>
    </row>
    <row r="166" spans="2:3" hidden="1" outlineLevel="1" x14ac:dyDescent="0.45">
      <c r="B166" s="76">
        <v>0.21</v>
      </c>
      <c r="C166" s="72" cm="1">
        <f t="array" aca="1" ref="C166" ca="1">IF(ISNUMBER(_xll.VoseSimPercentile(TrialMonths,0.21)),_xll.VoseSimPercentile(TrialMonths,0.21),NA())</f>
        <v>28.819064904820802</v>
      </c>
    </row>
    <row r="167" spans="2:3" hidden="1" outlineLevel="1" x14ac:dyDescent="0.45">
      <c r="B167" s="76">
        <v>0.22</v>
      </c>
      <c r="C167" s="72" cm="1">
        <f t="array" aca="1" ref="C167" ca="1">IF(ISNUMBER(_xll.VoseSimPercentile(TrialMonths,0.22)),_xll.VoseSimPercentile(TrialMonths,0.22),NA())</f>
        <v>28.903292863296894</v>
      </c>
    </row>
    <row r="168" spans="2:3" hidden="1" outlineLevel="1" x14ac:dyDescent="0.45">
      <c r="B168" s="76">
        <v>0.23</v>
      </c>
      <c r="C168" s="72" cm="1">
        <f t="array" aca="1" ref="C168" ca="1">IF(ISNUMBER(_xll.VoseSimPercentile(TrialMonths,0.23)),_xll.VoseSimPercentile(TrialMonths,0.23),NA())</f>
        <v>28.998776752395358</v>
      </c>
    </row>
    <row r="169" spans="2:3" hidden="1" outlineLevel="1" x14ac:dyDescent="0.45">
      <c r="B169" s="76">
        <v>0.24</v>
      </c>
      <c r="C169" s="72" cm="1">
        <f t="array" aca="1" ref="C169" ca="1">IF(ISNUMBER(_xll.VoseSimPercentile(TrialMonths,0.24)),_xll.VoseSimPercentile(TrialMonths,0.24),NA())</f>
        <v>29.094118488186041</v>
      </c>
    </row>
    <row r="170" spans="2:3" hidden="1" outlineLevel="1" x14ac:dyDescent="0.45">
      <c r="B170" s="76">
        <v>0.25</v>
      </c>
      <c r="C170" s="72" cm="1">
        <f t="array" aca="1" ref="C170" ca="1">IF(ISNUMBER(_xll.VoseSimPercentile(TrialMonths,0.25)),_xll.VoseSimPercentile(TrialMonths,0.25),NA())</f>
        <v>29.180652496956483</v>
      </c>
    </row>
    <row r="171" spans="2:3" hidden="1" outlineLevel="1" x14ac:dyDescent="0.45">
      <c r="B171" s="76">
        <v>0.26</v>
      </c>
      <c r="C171" s="72" cm="1">
        <f t="array" aca="1" ref="C171" ca="1">IF(ISNUMBER(_xll.VoseSimPercentile(TrialMonths,0.26)),_xll.VoseSimPercentile(TrialMonths,0.26),NA())</f>
        <v>29.263680611838808</v>
      </c>
    </row>
    <row r="172" spans="2:3" hidden="1" outlineLevel="1" x14ac:dyDescent="0.45">
      <c r="B172" s="76">
        <v>0.27</v>
      </c>
      <c r="C172" s="72" cm="1">
        <f t="array" aca="1" ref="C172" ca="1">IF(ISNUMBER(_xll.VoseSimPercentile(TrialMonths,0.27)),_xll.VoseSimPercentile(TrialMonths,0.27),NA())</f>
        <v>29.348517801423142</v>
      </c>
    </row>
    <row r="173" spans="2:3" hidden="1" outlineLevel="1" x14ac:dyDescent="0.45">
      <c r="B173" s="76">
        <v>0.28000000000000003</v>
      </c>
      <c r="C173" s="72" cm="1">
        <f t="array" aca="1" ref="C173" ca="1">IF(ISNUMBER(_xll.VoseSimPercentile(TrialMonths,0.28)),_xll.VoseSimPercentile(TrialMonths,0.28),NA())</f>
        <v>29.422985715661177</v>
      </c>
    </row>
    <row r="174" spans="2:3" hidden="1" outlineLevel="1" x14ac:dyDescent="0.45">
      <c r="B174" s="76">
        <v>0.28999999999999998</v>
      </c>
      <c r="C174" s="72" cm="1">
        <f t="array" aca="1" ref="C174" ca="1">IF(ISNUMBER(_xll.VoseSimPercentile(TrialMonths,0.29)),_xll.VoseSimPercentile(TrialMonths,0.29),NA())</f>
        <v>29.499502926491903</v>
      </c>
    </row>
    <row r="175" spans="2:3" hidden="1" outlineLevel="1" x14ac:dyDescent="0.45">
      <c r="B175" s="76">
        <v>0.3</v>
      </c>
      <c r="C175" s="72" cm="1">
        <f t="array" aca="1" ref="C175" ca="1">IF(ISNUMBER(_xll.VoseSimPercentile(TrialMonths,0.3)),_xll.VoseSimPercentile(TrialMonths,0.3),NA())</f>
        <v>29.57574497388315</v>
      </c>
    </row>
    <row r="176" spans="2:3" hidden="1" outlineLevel="1" x14ac:dyDescent="0.45">
      <c r="B176" s="76">
        <v>0.31</v>
      </c>
      <c r="C176" s="72" cm="1">
        <f t="array" aca="1" ref="C176" ca="1">IF(ISNUMBER(_xll.VoseSimPercentile(TrialMonths,0.31)),_xll.VoseSimPercentile(TrialMonths,0.31),NA())</f>
        <v>29.659448797498555</v>
      </c>
    </row>
    <row r="177" spans="2:3" hidden="1" outlineLevel="1" x14ac:dyDescent="0.45">
      <c r="B177" s="76">
        <v>0.32</v>
      </c>
      <c r="C177" s="72" cm="1">
        <f t="array" aca="1" ref="C177" ca="1">IF(ISNUMBER(_xll.VoseSimPercentile(TrialMonths,0.32)),_xll.VoseSimPercentile(TrialMonths,0.32),NA())</f>
        <v>29.727215567839394</v>
      </c>
    </row>
    <row r="178" spans="2:3" hidden="1" outlineLevel="1" x14ac:dyDescent="0.45">
      <c r="B178" s="76">
        <v>0.33</v>
      </c>
      <c r="C178" s="72" cm="1">
        <f t="array" aca="1" ref="C178" ca="1">IF(ISNUMBER(_xll.VoseSimPercentile(TrialMonths,0.33)),_xll.VoseSimPercentile(TrialMonths,0.33),NA())</f>
        <v>29.812358388955161</v>
      </c>
    </row>
    <row r="179" spans="2:3" hidden="1" outlineLevel="1" x14ac:dyDescent="0.45">
      <c r="B179" s="76">
        <v>0.34</v>
      </c>
      <c r="C179" s="72" cm="1">
        <f t="array" aca="1" ref="C179" ca="1">IF(ISNUMBER(_xll.VoseSimPercentile(TrialMonths,0.34)),_xll.VoseSimPercentile(TrialMonths,0.34),NA())</f>
        <v>29.893225850608587</v>
      </c>
    </row>
    <row r="180" spans="2:3" hidden="1" outlineLevel="1" x14ac:dyDescent="0.45">
      <c r="B180" s="76">
        <v>0.35</v>
      </c>
      <c r="C180" s="72" cm="1">
        <f t="array" aca="1" ref="C180" ca="1">IF(ISNUMBER(_xll.VoseSimPercentile(TrialMonths,0.35)),_xll.VoseSimPercentile(TrialMonths,0.35),NA())</f>
        <v>29.959116966015536</v>
      </c>
    </row>
    <row r="181" spans="2:3" hidden="1" outlineLevel="1" x14ac:dyDescent="0.45">
      <c r="B181" s="76">
        <v>0.36</v>
      </c>
      <c r="C181" s="72" cm="1">
        <f t="array" aca="1" ref="C181" ca="1">IF(ISNUMBER(_xll.VoseSimPercentile(TrialMonths,0.36)),_xll.VoseSimPercentile(TrialMonths,0.36),NA())</f>
        <v>30.026540731108629</v>
      </c>
    </row>
    <row r="182" spans="2:3" hidden="1" outlineLevel="1" x14ac:dyDescent="0.45">
      <c r="B182" s="76">
        <v>0.37</v>
      </c>
      <c r="C182" s="72" cm="1">
        <f t="array" aca="1" ref="C182" ca="1">IF(ISNUMBER(_xll.VoseSimPercentile(TrialMonths,0.37)),_xll.VoseSimPercentile(TrialMonths,0.37),NA())</f>
        <v>30.102768503448054</v>
      </c>
    </row>
    <row r="183" spans="2:3" hidden="1" outlineLevel="1" x14ac:dyDescent="0.45">
      <c r="B183" s="76">
        <v>0.38</v>
      </c>
      <c r="C183" s="72" cm="1">
        <f t="array" aca="1" ref="C183" ca="1">IF(ISNUMBER(_xll.VoseSimPercentile(TrialMonths,0.38)),_xll.VoseSimPercentile(TrialMonths,0.38),NA())</f>
        <v>30.167411425805167</v>
      </c>
    </row>
    <row r="184" spans="2:3" hidden="1" outlineLevel="1" x14ac:dyDescent="0.45">
      <c r="B184" s="76">
        <v>0.39</v>
      </c>
      <c r="C184" s="72" cm="1">
        <f t="array" aca="1" ref="C184" ca="1">IF(ISNUMBER(_xll.VoseSimPercentile(TrialMonths,0.39)),_xll.VoseSimPercentile(TrialMonths,0.39),NA())</f>
        <v>30.22892757683648</v>
      </c>
    </row>
    <row r="185" spans="2:3" hidden="1" outlineLevel="1" x14ac:dyDescent="0.45">
      <c r="B185" s="76">
        <v>0.4</v>
      </c>
      <c r="C185" s="72" cm="1">
        <f t="array" aca="1" ref="C185" ca="1">IF(ISNUMBER(_xll.VoseSimPercentile(TrialMonths,0.4)),_xll.VoseSimPercentile(TrialMonths,0.4),NA())</f>
        <v>30.316135692191938</v>
      </c>
    </row>
    <row r="186" spans="2:3" hidden="1" outlineLevel="1" x14ac:dyDescent="0.45">
      <c r="B186" s="76">
        <v>0.41</v>
      </c>
      <c r="C186" s="72" cm="1">
        <f t="array" aca="1" ref="C186" ca="1">IF(ISNUMBER(_xll.VoseSimPercentile(TrialMonths,0.41)),_xll.VoseSimPercentile(TrialMonths,0.41),NA())</f>
        <v>30.384718257672933</v>
      </c>
    </row>
    <row r="187" spans="2:3" hidden="1" outlineLevel="1" x14ac:dyDescent="0.45">
      <c r="B187" s="76">
        <v>0.42</v>
      </c>
      <c r="C187" s="72" cm="1">
        <f t="array" aca="1" ref="C187" ca="1">IF(ISNUMBER(_xll.VoseSimPercentile(TrialMonths,0.42)),_xll.VoseSimPercentile(TrialMonths,0.42),NA())</f>
        <v>30.445704603674088</v>
      </c>
    </row>
    <row r="188" spans="2:3" hidden="1" outlineLevel="1" x14ac:dyDescent="0.45">
      <c r="B188" s="76">
        <v>0.43</v>
      </c>
      <c r="C188" s="72" cm="1">
        <f t="array" aca="1" ref="C188" ca="1">IF(ISNUMBER(_xll.VoseSimPercentile(TrialMonths,0.43)),_xll.VoseSimPercentile(TrialMonths,0.43),NA())</f>
        <v>30.508010109800431</v>
      </c>
    </row>
    <row r="189" spans="2:3" hidden="1" outlineLevel="1" x14ac:dyDescent="0.45">
      <c r="B189" s="76">
        <v>0.44</v>
      </c>
      <c r="C189" s="72" cm="1">
        <f t="array" aca="1" ref="C189" ca="1">IF(ISNUMBER(_xll.VoseSimPercentile(TrialMonths,0.44)),_xll.VoseSimPercentile(TrialMonths,0.44),NA())</f>
        <v>30.580353771503891</v>
      </c>
    </row>
    <row r="190" spans="2:3" hidden="1" outlineLevel="1" x14ac:dyDescent="0.45">
      <c r="B190" s="76">
        <v>0.45</v>
      </c>
      <c r="C190" s="72" cm="1">
        <f t="array" aca="1" ref="C190" ca="1">IF(ISNUMBER(_xll.VoseSimPercentile(TrialMonths,0.45)),_xll.VoseSimPercentile(TrialMonths,0.45),NA())</f>
        <v>30.640021969624932</v>
      </c>
    </row>
    <row r="191" spans="2:3" hidden="1" outlineLevel="1" x14ac:dyDescent="0.45">
      <c r="B191" s="76">
        <v>0.46</v>
      </c>
      <c r="C191" s="72" cm="1">
        <f t="array" aca="1" ref="C191" ca="1">IF(ISNUMBER(_xll.VoseSimPercentile(TrialMonths,0.46)),_xll.VoseSimPercentile(TrialMonths,0.46),NA())</f>
        <v>30.695172427574754</v>
      </c>
    </row>
    <row r="192" spans="2:3" hidden="1" outlineLevel="1" x14ac:dyDescent="0.45">
      <c r="B192" s="76">
        <v>0.47</v>
      </c>
      <c r="C192" s="72" cm="1">
        <f t="array" aca="1" ref="C192" ca="1">IF(ISNUMBER(_xll.VoseSimPercentile(TrialMonths,0.47)),_xll.VoseSimPercentile(TrialMonths,0.47),NA())</f>
        <v>30.762373941778151</v>
      </c>
    </row>
    <row r="193" spans="2:3" hidden="1" outlineLevel="1" x14ac:dyDescent="0.45">
      <c r="B193" s="76">
        <v>0.48</v>
      </c>
      <c r="C193" s="72" cm="1">
        <f t="array" aca="1" ref="C193" ca="1">IF(ISNUMBER(_xll.VoseSimPercentile(TrialMonths,0.48)),_xll.VoseSimPercentile(TrialMonths,0.48),NA())</f>
        <v>30.827868051979536</v>
      </c>
    </row>
    <row r="194" spans="2:3" hidden="1" outlineLevel="1" x14ac:dyDescent="0.45">
      <c r="B194" s="76">
        <v>0.49</v>
      </c>
      <c r="C194" s="72" cm="1">
        <f t="array" aca="1" ref="C194" ca="1">IF(ISNUMBER(_xll.VoseSimPercentile(TrialMonths,0.49)),_xll.VoseSimPercentile(TrialMonths,0.49),NA())</f>
        <v>30.897856730757823</v>
      </c>
    </row>
    <row r="195" spans="2:3" hidden="1" outlineLevel="1" x14ac:dyDescent="0.45">
      <c r="B195" s="76">
        <v>0.5</v>
      </c>
      <c r="C195" s="72" cm="1">
        <f t="array" aca="1" ref="C195" ca="1">IF(ISNUMBER(_xll.VoseSimPercentile(TrialMonths,0.5)),_xll.VoseSimPercentile(TrialMonths,0.5),NA())</f>
        <v>30.972887580396687</v>
      </c>
    </row>
    <row r="196" spans="2:3" hidden="1" outlineLevel="1" x14ac:dyDescent="0.45">
      <c r="B196" s="76">
        <v>0.51</v>
      </c>
      <c r="C196" s="72" cm="1">
        <f t="array" aca="1" ref="C196" ca="1">IF(ISNUMBER(_xll.VoseSimPercentile(TrialMonths,0.51)),_xll.VoseSimPercentile(TrialMonths,0.51),NA())</f>
        <v>31.048933124395433</v>
      </c>
    </row>
    <row r="197" spans="2:3" hidden="1" outlineLevel="1" x14ac:dyDescent="0.45">
      <c r="B197" s="76">
        <v>0.52</v>
      </c>
      <c r="C197" s="72" cm="1">
        <f t="array" aca="1" ref="C197" ca="1">IF(ISNUMBER(_xll.VoseSimPercentile(TrialMonths,0.52)),_xll.VoseSimPercentile(TrialMonths,0.52),NA())</f>
        <v>31.12117377643559</v>
      </c>
    </row>
    <row r="198" spans="2:3" hidden="1" outlineLevel="1" x14ac:dyDescent="0.45">
      <c r="B198" s="76">
        <v>0.53</v>
      </c>
      <c r="C198" s="72" cm="1">
        <f t="array" aca="1" ref="C198" ca="1">IF(ISNUMBER(_xll.VoseSimPercentile(TrialMonths,0.53)),_xll.VoseSimPercentile(TrialMonths,0.53),NA())</f>
        <v>31.18901267180626</v>
      </c>
    </row>
    <row r="199" spans="2:3" hidden="1" outlineLevel="1" x14ac:dyDescent="0.45">
      <c r="B199" s="76">
        <v>0.54</v>
      </c>
      <c r="C199" s="72" cm="1">
        <f t="array" aca="1" ref="C199" ca="1">IF(ISNUMBER(_xll.VoseSimPercentile(TrialMonths,0.54)),_xll.VoseSimPercentile(TrialMonths,0.54),NA())</f>
        <v>31.265994593437718</v>
      </c>
    </row>
    <row r="200" spans="2:3" hidden="1" outlineLevel="1" x14ac:dyDescent="0.45">
      <c r="B200" s="76">
        <v>0.55000000000000004</v>
      </c>
      <c r="C200" s="72" cm="1">
        <f t="array" aca="1" ref="C200" ca="1">IF(ISNUMBER(_xll.VoseSimPercentile(TrialMonths,0.55)),_xll.VoseSimPercentile(TrialMonths,0.55),NA())</f>
        <v>31.336885809855556</v>
      </c>
    </row>
    <row r="201" spans="2:3" hidden="1" outlineLevel="1" x14ac:dyDescent="0.45">
      <c r="B201" s="76">
        <v>0.56000000000000005</v>
      </c>
      <c r="C201" s="72" cm="1">
        <f t="array" aca="1" ref="C201" ca="1">IF(ISNUMBER(_xll.VoseSimPercentile(TrialMonths,0.56)),_xll.VoseSimPercentile(TrialMonths,0.56),NA())</f>
        <v>31.408074541159738</v>
      </c>
    </row>
    <row r="202" spans="2:3" hidden="1" outlineLevel="1" x14ac:dyDescent="0.45">
      <c r="B202" s="76">
        <v>0.56999999999999995</v>
      </c>
      <c r="C202" s="72" cm="1">
        <f t="array" aca="1" ref="C202" ca="1">IF(ISNUMBER(_xll.VoseSimPercentile(TrialMonths,0.57)),_xll.VoseSimPercentile(TrialMonths,0.57),NA())</f>
        <v>31.485723952805802</v>
      </c>
    </row>
    <row r="203" spans="2:3" hidden="1" outlineLevel="1" x14ac:dyDescent="0.45">
      <c r="B203" s="76">
        <v>0.57999999999999996</v>
      </c>
      <c r="C203" s="72" cm="1">
        <f t="array" aca="1" ref="C203" ca="1">IF(ISNUMBER(_xll.VoseSimPercentile(TrialMonths,0.58)),_xll.VoseSimPercentile(TrialMonths,0.58),NA())</f>
        <v>31.575054590979075</v>
      </c>
    </row>
    <row r="204" spans="2:3" hidden="1" outlineLevel="1" x14ac:dyDescent="0.45">
      <c r="B204" s="76">
        <v>0.59</v>
      </c>
      <c r="C204" s="72" cm="1">
        <f t="array" aca="1" ref="C204" ca="1">IF(ISNUMBER(_xll.VoseSimPercentile(TrialMonths,0.59)),_xll.VoseSimPercentile(TrialMonths,0.59),NA())</f>
        <v>31.644526769458892</v>
      </c>
    </row>
    <row r="205" spans="2:3" hidden="1" outlineLevel="1" x14ac:dyDescent="0.45">
      <c r="B205" s="76">
        <v>0.6</v>
      </c>
      <c r="C205" s="72" cm="1">
        <f t="array" aca="1" ref="C205" ca="1">IF(ISNUMBER(_xll.VoseSimPercentile(TrialMonths,0.6)),_xll.VoseSimPercentile(TrialMonths,0.6),NA())</f>
        <v>31.724817389371424</v>
      </c>
    </row>
    <row r="206" spans="2:3" hidden="1" outlineLevel="1" x14ac:dyDescent="0.45">
      <c r="B206" s="76">
        <v>0.61</v>
      </c>
      <c r="C206" s="72" cm="1">
        <f t="array" aca="1" ref="C206" ca="1">IF(ISNUMBER(_xll.VoseSimPercentile(TrialMonths,0.61)),_xll.VoseSimPercentile(TrialMonths,0.61),NA())</f>
        <v>31.812085125279289</v>
      </c>
    </row>
    <row r="207" spans="2:3" hidden="1" outlineLevel="1" x14ac:dyDescent="0.45">
      <c r="B207" s="76">
        <v>0.62</v>
      </c>
      <c r="C207" s="72" cm="1">
        <f t="array" aca="1" ref="C207" ca="1">IF(ISNUMBER(_xll.VoseSimPercentile(TrialMonths,0.62)),_xll.VoseSimPercentile(TrialMonths,0.62),NA())</f>
        <v>31.890368752990305</v>
      </c>
    </row>
    <row r="208" spans="2:3" hidden="1" outlineLevel="1" x14ac:dyDescent="0.45">
      <c r="B208" s="76">
        <v>0.63</v>
      </c>
      <c r="C208" s="72" cm="1">
        <f t="array" aca="1" ref="C208" ca="1">IF(ISNUMBER(_xll.VoseSimPercentile(TrialMonths,0.63)),_xll.VoseSimPercentile(TrialMonths,0.63),NA())</f>
        <v>31.965980138662015</v>
      </c>
    </row>
    <row r="209" spans="2:3" hidden="1" outlineLevel="1" x14ac:dyDescent="0.45">
      <c r="B209" s="76">
        <v>0.64</v>
      </c>
      <c r="C209" s="72" cm="1">
        <f t="array" aca="1" ref="C209" ca="1">IF(ISNUMBER(_xll.VoseSimPercentile(TrialMonths,0.64)),_xll.VoseSimPercentile(TrialMonths,0.64),NA())</f>
        <v>32.045162971872358</v>
      </c>
    </row>
    <row r="210" spans="2:3" hidden="1" outlineLevel="1" x14ac:dyDescent="0.45">
      <c r="B210" s="76">
        <v>0.65</v>
      </c>
      <c r="C210" s="72" cm="1">
        <f t="array" aca="1" ref="C210" ca="1">IF(ISNUMBER(_xll.VoseSimPercentile(TrialMonths,0.65)),_xll.VoseSimPercentile(TrialMonths,0.65),NA())</f>
        <v>32.13333221164612</v>
      </c>
    </row>
    <row r="211" spans="2:3" hidden="1" outlineLevel="1" x14ac:dyDescent="0.45">
      <c r="B211" s="76">
        <v>0.66</v>
      </c>
      <c r="C211" s="72" cm="1">
        <f t="array" aca="1" ref="C211" ca="1">IF(ISNUMBER(_xll.VoseSimPercentile(TrialMonths,0.66)),_xll.VoseSimPercentile(TrialMonths,0.66),NA())</f>
        <v>32.211392078123005</v>
      </c>
    </row>
    <row r="212" spans="2:3" hidden="1" outlineLevel="1" x14ac:dyDescent="0.45">
      <c r="B212" s="76">
        <v>0.67</v>
      </c>
      <c r="C212" s="72" cm="1">
        <f t="array" aca="1" ref="C212" ca="1">IF(ISNUMBER(_xll.VoseSimPercentile(TrialMonths,0.67)),_xll.VoseSimPercentile(TrialMonths,0.67),NA())</f>
        <v>32.30422691525267</v>
      </c>
    </row>
    <row r="213" spans="2:3" hidden="1" outlineLevel="1" x14ac:dyDescent="0.45">
      <c r="B213" s="76">
        <v>0.68</v>
      </c>
      <c r="C213" s="72" cm="1">
        <f t="array" aca="1" ref="C213" ca="1">IF(ISNUMBER(_xll.VoseSimPercentile(TrialMonths,0.68)),_xll.VoseSimPercentile(TrialMonths,0.68),NA())</f>
        <v>32.39146610744239</v>
      </c>
    </row>
    <row r="214" spans="2:3" hidden="1" outlineLevel="1" x14ac:dyDescent="0.45">
      <c r="B214" s="76">
        <v>0.69</v>
      </c>
      <c r="C214" s="72" cm="1">
        <f t="array" aca="1" ref="C214" ca="1">IF(ISNUMBER(_xll.VoseSimPercentile(TrialMonths,0.69)),_xll.VoseSimPercentile(TrialMonths,0.69),NA())</f>
        <v>32.482500483598642</v>
      </c>
    </row>
    <row r="215" spans="2:3" hidden="1" outlineLevel="1" x14ac:dyDescent="0.45">
      <c r="B215" s="76">
        <v>0.7</v>
      </c>
      <c r="C215" s="72" cm="1">
        <f t="array" aca="1" ref="C215" ca="1">IF(ISNUMBER(_xll.VoseSimPercentile(TrialMonths,0.7)),_xll.VoseSimPercentile(TrialMonths,0.7),NA())</f>
        <v>32.575891610457838</v>
      </c>
    </row>
    <row r="216" spans="2:3" hidden="1" outlineLevel="1" x14ac:dyDescent="0.45">
      <c r="B216" s="76">
        <v>0.71</v>
      </c>
      <c r="C216" s="72" cm="1">
        <f t="array" aca="1" ref="C216" ca="1">IF(ISNUMBER(_xll.VoseSimPercentile(TrialMonths,0.71)),_xll.VoseSimPercentile(TrialMonths,0.71),NA())</f>
        <v>32.658118617461909</v>
      </c>
    </row>
    <row r="217" spans="2:3" hidden="1" outlineLevel="1" x14ac:dyDescent="0.45">
      <c r="B217" s="76">
        <v>0.72</v>
      </c>
      <c r="C217" s="72" cm="1">
        <f t="array" aca="1" ref="C217" ca="1">IF(ISNUMBER(_xll.VoseSimPercentile(TrialMonths,0.72)),_xll.VoseSimPercentile(TrialMonths,0.72),NA())</f>
        <v>32.767598137932453</v>
      </c>
    </row>
    <row r="218" spans="2:3" hidden="1" outlineLevel="1" x14ac:dyDescent="0.45">
      <c r="B218" s="76">
        <v>0.73</v>
      </c>
      <c r="C218" s="72" cm="1">
        <f t="array" aca="1" ref="C218" ca="1">IF(ISNUMBER(_xll.VoseSimPercentile(TrialMonths,0.73)),_xll.VoseSimPercentile(TrialMonths,0.73),NA())</f>
        <v>32.847580402573442</v>
      </c>
    </row>
    <row r="219" spans="2:3" hidden="1" outlineLevel="1" x14ac:dyDescent="0.45">
      <c r="B219" s="76">
        <v>0.74</v>
      </c>
      <c r="C219" s="72" cm="1">
        <f t="array" aca="1" ref="C219" ca="1">IF(ISNUMBER(_xll.VoseSimPercentile(TrialMonths,0.74)),_xll.VoseSimPercentile(TrialMonths,0.74),NA())</f>
        <v>32.945343830993437</v>
      </c>
    </row>
    <row r="220" spans="2:3" hidden="1" outlineLevel="1" x14ac:dyDescent="0.45">
      <c r="B220" s="76">
        <v>0.75</v>
      </c>
      <c r="C220" s="72" cm="1">
        <f t="array" aca="1" ref="C220" ca="1">IF(ISNUMBER(_xll.VoseSimPercentile(TrialMonths,0.75)),_xll.VoseSimPercentile(TrialMonths,0.75),NA())</f>
        <v>33.054392810197925</v>
      </c>
    </row>
    <row r="221" spans="2:3" hidden="1" outlineLevel="1" x14ac:dyDescent="0.45">
      <c r="B221" s="76">
        <v>0.76</v>
      </c>
      <c r="C221" s="72" cm="1">
        <f t="array" aca="1" ref="C221" ca="1">IF(ISNUMBER(_xll.VoseSimPercentile(TrialMonths,0.76)),_xll.VoseSimPercentile(TrialMonths,0.76),NA())</f>
        <v>33.184049312638315</v>
      </c>
    </row>
    <row r="222" spans="2:3" hidden="1" outlineLevel="1" x14ac:dyDescent="0.45">
      <c r="B222" s="76">
        <v>0.77</v>
      </c>
      <c r="C222" s="72" cm="1">
        <f t="array" aca="1" ref="C222" ca="1">IF(ISNUMBER(_xll.VoseSimPercentile(TrialMonths,0.77)),_xll.VoseSimPercentile(TrialMonths,0.77),NA())</f>
        <v>33.302426855274369</v>
      </c>
    </row>
    <row r="223" spans="2:3" hidden="1" outlineLevel="1" x14ac:dyDescent="0.45">
      <c r="B223" s="76">
        <v>0.78</v>
      </c>
      <c r="C223" s="72" cm="1">
        <f t="array" aca="1" ref="C223" ca="1">IF(ISNUMBER(_xll.VoseSimPercentile(TrialMonths,0.78)),_xll.VoseSimPercentile(TrialMonths,0.78),NA())</f>
        <v>33.398519589533819</v>
      </c>
    </row>
    <row r="224" spans="2:3" hidden="1" outlineLevel="1" x14ac:dyDescent="0.45">
      <c r="B224" s="76">
        <v>0.79</v>
      </c>
      <c r="C224" s="72" cm="1">
        <f t="array" aca="1" ref="C224" ca="1">IF(ISNUMBER(_xll.VoseSimPercentile(TrialMonths,0.79)),_xll.VoseSimPercentile(TrialMonths,0.79),NA())</f>
        <v>33.511056689404086</v>
      </c>
    </row>
    <row r="225" spans="2:3" hidden="1" outlineLevel="1" x14ac:dyDescent="0.45">
      <c r="B225" s="76">
        <v>0.8</v>
      </c>
      <c r="C225" s="72" cm="1">
        <f t="array" aca="1" ref="C225" ca="1">IF(ISNUMBER(_xll.VoseSimPercentile(TrialMonths,0.8)),_xll.VoseSimPercentile(TrialMonths,0.8),NA())</f>
        <v>33.616097061709155</v>
      </c>
    </row>
    <row r="226" spans="2:3" hidden="1" outlineLevel="1" x14ac:dyDescent="0.45">
      <c r="B226" s="76">
        <v>0.81</v>
      </c>
      <c r="C226" s="72" cm="1">
        <f t="array" aca="1" ref="C226" ca="1">IF(ISNUMBER(_xll.VoseSimPercentile(TrialMonths,0.81)),_xll.VoseSimPercentile(TrialMonths,0.81),NA())</f>
        <v>33.729339985303284</v>
      </c>
    </row>
    <row r="227" spans="2:3" hidden="1" outlineLevel="1" x14ac:dyDescent="0.45">
      <c r="B227" s="76">
        <v>0.82</v>
      </c>
      <c r="C227" s="72" cm="1">
        <f t="array" aca="1" ref="C227" ca="1">IF(ISNUMBER(_xll.VoseSimPercentile(TrialMonths,0.82)),_xll.VoseSimPercentile(TrialMonths,0.82),NA())</f>
        <v>33.858994592264828</v>
      </c>
    </row>
    <row r="228" spans="2:3" hidden="1" outlineLevel="1" x14ac:dyDescent="0.45">
      <c r="B228" s="76">
        <v>0.83</v>
      </c>
      <c r="C228" s="72" cm="1">
        <f t="array" aca="1" ref="C228" ca="1">IF(ISNUMBER(_xll.VoseSimPercentile(TrialMonths,0.83)),_xll.VoseSimPercentile(TrialMonths,0.83),NA())</f>
        <v>33.984286968696537</v>
      </c>
    </row>
    <row r="229" spans="2:3" hidden="1" outlineLevel="1" x14ac:dyDescent="0.45">
      <c r="B229" s="76">
        <v>0.84</v>
      </c>
      <c r="C229" s="72" cm="1">
        <f t="array" aca="1" ref="C229" ca="1">IF(ISNUMBER(_xll.VoseSimPercentile(TrialMonths,0.84)),_xll.VoseSimPercentile(TrialMonths,0.84),NA())</f>
        <v>34.111679195876633</v>
      </c>
    </row>
    <row r="230" spans="2:3" hidden="1" outlineLevel="1" x14ac:dyDescent="0.45">
      <c r="B230" s="76">
        <v>0.85</v>
      </c>
      <c r="C230" s="72" cm="1">
        <f t="array" aca="1" ref="C230" ca="1">IF(ISNUMBER(_xll.VoseSimPercentile(TrialMonths,0.85)),_xll.VoseSimPercentile(TrialMonths,0.85),NA())</f>
        <v>34.276719218787342</v>
      </c>
    </row>
    <row r="231" spans="2:3" hidden="1" outlineLevel="1" x14ac:dyDescent="0.45">
      <c r="B231" s="76">
        <v>0.86</v>
      </c>
      <c r="C231" s="72" cm="1">
        <f t="array" aca="1" ref="C231" ca="1">IF(ISNUMBER(_xll.VoseSimPercentile(TrialMonths,0.86)),_xll.VoseSimPercentile(TrialMonths,0.86),NA())</f>
        <v>34.456296792139824</v>
      </c>
    </row>
    <row r="232" spans="2:3" hidden="1" outlineLevel="1" x14ac:dyDescent="0.45">
      <c r="B232" s="76">
        <v>0.87</v>
      </c>
      <c r="C232" s="72" cm="1">
        <f t="array" aca="1" ref="C232" ca="1">IF(ISNUMBER(_xll.VoseSimPercentile(TrialMonths,0.87)),_xll.VoseSimPercentile(TrialMonths,0.87),NA())</f>
        <v>34.624636026700756</v>
      </c>
    </row>
    <row r="233" spans="2:3" hidden="1" outlineLevel="1" x14ac:dyDescent="0.45">
      <c r="B233" s="76">
        <v>0.88</v>
      </c>
      <c r="C233" s="72" cm="1">
        <f t="array" aca="1" ref="C233" ca="1">IF(ISNUMBER(_xll.VoseSimPercentile(TrialMonths,0.88)),_xll.VoseSimPercentile(TrialMonths,0.88),NA())</f>
        <v>34.797358418006638</v>
      </c>
    </row>
    <row r="234" spans="2:3" hidden="1" outlineLevel="1" x14ac:dyDescent="0.45">
      <c r="B234" s="76">
        <v>0.89</v>
      </c>
      <c r="C234" s="72" cm="1">
        <f t="array" aca="1" ref="C234" ca="1">IF(ISNUMBER(_xll.VoseSimPercentile(TrialMonths,0.89)),_xll.VoseSimPercentile(TrialMonths,0.89),NA())</f>
        <v>34.947444913262345</v>
      </c>
    </row>
    <row r="235" spans="2:3" hidden="1" outlineLevel="1" x14ac:dyDescent="0.45">
      <c r="B235" s="76">
        <v>0.9</v>
      </c>
      <c r="C235" s="72" cm="1">
        <f t="array" aca="1" ref="C235" ca="1">IF(ISNUMBER(_xll.VoseSimPercentile(TrialMonths,0.9)),_xll.VoseSimPercentile(TrialMonths,0.9),NA())</f>
        <v>35.129206569315976</v>
      </c>
    </row>
    <row r="236" spans="2:3" hidden="1" outlineLevel="1" x14ac:dyDescent="0.45">
      <c r="B236" s="76">
        <v>0.91</v>
      </c>
      <c r="C236" s="72" cm="1">
        <f t="array" aca="1" ref="C236" ca="1">IF(ISNUMBER(_xll.VoseSimPercentile(TrialMonths,0.91)),_xll.VoseSimPercentile(TrialMonths,0.91),NA())</f>
        <v>35.342576235091684</v>
      </c>
    </row>
    <row r="237" spans="2:3" hidden="1" outlineLevel="1" x14ac:dyDescent="0.45">
      <c r="B237" s="76">
        <v>0.92</v>
      </c>
      <c r="C237" s="72" cm="1">
        <f t="array" aca="1" ref="C237" ca="1">IF(ISNUMBER(_xll.VoseSimPercentile(TrialMonths,0.92)),_xll.VoseSimPercentile(TrialMonths,0.92),NA())</f>
        <v>35.570174219274307</v>
      </c>
    </row>
    <row r="238" spans="2:3" hidden="1" outlineLevel="1" x14ac:dyDescent="0.45">
      <c r="B238" s="76">
        <v>0.93</v>
      </c>
      <c r="C238" s="72" cm="1">
        <f t="array" aca="1" ref="C238" ca="1">IF(ISNUMBER(_xll.VoseSimPercentile(TrialMonths,0.93)),_xll.VoseSimPercentile(TrialMonths,0.93),NA())</f>
        <v>35.840442950261227</v>
      </c>
    </row>
    <row r="239" spans="2:3" hidden="1" outlineLevel="1" x14ac:dyDescent="0.45">
      <c r="B239" s="76">
        <v>0.94</v>
      </c>
      <c r="C239" s="72" cm="1">
        <f t="array" aca="1" ref="C239" ca="1">IF(ISNUMBER(_xll.VoseSimPercentile(TrialMonths,0.94)),_xll.VoseSimPercentile(TrialMonths,0.94),NA())</f>
        <v>36.204417556982847</v>
      </c>
    </row>
    <row r="240" spans="2:3" hidden="1" outlineLevel="1" x14ac:dyDescent="0.45">
      <c r="B240" s="76">
        <v>0.95</v>
      </c>
      <c r="C240" s="72" cm="1">
        <f t="array" aca="1" ref="C240" ca="1">IF(ISNUMBER(_xll.VoseSimPercentile(TrialMonths,0.95)),_xll.VoseSimPercentile(TrialMonths,0.95),NA())</f>
        <v>36.545212142104802</v>
      </c>
    </row>
    <row r="241" spans="2:7" hidden="1" outlineLevel="1" x14ac:dyDescent="0.45">
      <c r="B241" s="76">
        <v>0.96</v>
      </c>
      <c r="C241" s="72" cm="1">
        <f t="array" aca="1" ref="C241" ca="1">IF(ISNUMBER(_xll.VoseSimPercentile(TrialMonths,0.96)),_xll.VoseSimPercentile(TrialMonths,0.96),NA())</f>
        <v>36.961439589591308</v>
      </c>
    </row>
    <row r="242" spans="2:7" hidden="1" outlineLevel="1" x14ac:dyDescent="0.45">
      <c r="B242" s="76">
        <v>0.97</v>
      </c>
      <c r="C242" s="72" cm="1">
        <f t="array" aca="1" ref="C242" ca="1">IF(ISNUMBER(_xll.VoseSimPercentile(TrialMonths,0.97)),_xll.VoseSimPercentile(TrialMonths,0.97),NA())</f>
        <v>37.570167813336134</v>
      </c>
    </row>
    <row r="243" spans="2:7" hidden="1" outlineLevel="1" x14ac:dyDescent="0.45">
      <c r="B243" s="76">
        <v>0.98</v>
      </c>
      <c r="C243" s="72" cm="1">
        <f t="array" aca="1" ref="C243" ca="1">IF(ISNUMBER(_xll.VoseSimPercentile(TrialMonths,0.98)),_xll.VoseSimPercentile(TrialMonths,0.98),NA())</f>
        <v>38.417787915835703</v>
      </c>
    </row>
    <row r="244" spans="2:7" hidden="1" outlineLevel="1" x14ac:dyDescent="0.45">
      <c r="B244" s="76">
        <v>0.99</v>
      </c>
      <c r="C244" s="72" cm="1">
        <f t="array" aca="1" ref="C244" ca="1">IF(ISNUMBER(_xll.VoseSimPercentile(TrialMonths,0.99)),_xll.VoseSimPercentile(TrialMonths,0.99),NA())</f>
        <v>39.867656148572706</v>
      </c>
    </row>
    <row r="245" spans="2:7" hidden="1" outlineLevel="1" x14ac:dyDescent="0.45">
      <c r="B245" s="76">
        <v>0.995</v>
      </c>
      <c r="C245" s="72" cm="1">
        <f t="array" aca="1" ref="C245" ca="1">IF(ISNUMBER(_xll.VoseSimPercentile(TrialMonths,0.995)),_xll.VoseSimPercentile(TrialMonths,0.995),NA())</f>
        <v>41.12550339814117</v>
      </c>
    </row>
    <row r="246" spans="2:7" hidden="1" outlineLevel="1" x14ac:dyDescent="0.45"/>
    <row r="247" spans="2:7" ht="18" hidden="1" customHeight="1" outlineLevel="1" x14ac:dyDescent="0.45">
      <c r="B247" s="23" t="s">
        <v>266</v>
      </c>
      <c r="C247" s="24" t="s">
        <v>267</v>
      </c>
      <c r="D247" s="24" t="s">
        <v>268</v>
      </c>
      <c r="E247" s="24" t="s">
        <v>269</v>
      </c>
      <c r="F247" s="24" t="s">
        <v>270</v>
      </c>
      <c r="G247" s="24" t="s">
        <v>271</v>
      </c>
    </row>
    <row r="248" spans="2:7" hidden="1" outlineLevel="1" x14ac:dyDescent="0.45">
      <c r="B248" s="77">
        <v>0</v>
      </c>
      <c r="C248" s="72">
        <f ca="1">IF(ISNUMBER($C$145),$C$145+($C$245-$C$145)*0/24,NA())</f>
        <v>25.470117350319143</v>
      </c>
      <c r="D248" s="78">
        <f t="shared" ref="D248:D272" ca="1" si="5">IF(ISNUMBER(C248),MATCH(C248,$C$145:$C$245,1),NA())</f>
        <v>1</v>
      </c>
      <c r="E248" s="72">
        <f t="shared" ref="E248:E271" ca="1" si="6">IF(ISNUMBER(C248),(C248+C249)/2,NA())</f>
        <v>25.796271226315433</v>
      </c>
      <c r="F248" s="76">
        <f t="shared" ref="F248:F271" ca="1" si="7">IF(ISNUMBER(G249),G249-G248,NA())</f>
        <v>1.2904807671722165E-2</v>
      </c>
      <c r="G248" s="76" cm="1">
        <f t="array" aca="1" ref="G248" ca="1">IF(ISNUMBER(D248),IF(D248&gt;=101,INDEX($B$145:$B$245,101),INDEX($B$145:$B$245,D248)+(C248-INDEX($C$145:$C$245,D248))/MAX(0.000000000001,INDEX($C$145:$C$245,D248+1)-INDEX($C$145:$C$245,D248))*(INDEX($B$145:$B$245,D248+1)-INDEX($B$145:$B$245,D248))),NA())</f>
        <v>5.0000000000000001E-3</v>
      </c>
    </row>
    <row r="249" spans="2:7" hidden="1" outlineLevel="1" x14ac:dyDescent="0.45">
      <c r="B249" s="77">
        <v>1</v>
      </c>
      <c r="C249" s="72">
        <f ca="1">IF(ISNUMBER($C$145),$C$145+($C$245-$C$145)*1/24,NA())</f>
        <v>26.122425102311727</v>
      </c>
      <c r="D249" s="78">
        <f t="shared" ca="1" si="5"/>
        <v>2</v>
      </c>
      <c r="E249" s="72">
        <f t="shared" ca="1" si="6"/>
        <v>26.448578978308021</v>
      </c>
      <c r="F249" s="76">
        <f t="shared" ca="1" si="7"/>
        <v>2.2221741397465425E-2</v>
      </c>
      <c r="G249" s="76" cm="1">
        <f t="array" aca="1" ref="G249" ca="1">IF(ISNUMBER(D249),IF(D249&gt;=101,INDEX($B$145:$B$245,101),INDEX($B$145:$B$245,D249)+(C249-INDEX($C$145:$C$245,D249))/MAX(0.000000000001,INDEX($C$145:$C$245,D249+1)-INDEX($C$145:$C$245,D249))*(INDEX($B$145:$B$245,D249+1)-INDEX($B$145:$B$245,D249))),NA())</f>
        <v>1.7904807671722166E-2</v>
      </c>
    </row>
    <row r="250" spans="2:7" hidden="1" outlineLevel="1" x14ac:dyDescent="0.45">
      <c r="B250" s="77">
        <v>2</v>
      </c>
      <c r="C250" s="72">
        <f ca="1">IF(ISNUMBER($C$145),$C$145+($C$245-$C$145)*2/24,NA())</f>
        <v>26.774732854304311</v>
      </c>
      <c r="D250" s="78">
        <f t="shared" ca="1" si="5"/>
        <v>5</v>
      </c>
      <c r="E250" s="72">
        <f t="shared" ca="1" si="6"/>
        <v>27.100886730300601</v>
      </c>
      <c r="F250" s="76">
        <f t="shared" ca="1" si="7"/>
        <v>3.7295499299264227E-2</v>
      </c>
      <c r="G250" s="76" cm="1">
        <f t="array" aca="1" ref="G250" ca="1">IF(ISNUMBER(D250),IF(D250&gt;=101,INDEX($B$145:$B$245,101),INDEX($B$145:$B$245,D250)+(C250-INDEX($C$145:$C$245,D250))/MAX(0.000000000001,INDEX($C$145:$C$245,D250+1)-INDEX($C$145:$C$245,D250))*(INDEX($B$145:$B$245,D250+1)-INDEX($B$145:$B$245,D250))),NA())</f>
        <v>4.0126549069187591E-2</v>
      </c>
    </row>
    <row r="251" spans="2:7" hidden="1" outlineLevel="1" x14ac:dyDescent="0.45">
      <c r="B251" s="77">
        <v>3</v>
      </c>
      <c r="C251" s="72">
        <f ca="1">IF(ISNUMBER($C$145),$C$145+($C$245-$C$145)*3/24,NA())</f>
        <v>27.427040606296895</v>
      </c>
      <c r="D251" s="78">
        <f t="shared" ca="1" si="5"/>
        <v>8</v>
      </c>
      <c r="E251" s="72">
        <f t="shared" ca="1" si="6"/>
        <v>27.753194482293189</v>
      </c>
      <c r="F251" s="76">
        <f t="shared" ca="1" si="7"/>
        <v>5.5247230410475384E-2</v>
      </c>
      <c r="G251" s="76" cm="1">
        <f t="array" aca="1" ref="G251" ca="1">IF(ISNUMBER(D251),IF(D251&gt;=101,INDEX($B$145:$B$245,101),INDEX($B$145:$B$245,D251)+(C251-INDEX($C$145:$C$245,D251))/MAX(0.000000000001,INDEX($C$145:$C$245,D251+1)-INDEX($C$145:$C$245,D251))*(INDEX($B$145:$B$245,D251+1)-INDEX($B$145:$B$245,D251))),NA())</f>
        <v>7.7422048368451818E-2</v>
      </c>
    </row>
    <row r="252" spans="2:7" hidden="1" outlineLevel="1" x14ac:dyDescent="0.45">
      <c r="B252" s="77">
        <v>4</v>
      </c>
      <c r="C252" s="72">
        <f ca="1">IF(ISNUMBER($C$145),$C$145+($C$245-$C$145)*4/24,NA())</f>
        <v>28.079348358289479</v>
      </c>
      <c r="D252" s="78">
        <f t="shared" ca="1" si="5"/>
        <v>14</v>
      </c>
      <c r="E252" s="72">
        <f t="shared" ca="1" si="6"/>
        <v>28.40550223428577</v>
      </c>
      <c r="F252" s="76">
        <f t="shared" ca="1" si="7"/>
        <v>6.5896763326054486E-2</v>
      </c>
      <c r="G252" s="76" cm="1">
        <f t="array" aca="1" ref="G252" ca="1">IF(ISNUMBER(D252),IF(D252&gt;=101,INDEX($B$145:$B$245,101),INDEX($B$145:$B$245,D252)+(C252-INDEX($C$145:$C$245,D252))/MAX(0.000000000001,INDEX($C$145:$C$245,D252+1)-INDEX($C$145:$C$245,D252))*(INDEX($B$145:$B$245,D252+1)-INDEX($B$145:$B$245,D252))),NA())</f>
        <v>0.1326692787789272</v>
      </c>
    </row>
    <row r="253" spans="2:7" hidden="1" outlineLevel="1" x14ac:dyDescent="0.45">
      <c r="B253" s="77">
        <v>5</v>
      </c>
      <c r="C253" s="72">
        <f ca="1">IF(ISNUMBER($C$145),$C$145+($C$245-$C$145)*5/24,NA())</f>
        <v>28.731656110282064</v>
      </c>
      <c r="D253" s="78">
        <f t="shared" ca="1" si="5"/>
        <v>20</v>
      </c>
      <c r="E253" s="72">
        <f t="shared" ca="1" si="6"/>
        <v>29.057809986278357</v>
      </c>
      <c r="F253" s="76">
        <f t="shared" ca="1" si="7"/>
        <v>7.6193868416777166E-2</v>
      </c>
      <c r="G253" s="76" cm="1">
        <f t="array" aca="1" ref="G253" ca="1">IF(ISNUMBER(D253),IF(D253&gt;=101,INDEX($B$145:$B$245,101),INDEX($B$145:$B$245,D253)+(C253-INDEX($C$145:$C$245,D253))/MAX(0.000000000001,INDEX($C$145:$C$245,D253+1)-INDEX($C$145:$C$245,D253))*(INDEX($B$145:$B$245,D253+1)-INDEX($B$145:$B$245,D253))),NA())</f>
        <v>0.19856604210498169</v>
      </c>
    </row>
    <row r="254" spans="2:7" hidden="1" outlineLevel="1" x14ac:dyDescent="0.45">
      <c r="B254" s="77">
        <v>6</v>
      </c>
      <c r="C254" s="72">
        <f ca="1">IF(ISNUMBER($C$145),$C$145+($C$245-$C$145)*6/24,NA())</f>
        <v>29.383963862274648</v>
      </c>
      <c r="D254" s="78">
        <f t="shared" ca="1" si="5"/>
        <v>28</v>
      </c>
      <c r="E254" s="72">
        <f t="shared" ca="1" si="6"/>
        <v>29.710117738270942</v>
      </c>
      <c r="F254" s="76">
        <f t="shared" ca="1" si="7"/>
        <v>8.6516643004595994E-2</v>
      </c>
      <c r="G254" s="76" cm="1">
        <f t="array" aca="1" ref="G254" ca="1">IF(ISNUMBER(D254),IF(D254&gt;=101,INDEX($B$145:$B$245,101),INDEX($B$145:$B$245,D254)+(C254-INDEX($C$145:$C$245,D254))/MAX(0.000000000001,INDEX($C$145:$C$245,D254+1)-INDEX($C$145:$C$245,D254))*(INDEX($B$145:$B$245,D254+1)-INDEX($B$145:$B$245,D254))),NA())</f>
        <v>0.27475991052175885</v>
      </c>
    </row>
    <row r="255" spans="2:7" hidden="1" outlineLevel="1" x14ac:dyDescent="0.45">
      <c r="B255" s="77">
        <v>7</v>
      </c>
      <c r="C255" s="72">
        <f ca="1">IF(ISNUMBER($C$145),$C$145+($C$245-$C$145)*7/24,NA())</f>
        <v>30.036271614267235</v>
      </c>
      <c r="D255" s="78">
        <f t="shared" ca="1" si="5"/>
        <v>37</v>
      </c>
      <c r="E255" s="72">
        <f t="shared" ca="1" si="6"/>
        <v>30.362425490263526</v>
      </c>
      <c r="F255" s="76">
        <f t="shared" ca="1" si="7"/>
        <v>9.752797837419025E-2</v>
      </c>
      <c r="G255" s="76" cm="1">
        <f t="array" aca="1" ref="G255" ca="1">IF(ISNUMBER(D255),IF(D255&gt;=101,INDEX($B$145:$B$245,101),INDEX($B$145:$B$245,D255)+(C255-INDEX($C$145:$C$245,D255))/MAX(0.000000000001,INDEX($C$145:$C$245,D255+1)-INDEX($C$145:$C$245,D255))*(INDEX($B$145:$B$245,D255+1)-INDEX($B$145:$B$245,D255))),NA())</f>
        <v>0.36127655352635485</v>
      </c>
    </row>
    <row r="256" spans="2:7" hidden="1" outlineLevel="1" x14ac:dyDescent="0.45">
      <c r="B256" s="77">
        <v>8</v>
      </c>
      <c r="C256" s="72">
        <f ca="1">IF(ISNUMBER($C$145),$C$145+($C$245-$C$145)*8/24,NA())</f>
        <v>30.68857936625982</v>
      </c>
      <c r="D256" s="78">
        <f t="shared" ca="1" si="5"/>
        <v>46</v>
      </c>
      <c r="E256" s="72">
        <f t="shared" ca="1" si="6"/>
        <v>31.014733242256113</v>
      </c>
      <c r="F256" s="76">
        <f t="shared" ca="1" si="7"/>
        <v>9.1757538573748298E-2</v>
      </c>
      <c r="G256" s="76" cm="1">
        <f t="array" aca="1" ref="G256" ca="1">IF(ISNUMBER(D256),IF(D256&gt;=101,INDEX($B$145:$B$245,101),INDEX($B$145:$B$245,D256)+(C256-INDEX($C$145:$C$245,D256))/MAX(0.000000000001,INDEX($C$145:$C$245,D256+1)-INDEX($C$145:$C$245,D256))*(INDEX($B$145:$B$245,D256+1)-INDEX($B$145:$B$245,D256))),NA())</f>
        <v>0.4588045319005451</v>
      </c>
    </row>
    <row r="257" spans="2:7" hidden="1" outlineLevel="1" x14ac:dyDescent="0.45">
      <c r="B257" s="77">
        <v>9</v>
      </c>
      <c r="C257" s="72">
        <f ca="1">IF(ISNUMBER($C$145),$C$145+($C$245-$C$145)*9/24,NA())</f>
        <v>31.340887118252404</v>
      </c>
      <c r="D257" s="78">
        <f t="shared" ca="1" si="5"/>
        <v>56</v>
      </c>
      <c r="E257" s="72">
        <f t="shared" ca="1" si="6"/>
        <v>31.667040994248694</v>
      </c>
      <c r="F257" s="76">
        <f t="shared" ca="1" si="7"/>
        <v>8.287487797521198E-2</v>
      </c>
      <c r="G257" s="76" cm="1">
        <f t="array" aca="1" ref="G257" ca="1">IF(ISNUMBER(D257),IF(D257&gt;=101,INDEX($B$145:$B$245,101),INDEX($B$145:$B$245,D257)+(C257-INDEX($C$145:$C$245,D257))/MAX(0.000000000001,INDEX($C$145:$C$245,D257+1)-INDEX($C$145:$C$245,D257))*(INDEX($B$145:$B$245,D257+1)-INDEX($B$145:$B$245,D257))),NA())</f>
        <v>0.5505620704742934</v>
      </c>
    </row>
    <row r="258" spans="2:7" hidden="1" outlineLevel="1" x14ac:dyDescent="0.45">
      <c r="B258" s="77">
        <v>10</v>
      </c>
      <c r="C258" s="72">
        <f ca="1">IF(ISNUMBER($C$145),$C$145+($C$245-$C$145)*10/24,NA())</f>
        <v>31.993194870244988</v>
      </c>
      <c r="D258" s="78">
        <f t="shared" ca="1" si="5"/>
        <v>64</v>
      </c>
      <c r="E258" s="72">
        <f t="shared" ca="1" si="6"/>
        <v>32.319348746241282</v>
      </c>
      <c r="F258" s="76">
        <f t="shared" ca="1" si="7"/>
        <v>7.5028763038240687E-2</v>
      </c>
      <c r="G258" s="76" cm="1">
        <f t="array" aca="1" ref="G258" ca="1">IF(ISNUMBER(D258),IF(D258&gt;=101,INDEX($B$145:$B$245,101),INDEX($B$145:$B$245,D258)+(C258-INDEX($C$145:$C$245,D258))/MAX(0.000000000001,INDEX($C$145:$C$245,D258+1)-INDEX($C$145:$C$245,D258))*(INDEX($B$145:$B$245,D258+1)-INDEX($B$145:$B$245,D258))),NA())</f>
        <v>0.63343694844950538</v>
      </c>
    </row>
    <row r="259" spans="2:7" hidden="1" outlineLevel="1" x14ac:dyDescent="0.45">
      <c r="B259" s="77">
        <v>11</v>
      </c>
      <c r="C259" s="72">
        <f ca="1">IF(ISNUMBER($C$145),$C$145+($C$245-$C$145)*11/24,NA())</f>
        <v>32.645502622237572</v>
      </c>
      <c r="D259" s="78">
        <f t="shared" ca="1" si="5"/>
        <v>71</v>
      </c>
      <c r="E259" s="72">
        <f t="shared" ca="1" si="6"/>
        <v>32.971656498233862</v>
      </c>
      <c r="F259" s="76">
        <f t="shared" ca="1" si="7"/>
        <v>6.114430904981405E-2</v>
      </c>
      <c r="G259" s="76" cm="1">
        <f t="array" aca="1" ref="G259" ca="1">IF(ISNUMBER(D259),IF(D259&gt;=101,INDEX($B$145:$B$245,101),INDEX($B$145:$B$245,D259)+(C259-INDEX($C$145:$C$245,D259))/MAX(0.000000000001,INDEX($C$145:$C$245,D259+1)-INDEX($C$145:$C$245,D259))*(INDEX($B$145:$B$245,D259+1)-INDEX($B$145:$B$245,D259))),NA())</f>
        <v>0.70846571148774606</v>
      </c>
    </row>
    <row r="260" spans="2:7" hidden="1" outlineLevel="1" x14ac:dyDescent="0.45">
      <c r="B260" s="77">
        <v>12</v>
      </c>
      <c r="C260" s="72">
        <f ca="1">IF(ISNUMBER($C$145),$C$145+($C$245-$C$145)*12/24,NA())</f>
        <v>33.297810374230153</v>
      </c>
      <c r="D260" s="78">
        <f t="shared" ca="1" si="5"/>
        <v>77</v>
      </c>
      <c r="E260" s="72">
        <f t="shared" ca="1" si="6"/>
        <v>33.62396425022645</v>
      </c>
      <c r="F260" s="76">
        <f t="shared" ca="1" si="7"/>
        <v>5.7662850849597214E-2</v>
      </c>
      <c r="G260" s="76" cm="1">
        <f t="array" aca="1" ref="G260" ca="1">IF(ISNUMBER(D260),IF(D260&gt;=101,INDEX($B$145:$B$245,101),INDEX($B$145:$B$245,D260)+(C260-INDEX($C$145:$C$245,D260))/MAX(0.000000000001,INDEX($C$145:$C$245,D260+1)-INDEX($C$145:$C$245,D260))*(INDEX($B$145:$B$245,D260+1)-INDEX($B$145:$B$245,D260))),NA())</f>
        <v>0.76961002053756011</v>
      </c>
    </row>
    <row r="261" spans="2:7" hidden="1" outlineLevel="1" x14ac:dyDescent="0.45">
      <c r="B261" s="77">
        <v>13</v>
      </c>
      <c r="C261" s="72">
        <f ca="1">IF(ISNUMBER($C$145),$C$145+($C$245-$C$145)*13/24,NA())</f>
        <v>33.95011812622274</v>
      </c>
      <c r="D261" s="78">
        <f t="shared" ca="1" si="5"/>
        <v>83</v>
      </c>
      <c r="E261" s="72">
        <f t="shared" ca="1" si="6"/>
        <v>34.276272002219031</v>
      </c>
      <c r="F261" s="76">
        <f t="shared" ca="1" si="7"/>
        <v>4.1407760104166913E-2</v>
      </c>
      <c r="G261" s="76" cm="1">
        <f t="array" aca="1" ref="G261" ca="1">IF(ISNUMBER(D261),IF(D261&gt;=101,INDEX($B$145:$B$245,101),INDEX($B$145:$B$245,D261)+(C261-INDEX($C$145:$C$245,D261))/MAX(0.000000000001,INDEX($C$145:$C$245,D261+1)-INDEX($C$145:$C$245,D261))*(INDEX($B$145:$B$245,D261+1)-INDEX($B$145:$B$245,D261))),NA())</f>
        <v>0.82727287138715733</v>
      </c>
    </row>
    <row r="262" spans="2:7" hidden="1" outlineLevel="1" x14ac:dyDescent="0.45">
      <c r="B262" s="77">
        <v>14</v>
      </c>
      <c r="C262" s="72">
        <f ca="1">IF(ISNUMBER($C$145),$C$145+($C$245-$C$145)*14/24,NA())</f>
        <v>34.602425878215328</v>
      </c>
      <c r="D262" s="78">
        <f t="shared" ca="1" si="5"/>
        <v>87</v>
      </c>
      <c r="E262" s="72">
        <f t="shared" ca="1" si="6"/>
        <v>34.928579754211619</v>
      </c>
      <c r="F262" s="76">
        <f t="shared" ca="1" si="7"/>
        <v>3.7202447550655715E-2</v>
      </c>
      <c r="G262" s="76" cm="1">
        <f t="array" aca="1" ref="G262" ca="1">IF(ISNUMBER(D262),IF(D262&gt;=101,INDEX($B$145:$B$245,101),INDEX($B$145:$B$245,D262)+(C262-INDEX($C$145:$C$245,D262))/MAX(0.000000000001,INDEX($C$145:$C$245,D262+1)-INDEX($C$145:$C$245,D262))*(INDEX($B$145:$B$245,D262+1)-INDEX($B$145:$B$245,D262))),NA())</f>
        <v>0.86868063149132424</v>
      </c>
    </row>
    <row r="263" spans="2:7" hidden="1" outlineLevel="1" x14ac:dyDescent="0.45">
      <c r="B263" s="77">
        <v>15</v>
      </c>
      <c r="C263" s="72">
        <f ca="1">IF(ISNUMBER($C$145),$C$145+($C$245-$C$145)*15/24,NA())</f>
        <v>35.254733630207909</v>
      </c>
      <c r="D263" s="78">
        <f t="shared" ca="1" si="5"/>
        <v>91</v>
      </c>
      <c r="E263" s="72">
        <f t="shared" ca="1" si="6"/>
        <v>35.580887506204206</v>
      </c>
      <c r="F263" s="76">
        <f t="shared" ca="1" si="7"/>
        <v>2.5946675856009627E-2</v>
      </c>
      <c r="G263" s="76" cm="1">
        <f t="array" aca="1" ref="G263" ca="1">IF(ISNUMBER(D263),IF(D263&gt;=101,INDEX($B$145:$B$245,101),INDEX($B$145:$B$245,D263)+(C263-INDEX($C$145:$C$245,D263))/MAX(0.000000000001,INDEX($C$145:$C$245,D263+1)-INDEX($C$145:$C$245,D263))*(INDEX($B$145:$B$245,D263+1)-INDEX($B$145:$B$245,D263))),NA())</f>
        <v>0.90588307904197996</v>
      </c>
    </row>
    <row r="264" spans="2:7" hidden="1" outlineLevel="1" x14ac:dyDescent="0.45">
      <c r="B264" s="77">
        <v>16</v>
      </c>
      <c r="C264" s="72">
        <f ca="1">IF(ISNUMBER($C$145),$C$145+($C$245-$C$145)*16/24,NA())</f>
        <v>35.907041382200497</v>
      </c>
      <c r="D264" s="78">
        <f t="shared" ca="1" si="5"/>
        <v>94</v>
      </c>
      <c r="E264" s="72">
        <f t="shared" ca="1" si="6"/>
        <v>36.233195258196787</v>
      </c>
      <c r="F264" s="76">
        <f t="shared" ca="1" si="7"/>
        <v>1.8509890941650342E-2</v>
      </c>
      <c r="G264" s="76" cm="1">
        <f t="array" aca="1" ref="G264" ca="1">IF(ISNUMBER(D264),IF(D264&gt;=101,INDEX($B$145:$B$245,101),INDEX($B$145:$B$245,D264)+(C264-INDEX($C$145:$C$245,D264))/MAX(0.000000000001,INDEX($C$145:$C$245,D264+1)-INDEX($C$145:$C$245,D264))*(INDEX($B$145:$B$245,D264+1)-INDEX($B$145:$B$245,D264))),NA())</f>
        <v>0.93182975489798958</v>
      </c>
    </row>
    <row r="265" spans="2:7" hidden="1" outlineLevel="1" x14ac:dyDescent="0.45">
      <c r="B265" s="77">
        <v>17</v>
      </c>
      <c r="C265" s="72">
        <f ca="1">IF(ISNUMBER($C$145),$C$145+($C$245-$C$145)*17/24,NA())</f>
        <v>36.559349134193077</v>
      </c>
      <c r="D265" s="78">
        <f t="shared" ca="1" si="5"/>
        <v>96</v>
      </c>
      <c r="E265" s="72">
        <f t="shared" ca="1" si="6"/>
        <v>36.885503010189368</v>
      </c>
      <c r="F265" s="76">
        <f t="shared" ca="1" si="7"/>
        <v>1.3770846935855952E-2</v>
      </c>
      <c r="G265" s="76" cm="1">
        <f t="array" aca="1" ref="G265" ca="1">IF(ISNUMBER(D265),IF(D265&gt;=101,INDEX($B$145:$B$245,101),INDEX($B$145:$B$245,D265)+(C265-INDEX($C$145:$C$245,D265))/MAX(0.000000000001,INDEX($C$145:$C$245,D265+1)-INDEX($C$145:$C$245,D265))*(INDEX($B$145:$B$245,D265+1)-INDEX($B$145:$B$245,D265))),NA())</f>
        <v>0.95033964583963992</v>
      </c>
    </row>
    <row r="266" spans="2:7" hidden="1" outlineLevel="1" x14ac:dyDescent="0.45">
      <c r="B266" s="77">
        <v>18</v>
      </c>
      <c r="C266" s="72">
        <f ca="1">IF(ISNUMBER($C$145),$C$145+($C$245-$C$145)*18/24,NA())</f>
        <v>37.211656886185665</v>
      </c>
      <c r="D266" s="78">
        <f t="shared" ca="1" si="5"/>
        <v>97</v>
      </c>
      <c r="E266" s="72">
        <f t="shared" ca="1" si="6"/>
        <v>37.537810762181955</v>
      </c>
      <c r="F266" s="76">
        <f t="shared" ca="1" si="7"/>
        <v>9.3556452263722223E-3</v>
      </c>
      <c r="G266" s="76" cm="1">
        <f t="array" aca="1" ref="G266" ca="1">IF(ISNUMBER(D266),IF(D266&gt;=101,INDEX($B$145:$B$245,101),INDEX($B$145:$B$245,D266)+(C266-INDEX($C$145:$C$245,D266))/MAX(0.000000000001,INDEX($C$145:$C$245,D266+1)-INDEX($C$145:$C$245,D266))*(INDEX($B$145:$B$245,D266+1)-INDEX($B$145:$B$245,D266))),NA())</f>
        <v>0.96411049277549588</v>
      </c>
    </row>
    <row r="267" spans="2:7" hidden="1" outlineLevel="1" x14ac:dyDescent="0.45">
      <c r="B267" s="77">
        <v>19</v>
      </c>
      <c r="C267" s="72">
        <f ca="1">IF(ISNUMBER($C$145),$C$145+($C$245-$C$145)*19/24,NA())</f>
        <v>37.863964638178246</v>
      </c>
      <c r="D267" s="78">
        <f t="shared" ca="1" si="5"/>
        <v>98</v>
      </c>
      <c r="E267" s="72">
        <f t="shared" ca="1" si="6"/>
        <v>38.190118514174543</v>
      </c>
      <c r="F267" s="76">
        <f t="shared" ca="1" si="7"/>
        <v>7.2131269969187839E-3</v>
      </c>
      <c r="G267" s="76" cm="1">
        <f t="array" aca="1" ref="G267" ca="1">IF(ISNUMBER(D267),IF(D267&gt;=101,INDEX($B$145:$B$245,101),INDEX($B$145:$B$245,D267)+(C267-INDEX($C$145:$C$245,D267))/MAX(0.000000000001,INDEX($C$145:$C$245,D267+1)-INDEX($C$145:$C$245,D267))*(INDEX($B$145:$B$245,D267+1)-INDEX($B$145:$B$245,D267))),NA())</f>
        <v>0.9734661380018681</v>
      </c>
    </row>
    <row r="268" spans="2:7" hidden="1" outlineLevel="1" x14ac:dyDescent="0.45">
      <c r="B268" s="77">
        <v>20</v>
      </c>
      <c r="C268" s="72">
        <f ca="1">IF(ISNUMBER($C$145),$C$145+($C$245-$C$145)*20/24,NA())</f>
        <v>38.516272390170833</v>
      </c>
      <c r="D268" s="78">
        <f t="shared" ca="1" si="5"/>
        <v>99</v>
      </c>
      <c r="E268" s="72">
        <f t="shared" ca="1" si="6"/>
        <v>38.842426266167124</v>
      </c>
      <c r="F268" s="76">
        <f t="shared" ca="1" si="7"/>
        <v>4.4990830012268113E-3</v>
      </c>
      <c r="G268" s="76" cm="1">
        <f t="array" aca="1" ref="G268" ca="1">IF(ISNUMBER(D268),IF(D268&gt;=101,INDEX($B$145:$B$245,101),INDEX($B$145:$B$245,D268)+(C268-INDEX($C$145:$C$245,D268))/MAX(0.000000000001,INDEX($C$145:$C$245,D268+1)-INDEX($C$145:$C$245,D268))*(INDEX($B$145:$B$245,D268+1)-INDEX($B$145:$B$245,D268))),NA())</f>
        <v>0.98067926499878688</v>
      </c>
    </row>
    <row r="269" spans="2:7" hidden="1" outlineLevel="1" x14ac:dyDescent="0.45">
      <c r="B269" s="77">
        <v>21</v>
      </c>
      <c r="C269" s="72">
        <f ca="1">IF(ISNUMBER($C$145),$C$145+($C$245-$C$145)*21/24,NA())</f>
        <v>39.168580142163414</v>
      </c>
      <c r="D269" s="78">
        <f t="shared" ca="1" si="5"/>
        <v>99</v>
      </c>
      <c r="E269" s="72">
        <f t="shared" ca="1" si="6"/>
        <v>39.494734018159704</v>
      </c>
      <c r="F269" s="76">
        <f t="shared" ca="1" si="7"/>
        <v>4.4990830012269223E-3</v>
      </c>
      <c r="G269" s="76" cm="1">
        <f t="array" aca="1" ref="G269" ca="1">IF(ISNUMBER(D269),IF(D269&gt;=101,INDEX($B$145:$B$245,101),INDEX($B$145:$B$245,D269)+(C269-INDEX($C$145:$C$245,D269))/MAX(0.000000000001,INDEX($C$145:$C$245,D269+1)-INDEX($C$145:$C$245,D269))*(INDEX($B$145:$B$245,D269+1)-INDEX($B$145:$B$245,D269))),NA())</f>
        <v>0.98517834800001369</v>
      </c>
    </row>
    <row r="270" spans="2:7" hidden="1" outlineLevel="1" x14ac:dyDescent="0.45">
      <c r="B270" s="77">
        <v>22</v>
      </c>
      <c r="C270" s="72">
        <f ca="1">IF(ISNUMBER($C$145),$C$145+($C$245-$C$145)*22/24,NA())</f>
        <v>39.820887894156002</v>
      </c>
      <c r="D270" s="78">
        <f t="shared" ca="1" si="5"/>
        <v>99</v>
      </c>
      <c r="E270" s="72">
        <f t="shared" ca="1" si="6"/>
        <v>40.147041770152292</v>
      </c>
      <c r="F270" s="76">
        <f t="shared" ca="1" si="7"/>
        <v>2.729616030040849E-3</v>
      </c>
      <c r="G270" s="76" cm="1">
        <f t="array" aca="1" ref="G270" ca="1">IF(ISNUMBER(D270),IF(D270&gt;=101,INDEX($B$145:$B$245,101),INDEX($B$145:$B$245,D270)+(C270-INDEX($C$145:$C$245,D270))/MAX(0.000000000001,INDEX($C$145:$C$245,D270+1)-INDEX($C$145:$C$245,D270))*(INDEX($B$145:$B$245,D270+1)-INDEX($B$145:$B$245,D270))),NA())</f>
        <v>0.98967743100124062</v>
      </c>
    </row>
    <row r="271" spans="2:7" hidden="1" outlineLevel="1" x14ac:dyDescent="0.45">
      <c r="B271" s="77">
        <v>23</v>
      </c>
      <c r="C271" s="72">
        <f ca="1">IF(ISNUMBER($C$145),$C$145+($C$245-$C$145)*23/24,NA())</f>
        <v>40.473195646148582</v>
      </c>
      <c r="D271" s="78">
        <f t="shared" ca="1" si="5"/>
        <v>100</v>
      </c>
      <c r="E271" s="72">
        <f t="shared" ca="1" si="6"/>
        <v>40.79934952214488</v>
      </c>
      <c r="F271" s="76">
        <f t="shared" ca="1" si="7"/>
        <v>2.5929529687185315E-3</v>
      </c>
      <c r="G271" s="76" cm="1">
        <f t="array" aca="1" ref="G271" ca="1">IF(ISNUMBER(D271),IF(D271&gt;=101,INDEX($B$145:$B$245,101),INDEX($B$145:$B$245,D271)+(C271-INDEX($C$145:$C$245,D271))/MAX(0.000000000001,INDEX($C$145:$C$245,D271+1)-INDEX($C$145:$C$245,D271))*(INDEX($B$145:$B$245,D271+1)-INDEX($B$145:$B$245,D271))),NA())</f>
        <v>0.99240704703128146</v>
      </c>
    </row>
    <row r="272" spans="2:7" hidden="1" outlineLevel="1" x14ac:dyDescent="0.45">
      <c r="B272" s="77">
        <v>24</v>
      </c>
      <c r="C272" s="72">
        <f ca="1">IF(ISNUMBER($C$145),$C$145+($C$245-$C$145)*24/24,NA())</f>
        <v>41.12550339814117</v>
      </c>
      <c r="D272" s="78">
        <f t="shared" ca="1" si="5"/>
        <v>101</v>
      </c>
      <c r="G272" s="76" cm="1">
        <f t="array" aca="1" ref="G272" ca="1">IF(ISNUMBER(D272),IF(D272&gt;=101,INDEX($B$145:$B$245,101),INDEX($B$145:$B$245,D272)+(C272-INDEX($C$145:$C$245,D272))/MAX(0.000000000001,INDEX($C$145:$C$245,D272+1)-INDEX($C$145:$C$245,D272))*(INDEX($B$145:$B$245,D272+1)-INDEX($B$145:$B$245,D272))),NA())</f>
        <v>0.995</v>
      </c>
    </row>
  </sheetData>
  <mergeCells count="5">
    <mergeCell ref="B67:G67"/>
    <mergeCell ref="B71:G71"/>
    <mergeCell ref="B70:G70"/>
    <mergeCell ref="B68:G68"/>
    <mergeCell ref="B69:G69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45:G272">
    <cfRule type="expression" dxfId="2" priority="5">
      <formula>ISNA($C$145)</formula>
    </cfRule>
  </conditionalFormatting>
  <conditionalFormatting sqref="D77:E126">
    <cfRule type="expression" dxfId="1" priority="3">
      <formula>ISNA(D77)</formula>
    </cfRule>
  </conditionalFormatting>
  <conditionalFormatting sqref="F130:G142">
    <cfRule type="expression" dxfId="0" priority="4">
      <formula>ISNA(F130)</formula>
    </cfRule>
  </conditionalFormatting>
  <hyperlinks>
    <hyperlink ref="B4" location="'Исследование'!A1" display="◂  Исследование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6EDC-7005-4C88-8A4E-E85FFD44AD30}">
  <dimension ref="A1:B1"/>
  <sheetViews>
    <sheetView workbookViewId="0"/>
  </sheetViews>
  <sheetFormatPr defaultRowHeight="14.25" x14ac:dyDescent="0.45"/>
  <sheetData>
    <row r="1" spans="1:2" x14ac:dyDescent="0.45">
      <c r="A1" s="83" t="s">
        <v>272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95AA-1BBA-4063-B59F-A1B8709EBF5F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3791-47B0-4AEA-A710-FC3670932709}">
  <dimension ref="B3:B172"/>
  <sheetViews>
    <sheetView workbookViewId="0"/>
  </sheetViews>
  <sheetFormatPr defaultRowHeight="14.25" x14ac:dyDescent="0.45"/>
  <sheetData>
    <row r="3" spans="2:2" x14ac:dyDescent="0.45">
      <c r="B3">
        <v>93</v>
      </c>
    </row>
    <row r="4" spans="2:2" x14ac:dyDescent="0.45">
      <c r="B4">
        <v>230</v>
      </c>
    </row>
    <row r="5" spans="2:2" x14ac:dyDescent="0.45">
      <c r="B5">
        <v>329</v>
      </c>
    </row>
    <row r="6" spans="2:2" x14ac:dyDescent="0.45">
      <c r="B6">
        <v>359</v>
      </c>
    </row>
    <row r="7" spans="2:2" x14ac:dyDescent="0.45">
      <c r="B7">
        <v>342</v>
      </c>
    </row>
    <row r="8" spans="2:2" x14ac:dyDescent="0.45">
      <c r="B8">
        <v>287</v>
      </c>
    </row>
    <row r="9" spans="2:2" x14ac:dyDescent="0.45">
      <c r="B9">
        <v>195</v>
      </c>
    </row>
    <row r="10" spans="2:2" x14ac:dyDescent="0.45">
      <c r="B10">
        <v>120</v>
      </c>
    </row>
    <row r="11" spans="2:2" x14ac:dyDescent="0.45">
      <c r="B11">
        <v>38</v>
      </c>
    </row>
    <row r="12" spans="2:2" x14ac:dyDescent="0.45">
      <c r="B12">
        <v>7</v>
      </c>
    </row>
    <row r="13" spans="2:2" x14ac:dyDescent="0.45">
      <c r="B13">
        <v>53</v>
      </c>
    </row>
    <row r="14" spans="2:2" x14ac:dyDescent="0.45">
      <c r="B14">
        <v>191</v>
      </c>
    </row>
    <row r="15" spans="2:2" x14ac:dyDescent="0.45">
      <c r="B15">
        <v>271</v>
      </c>
    </row>
    <row r="16" spans="2:2" x14ac:dyDescent="0.45">
      <c r="B16">
        <v>350</v>
      </c>
    </row>
    <row r="17" spans="2:2" x14ac:dyDescent="0.45">
      <c r="B17">
        <v>346</v>
      </c>
    </row>
    <row r="18" spans="2:2" x14ac:dyDescent="0.45">
      <c r="B18">
        <v>316</v>
      </c>
    </row>
    <row r="19" spans="2:2" x14ac:dyDescent="0.45">
      <c r="B19">
        <v>248</v>
      </c>
    </row>
    <row r="20" spans="2:2" x14ac:dyDescent="0.45">
      <c r="B20">
        <v>142</v>
      </c>
    </row>
    <row r="21" spans="2:2" x14ac:dyDescent="0.45">
      <c r="B21">
        <v>68</v>
      </c>
    </row>
    <row r="22" spans="2:2" x14ac:dyDescent="0.45">
      <c r="B22">
        <v>15</v>
      </c>
    </row>
    <row r="23" spans="2:2" x14ac:dyDescent="0.45">
      <c r="B23">
        <v>93</v>
      </c>
    </row>
    <row r="24" spans="2:2" x14ac:dyDescent="0.45">
      <c r="B24">
        <v>250</v>
      </c>
    </row>
    <row r="25" spans="2:2" x14ac:dyDescent="0.45">
      <c r="B25">
        <v>341</v>
      </c>
    </row>
    <row r="26" spans="2:2" x14ac:dyDescent="0.45">
      <c r="B26">
        <v>381</v>
      </c>
    </row>
    <row r="27" spans="2:2" x14ac:dyDescent="0.45">
      <c r="B27">
        <v>345</v>
      </c>
    </row>
    <row r="28" spans="2:2" x14ac:dyDescent="0.45">
      <c r="B28">
        <v>294</v>
      </c>
    </row>
    <row r="29" spans="2:2" x14ac:dyDescent="0.45">
      <c r="B29">
        <v>156</v>
      </c>
    </row>
    <row r="30" spans="2:2" x14ac:dyDescent="0.45">
      <c r="B30">
        <v>104</v>
      </c>
    </row>
    <row r="31" spans="2:2" x14ac:dyDescent="0.45">
      <c r="B31">
        <v>32</v>
      </c>
    </row>
    <row r="32" spans="2:2" x14ac:dyDescent="0.45">
      <c r="B32">
        <v>4</v>
      </c>
    </row>
    <row r="33" spans="2:2" x14ac:dyDescent="0.45">
      <c r="B33">
        <v>144</v>
      </c>
    </row>
    <row r="34" spans="2:2" x14ac:dyDescent="0.45">
      <c r="B34">
        <v>341</v>
      </c>
    </row>
    <row r="35" spans="2:2" x14ac:dyDescent="0.45">
      <c r="B35">
        <v>382</v>
      </c>
    </row>
    <row r="36" spans="2:2" x14ac:dyDescent="0.45">
      <c r="B36">
        <v>374</v>
      </c>
    </row>
    <row r="37" spans="2:2" x14ac:dyDescent="0.45">
      <c r="B37">
        <v>281</v>
      </c>
    </row>
    <row r="38" spans="2:2" x14ac:dyDescent="0.45">
      <c r="B38">
        <v>221</v>
      </c>
    </row>
    <row r="39" spans="2:2" x14ac:dyDescent="0.45">
      <c r="B39">
        <v>143</v>
      </c>
    </row>
    <row r="40" spans="2:2" x14ac:dyDescent="0.45">
      <c r="B40">
        <v>72</v>
      </c>
    </row>
    <row r="41" spans="2:2" x14ac:dyDescent="0.45">
      <c r="B41">
        <v>35</v>
      </c>
    </row>
    <row r="42" spans="2:2" x14ac:dyDescent="0.45">
      <c r="B42">
        <v>7</v>
      </c>
    </row>
    <row r="43" spans="2:2" x14ac:dyDescent="0.45">
      <c r="B43">
        <v>79</v>
      </c>
    </row>
    <row r="44" spans="2:2" x14ac:dyDescent="0.45">
      <c r="B44">
        <v>222</v>
      </c>
    </row>
    <row r="45" spans="2:2" x14ac:dyDescent="0.45">
      <c r="B45">
        <v>323</v>
      </c>
    </row>
    <row r="46" spans="2:2" x14ac:dyDescent="0.45">
      <c r="B46">
        <v>364</v>
      </c>
    </row>
    <row r="47" spans="2:2" x14ac:dyDescent="0.45">
      <c r="B47">
        <v>350</v>
      </c>
    </row>
    <row r="48" spans="2:2" x14ac:dyDescent="0.45">
      <c r="B48">
        <v>287</v>
      </c>
    </row>
    <row r="49" spans="2:2" x14ac:dyDescent="0.45">
      <c r="B49">
        <v>187</v>
      </c>
    </row>
    <row r="50" spans="2:2" x14ac:dyDescent="0.45">
      <c r="B50">
        <v>117</v>
      </c>
    </row>
    <row r="51" spans="2:2" x14ac:dyDescent="0.45">
      <c r="B51">
        <v>55</v>
      </c>
    </row>
    <row r="52" spans="2:2" x14ac:dyDescent="0.45">
      <c r="B52">
        <v>16</v>
      </c>
    </row>
    <row r="53" spans="2:2" x14ac:dyDescent="0.45">
      <c r="B53">
        <v>74</v>
      </c>
    </row>
    <row r="54" spans="2:2" x14ac:dyDescent="0.45">
      <c r="B54">
        <v>239</v>
      </c>
    </row>
    <row r="55" spans="2:2" x14ac:dyDescent="0.45">
      <c r="B55">
        <v>337</v>
      </c>
    </row>
    <row r="56" spans="2:2" x14ac:dyDescent="0.45">
      <c r="B56">
        <v>346</v>
      </c>
    </row>
    <row r="57" spans="2:2" x14ac:dyDescent="0.45">
      <c r="B57">
        <v>360</v>
      </c>
    </row>
    <row r="58" spans="2:2" x14ac:dyDescent="0.45">
      <c r="B58">
        <v>244</v>
      </c>
    </row>
    <row r="59" spans="2:2" x14ac:dyDescent="0.45">
      <c r="B59">
        <v>220</v>
      </c>
    </row>
    <row r="60" spans="2:2" x14ac:dyDescent="0.45">
      <c r="B60">
        <v>109</v>
      </c>
    </row>
    <row r="61" spans="2:2" x14ac:dyDescent="0.45">
      <c r="B61">
        <v>54</v>
      </c>
    </row>
    <row r="62" spans="2:2" x14ac:dyDescent="0.45">
      <c r="B62">
        <v>17</v>
      </c>
    </row>
    <row r="63" spans="2:2" x14ac:dyDescent="0.45">
      <c r="B63">
        <v>81</v>
      </c>
    </row>
    <row r="64" spans="2:2" x14ac:dyDescent="0.45">
      <c r="B64">
        <v>225</v>
      </c>
    </row>
    <row r="65" spans="2:2" x14ac:dyDescent="0.45">
      <c r="B65">
        <v>310</v>
      </c>
    </row>
    <row r="66" spans="2:2" x14ac:dyDescent="0.45">
      <c r="B66">
        <v>343</v>
      </c>
    </row>
    <row r="67" spans="2:2" x14ac:dyDescent="0.45">
      <c r="B67">
        <v>338</v>
      </c>
    </row>
    <row r="68" spans="2:2" x14ac:dyDescent="0.45">
      <c r="B68">
        <v>272</v>
      </c>
    </row>
    <row r="69" spans="2:2" x14ac:dyDescent="0.45">
      <c r="B69">
        <v>187</v>
      </c>
    </row>
    <row r="70" spans="2:2" x14ac:dyDescent="0.45">
      <c r="B70">
        <v>138</v>
      </c>
    </row>
    <row r="71" spans="2:2" x14ac:dyDescent="0.45">
      <c r="B71">
        <v>68</v>
      </c>
    </row>
    <row r="72" spans="2:2" x14ac:dyDescent="0.45">
      <c r="B72">
        <v>38</v>
      </c>
    </row>
    <row r="73" spans="2:2" x14ac:dyDescent="0.45">
      <c r="B73">
        <v>93</v>
      </c>
    </row>
    <row r="74" spans="2:2" x14ac:dyDescent="0.45">
      <c r="B74">
        <v>233</v>
      </c>
    </row>
    <row r="75" spans="2:2" x14ac:dyDescent="0.45">
      <c r="B75">
        <v>357</v>
      </c>
    </row>
    <row r="76" spans="2:2" x14ac:dyDescent="0.45">
      <c r="B76">
        <v>363</v>
      </c>
    </row>
    <row r="77" spans="2:2" x14ac:dyDescent="0.45">
      <c r="B77">
        <v>314</v>
      </c>
    </row>
    <row r="78" spans="2:2" x14ac:dyDescent="0.45">
      <c r="B78">
        <v>268</v>
      </c>
    </row>
    <row r="79" spans="2:2" x14ac:dyDescent="0.45">
      <c r="B79">
        <v>195</v>
      </c>
    </row>
    <row r="80" spans="2:2" x14ac:dyDescent="0.45">
      <c r="B80">
        <v>120</v>
      </c>
    </row>
    <row r="81" spans="2:2" x14ac:dyDescent="0.45">
      <c r="B81">
        <v>45</v>
      </c>
    </row>
    <row r="82" spans="2:2" x14ac:dyDescent="0.45">
      <c r="B82">
        <v>12</v>
      </c>
    </row>
    <row r="83" spans="2:2" x14ac:dyDescent="0.45">
      <c r="B83">
        <v>112</v>
      </c>
    </row>
    <row r="84" spans="2:2" x14ac:dyDescent="0.45">
      <c r="B84">
        <v>288</v>
      </c>
    </row>
    <row r="85" spans="2:2" x14ac:dyDescent="0.45">
      <c r="B85">
        <v>381</v>
      </c>
    </row>
    <row r="86" spans="2:2" x14ac:dyDescent="0.45">
      <c r="B86">
        <v>388</v>
      </c>
    </row>
    <row r="87" spans="2:2" x14ac:dyDescent="0.45">
      <c r="B87">
        <v>326</v>
      </c>
    </row>
    <row r="88" spans="2:2" x14ac:dyDescent="0.45">
      <c r="B88">
        <v>242</v>
      </c>
    </row>
    <row r="89" spans="2:2" x14ac:dyDescent="0.45">
      <c r="B89">
        <v>138</v>
      </c>
    </row>
    <row r="90" spans="2:2" x14ac:dyDescent="0.45">
      <c r="B90">
        <v>98</v>
      </c>
    </row>
    <row r="91" spans="2:2" x14ac:dyDescent="0.45">
      <c r="B91">
        <v>18</v>
      </c>
    </row>
    <row r="92" spans="2:2" x14ac:dyDescent="0.45">
      <c r="B92">
        <v>9</v>
      </c>
    </row>
    <row r="93" spans="2:2" x14ac:dyDescent="0.45">
      <c r="B93">
        <v>55</v>
      </c>
    </row>
    <row r="94" spans="2:2" x14ac:dyDescent="0.45">
      <c r="B94">
        <v>208</v>
      </c>
    </row>
    <row r="95" spans="2:2" x14ac:dyDescent="0.45">
      <c r="B95">
        <v>327</v>
      </c>
    </row>
    <row r="96" spans="2:2" x14ac:dyDescent="0.45">
      <c r="B96">
        <v>353</v>
      </c>
    </row>
    <row r="97" spans="2:2" x14ac:dyDescent="0.45">
      <c r="B97">
        <v>367</v>
      </c>
    </row>
    <row r="98" spans="2:2" x14ac:dyDescent="0.45">
      <c r="B98">
        <v>278</v>
      </c>
    </row>
    <row r="99" spans="2:2" x14ac:dyDescent="0.45">
      <c r="B99">
        <v>209</v>
      </c>
    </row>
    <row r="100" spans="2:2" x14ac:dyDescent="0.45">
      <c r="B100">
        <v>136</v>
      </c>
    </row>
    <row r="101" spans="2:2" x14ac:dyDescent="0.45">
      <c r="B101">
        <v>54</v>
      </c>
    </row>
    <row r="102" spans="2:2" x14ac:dyDescent="0.45">
      <c r="B102">
        <v>13</v>
      </c>
    </row>
    <row r="103" spans="2:2" x14ac:dyDescent="0.45">
      <c r="B103">
        <v>1182</v>
      </c>
    </row>
    <row r="104" spans="2:2" x14ac:dyDescent="0.45">
      <c r="B104">
        <v>0</v>
      </c>
    </row>
    <row r="105" spans="2:2" x14ac:dyDescent="0.45">
      <c r="B105">
        <v>4</v>
      </c>
    </row>
    <row r="106" spans="2:2" x14ac:dyDescent="0.45">
      <c r="B106">
        <v>70</v>
      </c>
    </row>
    <row r="107" spans="2:2" x14ac:dyDescent="0.45">
      <c r="B107">
        <v>150</v>
      </c>
    </row>
    <row r="108" spans="2:2" x14ac:dyDescent="0.45">
      <c r="B108">
        <v>201</v>
      </c>
    </row>
    <row r="109" spans="2:2" x14ac:dyDescent="0.45">
      <c r="B109">
        <v>189</v>
      </c>
    </row>
    <row r="110" spans="2:2" x14ac:dyDescent="0.45">
      <c r="B110">
        <v>113</v>
      </c>
    </row>
    <row r="111" spans="2:2" x14ac:dyDescent="0.45">
      <c r="B111">
        <v>72</v>
      </c>
    </row>
    <row r="112" spans="2:2" x14ac:dyDescent="0.45">
      <c r="B112">
        <v>19</v>
      </c>
    </row>
    <row r="113" spans="2:2" x14ac:dyDescent="0.45">
      <c r="B113">
        <v>1408</v>
      </c>
    </row>
    <row r="114" spans="2:2" x14ac:dyDescent="0.45">
      <c r="B114">
        <v>0</v>
      </c>
    </row>
    <row r="115" spans="2:2" x14ac:dyDescent="0.45">
      <c r="B115">
        <v>0</v>
      </c>
    </row>
    <row r="116" spans="2:2" x14ac:dyDescent="0.45">
      <c r="B116">
        <v>0</v>
      </c>
    </row>
    <row r="117" spans="2:2" x14ac:dyDescent="0.45">
      <c r="B117">
        <v>17</v>
      </c>
    </row>
    <row r="118" spans="2:2" x14ac:dyDescent="0.45">
      <c r="B118">
        <v>121</v>
      </c>
    </row>
    <row r="119" spans="2:2" x14ac:dyDescent="0.45">
      <c r="B119">
        <v>181</v>
      </c>
    </row>
    <row r="120" spans="2:2" x14ac:dyDescent="0.45">
      <c r="B120">
        <v>147</v>
      </c>
    </row>
    <row r="121" spans="2:2" x14ac:dyDescent="0.45">
      <c r="B121">
        <v>91</v>
      </c>
    </row>
    <row r="122" spans="2:2" x14ac:dyDescent="0.45">
      <c r="B122">
        <v>35</v>
      </c>
    </row>
    <row r="123" spans="2:2" x14ac:dyDescent="0.45">
      <c r="B123">
        <v>1899</v>
      </c>
    </row>
    <row r="124" spans="2:2" x14ac:dyDescent="0.45">
      <c r="B124">
        <v>0</v>
      </c>
    </row>
    <row r="125" spans="2:2" x14ac:dyDescent="0.45">
      <c r="B125">
        <v>0</v>
      </c>
    </row>
    <row r="126" spans="2:2" x14ac:dyDescent="0.45">
      <c r="B126">
        <v>0</v>
      </c>
    </row>
    <row r="127" spans="2:2" x14ac:dyDescent="0.45">
      <c r="B127">
        <v>4</v>
      </c>
    </row>
    <row r="128" spans="2:2" x14ac:dyDescent="0.45">
      <c r="B128">
        <v>12</v>
      </c>
    </row>
    <row r="129" spans="2:2" x14ac:dyDescent="0.45">
      <c r="B129">
        <v>30</v>
      </c>
    </row>
    <row r="130" spans="2:2" x14ac:dyDescent="0.45">
      <c r="B130">
        <v>23</v>
      </c>
    </row>
    <row r="131" spans="2:2" x14ac:dyDescent="0.45">
      <c r="B131">
        <v>19</v>
      </c>
    </row>
    <row r="132" spans="2:2" x14ac:dyDescent="0.45">
      <c r="B132">
        <v>13</v>
      </c>
    </row>
    <row r="133" spans="2:2" x14ac:dyDescent="0.45">
      <c r="B133">
        <v>33</v>
      </c>
    </row>
    <row r="134" spans="2:2" x14ac:dyDescent="0.45">
      <c r="B134">
        <v>186</v>
      </c>
    </row>
    <row r="135" spans="2:2" x14ac:dyDescent="0.45">
      <c r="B135">
        <v>377</v>
      </c>
    </row>
    <row r="136" spans="2:2" x14ac:dyDescent="0.45">
      <c r="B136">
        <v>519</v>
      </c>
    </row>
    <row r="137" spans="2:2" x14ac:dyDescent="0.45">
      <c r="B137">
        <v>433</v>
      </c>
    </row>
    <row r="138" spans="2:2" x14ac:dyDescent="0.45">
      <c r="B138">
        <v>250</v>
      </c>
    </row>
    <row r="139" spans="2:2" x14ac:dyDescent="0.45">
      <c r="B139">
        <v>138</v>
      </c>
    </row>
    <row r="140" spans="2:2" x14ac:dyDescent="0.45">
      <c r="B140">
        <v>49</v>
      </c>
    </row>
    <row r="141" spans="2:2" x14ac:dyDescent="0.45">
      <c r="B141">
        <v>9</v>
      </c>
    </row>
    <row r="142" spans="2:2" x14ac:dyDescent="0.45">
      <c r="B142">
        <v>6</v>
      </c>
    </row>
    <row r="143" spans="2:2" x14ac:dyDescent="0.45">
      <c r="B143">
        <v>57</v>
      </c>
    </row>
    <row r="144" spans="2:2" x14ac:dyDescent="0.45">
      <c r="B144">
        <v>274</v>
      </c>
    </row>
    <row r="145" spans="2:2" x14ac:dyDescent="0.45">
      <c r="B145">
        <v>509</v>
      </c>
    </row>
    <row r="146" spans="2:2" x14ac:dyDescent="0.45">
      <c r="B146">
        <v>529</v>
      </c>
    </row>
    <row r="147" spans="2:2" x14ac:dyDescent="0.45">
      <c r="B147">
        <v>359</v>
      </c>
    </row>
    <row r="148" spans="2:2" x14ac:dyDescent="0.45">
      <c r="B148">
        <v>166</v>
      </c>
    </row>
    <row r="149" spans="2:2" x14ac:dyDescent="0.45">
      <c r="B149">
        <v>63</v>
      </c>
    </row>
    <row r="150" spans="2:2" x14ac:dyDescent="0.45">
      <c r="B150">
        <v>26</v>
      </c>
    </row>
    <row r="151" spans="2:2" x14ac:dyDescent="0.45">
      <c r="B151">
        <v>10</v>
      </c>
    </row>
    <row r="152" spans="2:2" x14ac:dyDescent="0.45">
      <c r="B152">
        <v>7</v>
      </c>
    </row>
    <row r="153" spans="2:2" x14ac:dyDescent="0.45">
      <c r="B153">
        <v>57</v>
      </c>
    </row>
    <row r="154" spans="2:2" x14ac:dyDescent="0.45">
      <c r="B154">
        <v>274</v>
      </c>
    </row>
    <row r="155" spans="2:2" x14ac:dyDescent="0.45">
      <c r="B155">
        <v>509</v>
      </c>
    </row>
    <row r="156" spans="2:2" x14ac:dyDescent="0.45">
      <c r="B156">
        <v>529</v>
      </c>
    </row>
    <row r="157" spans="2:2" x14ac:dyDescent="0.45">
      <c r="B157">
        <v>359</v>
      </c>
    </row>
    <row r="158" spans="2:2" x14ac:dyDescent="0.45">
      <c r="B158">
        <v>166</v>
      </c>
    </row>
    <row r="159" spans="2:2" x14ac:dyDescent="0.45">
      <c r="B159">
        <v>63</v>
      </c>
    </row>
    <row r="160" spans="2:2" x14ac:dyDescent="0.45">
      <c r="B160">
        <v>26</v>
      </c>
    </row>
    <row r="161" spans="2:2" x14ac:dyDescent="0.45">
      <c r="B161">
        <v>10</v>
      </c>
    </row>
    <row r="162" spans="2:2" x14ac:dyDescent="0.45">
      <c r="B162">
        <v>7</v>
      </c>
    </row>
    <row r="163" spans="2:2" x14ac:dyDescent="0.45">
      <c r="B163">
        <v>819</v>
      </c>
    </row>
    <row r="164" spans="2:2" x14ac:dyDescent="0.45">
      <c r="B164">
        <v>500</v>
      </c>
    </row>
    <row r="165" spans="2:2" x14ac:dyDescent="0.45">
      <c r="B165">
        <v>359</v>
      </c>
    </row>
    <row r="166" spans="2:2" x14ac:dyDescent="0.45">
      <c r="B166">
        <v>130</v>
      </c>
    </row>
    <row r="167" spans="2:2" x14ac:dyDescent="0.45">
      <c r="B167">
        <v>110</v>
      </c>
    </row>
    <row r="168" spans="2:2" x14ac:dyDescent="0.45">
      <c r="B168">
        <v>35</v>
      </c>
    </row>
    <row r="169" spans="2:2" x14ac:dyDescent="0.45">
      <c r="B169">
        <v>18</v>
      </c>
    </row>
    <row r="170" spans="2:2" x14ac:dyDescent="0.45">
      <c r="B170">
        <v>13</v>
      </c>
    </row>
    <row r="171" spans="2:2" x14ac:dyDescent="0.45">
      <c r="B171">
        <v>12</v>
      </c>
    </row>
    <row r="172" spans="2:2" x14ac:dyDescent="0.45">
      <c r="B172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EB3A5BE3-6294-43C4-B92B-902B68BF888C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106</vt:i4>
      </vt:variant>
    </vt:vector>
  </HeadingPairs>
  <TitlesOfParts>
    <vt:vector size="113" baseType="lpstr">
      <vt:lpstr>Описание</vt:lpstr>
      <vt:lpstr>Исходные данные</vt:lpstr>
      <vt:lpstr>Исследование</vt:lpstr>
      <vt:lpstr>Результаты</vt:lpstr>
      <vt:lpstr>ModelRiskDSN</vt:lpstr>
      <vt:lpstr>ModelRiskSYS1</vt:lpstr>
      <vt:lpstr>ModelRiskCharts</vt:lpstr>
      <vt:lpstr>C_Drug</vt:lpstr>
      <vt:lpstr>C_Patients</vt:lpstr>
      <vt:lpstr>C_Running</vt:lpstr>
      <vt:lpstr>C_Screen</vt:lpstr>
      <vt:lpstr>C_SetUp</vt:lpstr>
      <vt:lpstr>Checks</vt:lpstr>
      <vt:lpstr>CloseOut</vt:lpstr>
      <vt:lpstr>CloseOut_Hi</vt:lpstr>
      <vt:lpstr>CloseOut_Lo</vt:lpstr>
      <vt:lpstr>CloseOut_Mean</vt:lpstr>
      <vt:lpstr>CloseOut_ML</vt:lpstr>
      <vt:lpstr>CostBase</vt:lpstr>
      <vt:lpstr>CostPatient</vt:lpstr>
      <vt:lpstr>CostPatient_Hi</vt:lpstr>
      <vt:lpstr>CostPatient_Lo</vt:lpstr>
      <vt:lpstr>CostPatient_Mean</vt:lpstr>
      <vt:lpstr>CostPatient_ML</vt:lpstr>
      <vt:lpstr>CostScreen</vt:lpstr>
      <vt:lpstr>CostScreen_Hi</vt:lpstr>
      <vt:lpstr>CostScreen_Lo</vt:lpstr>
      <vt:lpstr>CostScreen_Mean</vt:lpstr>
      <vt:lpstr>CostScreen_ML</vt:lpstr>
      <vt:lpstr>D_Amend</vt:lpstr>
      <vt:lpstr>D_Amend_Hi</vt:lpstr>
      <vt:lpstr>D_Amend_Lo</vt:lpstr>
      <vt:lpstr>D_Amend_Mean</vt:lpstr>
      <vt:lpstr>D_Amend_ML</vt:lpstr>
      <vt:lpstr>D_Hold</vt:lpstr>
      <vt:lpstr>D_Hold_Hi</vt:lpstr>
      <vt:lpstr>D_Hold_Lo</vt:lpstr>
      <vt:lpstr>D_Hold_Mean</vt:lpstr>
      <vt:lpstr>D_Hold_ML</vt:lpstr>
      <vt:lpstr>D_Slow</vt:lpstr>
      <vt:lpstr>D_Slow_Hi</vt:lpstr>
      <vt:lpstr>D_Slow_Lo</vt:lpstr>
      <vt:lpstr>D_Slow_Mean</vt:lpstr>
      <vt:lpstr>D_Slow_ML</vt:lpstr>
      <vt:lpstr>DaysPerMonth</vt:lpstr>
      <vt:lpstr>Delays</vt:lpstr>
      <vt:lpstr>DelaysBase</vt:lpstr>
      <vt:lpstr>Dropout</vt:lpstr>
      <vt:lpstr>Dropout_Hi</vt:lpstr>
      <vt:lpstr>Dropout_Lo</vt:lpstr>
      <vt:lpstr>Dropout_Mean</vt:lpstr>
      <vt:lpstr>Dropout_ML</vt:lpstr>
      <vt:lpstr>DrugSupply</vt:lpstr>
      <vt:lpstr>DrugSupply_Hi</vt:lpstr>
      <vt:lpstr>DrugSupply_Lo</vt:lpstr>
      <vt:lpstr>DrugSupply_Mean</vt:lpstr>
      <vt:lpstr>DrugSupply_ML</vt:lpstr>
      <vt:lpstr>DurationBase</vt:lpstr>
      <vt:lpstr>Enrol</vt:lpstr>
      <vt:lpstr>Enrol_Hi</vt:lpstr>
      <vt:lpstr>Enrol_Lo</vt:lpstr>
      <vt:lpstr>Enrol_Mean</vt:lpstr>
      <vt:lpstr>Enrol_ML</vt:lpstr>
      <vt:lpstr>Enrolled</vt:lpstr>
      <vt:lpstr>EnrolledBase</vt:lpstr>
      <vt:lpstr>Evaluable</vt:lpstr>
      <vt:lpstr>ExpDelay</vt:lpstr>
      <vt:lpstr>FirstSite</vt:lpstr>
      <vt:lpstr>FirstSiteBase</vt:lpstr>
      <vt:lpstr>InputMeans</vt:lpstr>
      <vt:lpstr>LastIn</vt:lpstr>
      <vt:lpstr>LastInBase</vt:lpstr>
      <vt:lpstr>LastOut</vt:lpstr>
      <vt:lpstr>LastOutBase</vt:lpstr>
      <vt:lpstr>P_Amend</vt:lpstr>
      <vt:lpstr>P_Hold</vt:lpstr>
      <vt:lpstr>P_Slow</vt:lpstr>
      <vt:lpstr>Results!Print_Area</vt:lpstr>
      <vt:lpstr>Inputs!Print_Titles</vt:lpstr>
      <vt:lpstr>Results!Print_Titles</vt:lpstr>
      <vt:lpstr>RiskDelay</vt:lpstr>
      <vt:lpstr>RunMonths</vt:lpstr>
      <vt:lpstr>RunMonthsBase</vt:lpstr>
      <vt:lpstr>Running</vt:lpstr>
      <vt:lpstr>Running_Hi</vt:lpstr>
      <vt:lpstr>Running_Lo</vt:lpstr>
      <vt:lpstr>Running_Mean</vt:lpstr>
      <vt:lpstr>Running_ML</vt:lpstr>
      <vt:lpstr>Screened</vt:lpstr>
      <vt:lpstr>ScreenedBase</vt:lpstr>
      <vt:lpstr>ScreenFail</vt:lpstr>
      <vt:lpstr>ScreenFail_Hi</vt:lpstr>
      <vt:lpstr>ScreenFail_Lo</vt:lpstr>
      <vt:lpstr>ScreenFail_Mean</vt:lpstr>
      <vt:lpstr>ScreenFail_ML</vt:lpstr>
      <vt:lpstr>SetUp</vt:lpstr>
      <vt:lpstr>SetUp_Hi</vt:lpstr>
      <vt:lpstr>SetUp_Lo</vt:lpstr>
      <vt:lpstr>SetUp_Mean</vt:lpstr>
      <vt:lpstr>SetUp_ML</vt:lpstr>
      <vt:lpstr>StartDate</vt:lpstr>
      <vt:lpstr>StartUp</vt:lpstr>
      <vt:lpstr>StartUp_Hi</vt:lpstr>
      <vt:lpstr>StartUp_Lo</vt:lpstr>
      <vt:lpstr>StartUp_Mean</vt:lpstr>
      <vt:lpstr>StartUp_ML</vt:lpstr>
      <vt:lpstr>TopLine</vt:lpstr>
      <vt:lpstr>TopLineBase</vt:lpstr>
      <vt:lpstr>TopLineDate</vt:lpstr>
      <vt:lpstr>TotalCost</vt:lpstr>
      <vt:lpstr>Treat</vt:lpstr>
      <vt:lpstr>TrialDur</vt:lpstr>
      <vt:lpstr>TrialMonths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PH-01 Стоимость и срок клинического исследования</dc:title>
  <dc:subject>Библиотека отраслевых примеров МоделРиск — Фармацевтика и биотехнологии</dc:subject>
  <dc:creator>ООО «Стратегия Риска»</dc:creator>
  <cp:keywords>МоделРиск; Монте-Карло; фармацевтика и биотехнологии</cp:keywords>
  <dc:description>Стоимость и график исследования II фазы по трехточечным оценкам и рисковым событиям: бюджет P80, резерв и дата основных результатов.</dc:description>
  <cp:lastModifiedBy>ООО «Стратегия Риска»</cp:lastModifiedBy>
  <cp:lastPrinted>2026-10-05T17:46:55Z</cp:lastPrinted>
  <dcterms:created xsi:type="dcterms:W3CDTF">2026-10-05T17:41:55Z</dcterms:created>
  <dcterms:modified xsi:type="dcterms:W3CDTF">2026-10-05T17:46:58Z</dcterms:modified>
</cp:coreProperties>
</file>