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8_{6FDC0BB7-5329-4CDE-9EBD-F5523A80F26F}" xr6:coauthVersionLast="47" xr6:coauthVersionMax="47" xr10:uidLastSave="{00000000-0000-0000-0000-000000000000}"/>
  <bookViews>
    <workbookView xWindow="-98" yWindow="-98" windowWidth="21795" windowHeight="12975" xr2:uid="{00000000-000D-0000-FFFF-FFFF00000000}"/>
  </bookViews>
  <sheets>
    <sheet name="Описание" sheetId="1" r:id="rId1"/>
    <sheet name="Исходные данные" sheetId="2" r:id="rId2"/>
    <sheet name="Закупки" sheetId="3" r:id="rId3"/>
    <sheet name="Результаты" sheetId="4" r:id="rId4"/>
    <sheet name="ModelRiskDSN" sheetId="5" state="hidden" r:id="rId5"/>
    <sheet name="ModelRiskSYS1" sheetId="6" state="hidden" r:id="rId6"/>
    <sheet name="ModelRiskCharts" sheetId="7" state="hidden" r:id="rId7"/>
  </sheets>
  <definedNames>
    <definedName name="AvgSteel">'Закупки'!$D$49</definedName>
    <definedName name="Budget">'Закупки'!$D$47</definedName>
    <definedName name="CapPremium">'Исходные данные'!$D$38</definedName>
    <definedName name="CapPrice">'Исходные данные'!$D$37</definedName>
    <definedName name="Checks">'Закупки'!$D$53:$D$54</definedName>
    <definedName name="ConcAllow">'Исходные данные'!$D$45</definedName>
    <definedName name="ConcAllowEsc">'Исходные данные'!$D$44</definedName>
    <definedName name="ConcEsc">'Исходные данные'!$D$29</definedName>
    <definedName name="ConcFirst">'Исходные данные'!$D$15</definedName>
    <definedName name="ConcLast">'Исходные данные'!$D$16</definedName>
    <definedName name="ConcMu">'Закупки'!$D$15</definedName>
    <definedName name="ConcNow">'Исходные данные'!$D$28</definedName>
    <definedName name="ConcreteM3">'Исходные данные'!$D$14</definedName>
    <definedName name="ConcSigma">'Закупки'!$D$14</definedName>
    <definedName name="ConcVol">'Исходные данные'!$D$30</definedName>
    <definedName name="ForwardPrice">'Исходные данные'!$D$35</definedName>
    <definedName name="HalfShare">'Исходные данные'!$D$36</definedName>
    <definedName name="_xlnm.Print_Area" localSheetId="3">'Результаты'!$A$1:$R$49</definedName>
    <definedName name="_xlnm.Print_Titles" localSheetId="1">'Исходные данные'!$1:$4</definedName>
    <definedName name="_xlnm.Print_Titles" localSheetId="2">'Закупки'!$6:$7,'Закупки'!$A:$D</definedName>
    <definedName name="_xlnm.Print_Titles" localSheetId="3">'Результаты'!$1:$4</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teel_Cap">'Закупки'!$D$46</definedName>
    <definedName name="Steel_Fwd">'Закупки'!$D$44</definedName>
    <definedName name="Steel_Half">'Закупки'!$D$45</definedName>
    <definedName name="Steel_Spot">'Закупки'!$D$43</definedName>
    <definedName name="SteelAllow">'Исходные данные'!$D$43</definedName>
    <definedName name="SteelBudget">'Закупки'!$D$48</definedName>
    <definedName name="SteelEsc">'Исходные данные'!$D$22</definedName>
    <definedName name="SteelFirst">'Исходные данные'!$D$12</definedName>
    <definedName name="SteelLast">'Исходные данные'!$D$13</definedName>
    <definedName name="SteelMu">'Закупки'!$D$13</definedName>
    <definedName name="SteelNow">'Исходные данные'!$D$21</definedName>
    <definedName name="SteelSigma">'Закупки'!$D$12</definedName>
    <definedName name="SteelTonnes">'Исходные данные'!$D$11</definedName>
    <definedName name="SteelVol">'Исходные данные'!$D$23</definedName>
    <definedName name="Total_Cap">'Закупки'!$D$42</definedName>
    <definedName name="Total_Fwd">'Закупки'!$D$40</definedName>
    <definedName name="Total_Half">'Закупки'!$D$41</definedName>
    <definedName name="Total_Spot">'Закупки'!$D$39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7" i="4" l="1"/>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B24" i="4"/>
  <c r="B15" i="4"/>
  <c r="D53" i="3"/>
  <c r="D48" i="3"/>
  <c r="D28" i="4"/>
  <c r="F22" i="3"/>
  <c r="F21" i="3"/>
  <c r="F27" i="3" s="1"/>
  <c r="D14" i="3"/>
  <c r="D15" i="3"/>
  <c r="F20" i="3" s="1" a="1"/>
  <c r="S20" i="3" s="1"/>
  <c r="D12" i="3"/>
  <c r="D13" i="3" s="1"/>
  <c r="F19" i="3" s="1" a="1"/>
  <c r="G6" i="3"/>
  <c r="G22" i="3" s="1"/>
  <c r="D45" i="2"/>
  <c r="D47" i="3"/>
  <c r="D27" i="4" s="1"/>
  <c r="B108" i="4"/>
  <c r="G21" i="3"/>
  <c r="G27" i="3" s="1"/>
  <c r="H6" i="3"/>
  <c r="B109" i="4" s="1"/>
  <c r="H21" i="3"/>
  <c r="P20" i="3" l="1"/>
  <c r="N20" i="3"/>
  <c r="O20" i="3"/>
  <c r="J20" i="3"/>
  <c r="R20" i="3"/>
  <c r="V20" i="3"/>
  <c r="M20" i="3"/>
  <c r="U19" i="3"/>
  <c r="U34" i="3" s="1" a="1"/>
  <c r="U34" i="3" s="1"/>
  <c r="I19" i="3"/>
  <c r="I34" i="3" s="1" a="1"/>
  <c r="I34" i="3" s="1"/>
  <c r="T19" i="3"/>
  <c r="T34" i="3" s="1" a="1"/>
  <c r="T34" i="3" s="1"/>
  <c r="Q19" i="3"/>
  <c r="Q34" i="3" s="1" a="1"/>
  <c r="Q34" i="3" s="1"/>
  <c r="L19" i="3"/>
  <c r="L34" i="3" s="1" a="1"/>
  <c r="L34" i="3" s="1"/>
  <c r="R19" i="3"/>
  <c r="R34" i="3" s="1" a="1"/>
  <c r="R34" i="3" s="1"/>
  <c r="N19" i="3"/>
  <c r="N34" i="3" s="1" a="1"/>
  <c r="N34" i="3" s="1"/>
  <c r="W19" i="3"/>
  <c r="W34" i="3" s="1" a="1"/>
  <c r="W34" i="3" s="1"/>
  <c r="O19" i="3"/>
  <c r="O34" i="3" s="1" a="1"/>
  <c r="O34" i="3" s="1"/>
  <c r="M19" i="3"/>
  <c r="M34" i="3" s="1" a="1"/>
  <c r="M34" i="3" s="1"/>
  <c r="H19" i="3"/>
  <c r="H34" i="3" s="1" a="1"/>
  <c r="H34" i="3" s="1"/>
  <c r="H27" i="3"/>
  <c r="H22" i="3"/>
  <c r="I6" i="3"/>
  <c r="B110" i="4" s="1"/>
  <c r="S19" i="3"/>
  <c r="S34" i="3" s="1" a="1"/>
  <c r="S34" i="3" s="1"/>
  <c r="F19" i="3"/>
  <c r="P19" i="3"/>
  <c r="P34" i="3" s="1" a="1"/>
  <c r="P34" i="3" s="1"/>
  <c r="G19" i="3"/>
  <c r="J19" i="3"/>
  <c r="J34" i="3" s="1" a="1"/>
  <c r="J34" i="3" s="1"/>
  <c r="K19" i="3"/>
  <c r="K34" i="3" s="1" a="1"/>
  <c r="K34" i="3" s="1"/>
  <c r="V19" i="3"/>
  <c r="V34" i="3" s="1" a="1"/>
  <c r="V34" i="3" s="1"/>
  <c r="U20" i="3"/>
  <c r="T20" i="3"/>
  <c r="H20" i="3"/>
  <c r="I20" i="3"/>
  <c r="G20" i="3"/>
  <c r="G30" i="3" s="1"/>
  <c r="Q20" i="3"/>
  <c r="L20" i="3"/>
  <c r="K20" i="3"/>
  <c r="W20" i="3"/>
  <c r="F20" i="3"/>
  <c r="F30" i="3" s="1"/>
  <c r="E113" i="4" a="1"/>
  <c r="D113" i="4" a="1"/>
  <c r="C113" i="4" a="1"/>
  <c r="F113" i="4" a="1"/>
  <c r="F111" i="4" a="1"/>
  <c r="D111" i="4" a="1"/>
  <c r="C111" i="4" a="1"/>
  <c r="E111" i="4" a="1"/>
  <c r="D112" i="4" a="1"/>
  <c r="C112" i="4" a="1"/>
  <c r="E112" i="4" a="1"/>
  <c r="F112" i="4" a="1"/>
  <c r="F119" i="4" a="1"/>
  <c r="E119" i="4" a="1"/>
  <c r="D119" i="4" a="1"/>
  <c r="C119" i="4" a="1"/>
  <c r="C117" i="4" a="1"/>
  <c r="E117" i="4" a="1"/>
  <c r="D117" i="4" a="1"/>
  <c r="F117" i="4" a="1"/>
  <c r="F115" i="4" a="1"/>
  <c r="D115" i="4" a="1"/>
  <c r="C115" i="4" a="1"/>
  <c r="E115" i="4" a="1"/>
  <c r="C123" i="4" a="1"/>
  <c r="E123" i="4" a="1"/>
  <c r="D123" i="4" a="1"/>
  <c r="F123" i="4" a="1"/>
  <c r="F120" i="4" a="1"/>
  <c r="E120" i="4" a="1"/>
  <c r="D120" i="4" a="1"/>
  <c r="C120" i="4" a="1"/>
  <c r="E114" i="4" a="1"/>
  <c r="D114" i="4" a="1"/>
  <c r="C114" i="4" a="1"/>
  <c r="F114" i="4" a="1"/>
  <c r="C124" i="4" a="1"/>
  <c r="E124" i="4" a="1"/>
  <c r="D124" i="4" a="1"/>
  <c r="F124" i="4" a="1"/>
  <c r="E109" i="4" a="1"/>
  <c r="D109" i="4" a="1"/>
  <c r="C109" i="4" a="1"/>
  <c r="F109" i="4" a="1"/>
  <c r="D122" i="4" a="1"/>
  <c r="E122" i="4" a="1"/>
  <c r="C122" i="4" a="1"/>
  <c r="F122" i="4" a="1"/>
  <c r="F116" i="4" a="1"/>
  <c r="D116" i="4" a="1"/>
  <c r="C116" i="4" a="1"/>
  <c r="E116" i="4" a="1"/>
  <c r="E110" i="4" a="1"/>
  <c r="D110" i="4" a="1"/>
  <c r="C110" i="4" a="1"/>
  <c r="F110" i="4" a="1"/>
  <c r="F121" i="4" a="1"/>
  <c r="E121" i="4" a="1"/>
  <c r="D121" i="4" a="1"/>
  <c r="C121" i="4" a="1"/>
  <c r="F118" i="4" a="1"/>
  <c r="E118" i="4" a="1"/>
  <c r="D118" i="4" a="1"/>
  <c r="C118" i="4" a="1"/>
  <c r="H26" i="3" l="1"/>
  <c r="C118" i="4"/>
  <c r="D118" i="4"/>
  <c r="E118" i="4"/>
  <c r="F118" i="4"/>
  <c r="C121" i="4"/>
  <c r="D121" i="4"/>
  <c r="E121" i="4"/>
  <c r="F121" i="4"/>
  <c r="F110" i="4"/>
  <c r="C110" i="4"/>
  <c r="D110" i="4"/>
  <c r="E110" i="4"/>
  <c r="E116" i="4"/>
  <c r="C116" i="4"/>
  <c r="D116" i="4"/>
  <c r="F116" i="4"/>
  <c r="F122" i="4"/>
  <c r="C122" i="4"/>
  <c r="E122" i="4"/>
  <c r="D122" i="4"/>
  <c r="F109" i="4"/>
  <c r="C109" i="4"/>
  <c r="D109" i="4"/>
  <c r="E109" i="4"/>
  <c r="F124" i="4"/>
  <c r="D124" i="4"/>
  <c r="E124" i="4"/>
  <c r="C124" i="4"/>
  <c r="F114" i="4"/>
  <c r="C114" i="4"/>
  <c r="D114" i="4"/>
  <c r="E114" i="4"/>
  <c r="C120" i="4"/>
  <c r="D120" i="4"/>
  <c r="E120" i="4"/>
  <c r="F120" i="4"/>
  <c r="F123" i="4"/>
  <c r="D123" i="4"/>
  <c r="E123" i="4"/>
  <c r="C123" i="4"/>
  <c r="E115" i="4"/>
  <c r="C115" i="4"/>
  <c r="D115" i="4"/>
  <c r="F115" i="4"/>
  <c r="F117" i="4"/>
  <c r="D117" i="4"/>
  <c r="E117" i="4"/>
  <c r="C117" i="4"/>
  <c r="C119" i="4"/>
  <c r="D119" i="4"/>
  <c r="E119" i="4"/>
  <c r="F119" i="4"/>
  <c r="F112" i="4"/>
  <c r="E112" i="4"/>
  <c r="C112" i="4"/>
  <c r="D112" i="4"/>
  <c r="E111" i="4"/>
  <c r="C111" i="4"/>
  <c r="D111" i="4"/>
  <c r="F111" i="4"/>
  <c r="F113" i="4"/>
  <c r="C113" i="4"/>
  <c r="D113" i="4"/>
  <c r="E113" i="4"/>
  <c r="H29" i="3"/>
  <c r="I22" i="3"/>
  <c r="I30" i="3" s="1"/>
  <c r="I21" i="3"/>
  <c r="J6" i="3"/>
  <c r="B111" i="4" s="1"/>
  <c r="G34" i="3" a="1"/>
  <c r="G34" i="3" s="1"/>
  <c r="G29" i="3"/>
  <c r="G26" i="3"/>
  <c r="G28" i="3" s="1"/>
  <c r="H30" i="3"/>
  <c r="H28" i="3"/>
  <c r="F26" i="3"/>
  <c r="F29" i="3"/>
  <c r="F34" i="3" a="1"/>
  <c r="F34" i="3" s="1"/>
  <c r="F107" i="4" a="1"/>
  <c r="D107" i="4" a="1"/>
  <c r="C107" i="4" a="1"/>
  <c r="E107" i="4" a="1"/>
  <c r="F108" i="4" a="1"/>
  <c r="D108" i="4" a="1"/>
  <c r="C108" i="4" a="1"/>
  <c r="E108" i="4" a="1"/>
  <c r="E108" i="4" l="1"/>
  <c r="C108" i="4"/>
  <c r="D108" i="4"/>
  <c r="F108" i="4"/>
  <c r="E107" i="4"/>
  <c r="C107" i="4"/>
  <c r="D107" i="4"/>
  <c r="F107" i="4"/>
  <c r="F28" i="3"/>
  <c r="K6" i="3"/>
  <c r="B112" i="4" s="1"/>
  <c r="J21" i="3"/>
  <c r="J22" i="3"/>
  <c r="J30" i="3" s="1"/>
  <c r="I27" i="3"/>
  <c r="I29" i="3"/>
  <c r="I26" i="3"/>
  <c r="L6" i="3" l="1"/>
  <c r="B113" i="4" s="1"/>
  <c r="K22" i="3"/>
  <c r="K21" i="3"/>
  <c r="I28" i="3"/>
  <c r="J27" i="3"/>
  <c r="J29" i="3"/>
  <c r="J26" i="3"/>
  <c r="K27" i="3" l="1"/>
  <c r="K29" i="3"/>
  <c r="K26" i="3"/>
  <c r="M6" i="3"/>
  <c r="B114" i="4" s="1"/>
  <c r="L22" i="3"/>
  <c r="L30" i="3" s="1"/>
  <c r="L21" i="3"/>
  <c r="J28" i="3"/>
  <c r="K30" i="3"/>
  <c r="M22" i="3" l="1"/>
  <c r="N6" i="3"/>
  <c r="B115" i="4" s="1"/>
  <c r="M21" i="3"/>
  <c r="L26" i="3"/>
  <c r="L27" i="3"/>
  <c r="L29" i="3"/>
  <c r="K28" i="3"/>
  <c r="M29" i="3" l="1"/>
  <c r="M27" i="3"/>
  <c r="M26" i="3"/>
  <c r="N21" i="3"/>
  <c r="O6" i="3"/>
  <c r="B116" i="4" s="1"/>
  <c r="N22" i="3"/>
  <c r="N30" i="3" s="1"/>
  <c r="M30" i="3"/>
  <c r="L28" i="3"/>
  <c r="M28" i="3" l="1"/>
  <c r="P6" i="3"/>
  <c r="B117" i="4" s="1"/>
  <c r="O22" i="3"/>
  <c r="O21" i="3"/>
  <c r="N26" i="3"/>
  <c r="N27" i="3"/>
  <c r="N29" i="3"/>
  <c r="O27" i="3" l="1"/>
  <c r="O29" i="3"/>
  <c r="O26" i="3"/>
  <c r="O30" i="3"/>
  <c r="Q6" i="3"/>
  <c r="B118" i="4" s="1"/>
  <c r="P22" i="3"/>
  <c r="P30" i="3" s="1"/>
  <c r="P21" i="3"/>
  <c r="N28" i="3"/>
  <c r="O28" i="3" l="1"/>
  <c r="P26" i="3"/>
  <c r="P29" i="3"/>
  <c r="P27" i="3"/>
  <c r="Q22" i="3"/>
  <c r="Q30" i="3" s="1"/>
  <c r="R6" i="3"/>
  <c r="B119" i="4" s="1"/>
  <c r="Q21" i="3"/>
  <c r="P28" i="3" l="1"/>
  <c r="Q27" i="3"/>
  <c r="Q29" i="3"/>
  <c r="Q26" i="3"/>
  <c r="R21" i="3"/>
  <c r="S6" i="3"/>
  <c r="B120" i="4" s="1"/>
  <c r="R22" i="3"/>
  <c r="R30" i="3" s="1"/>
  <c r="R26" i="3" l="1"/>
  <c r="R29" i="3"/>
  <c r="R27" i="3"/>
  <c r="Q28" i="3"/>
  <c r="S21" i="3"/>
  <c r="T6" i="3"/>
  <c r="B121" i="4" s="1"/>
  <c r="S22" i="3"/>
  <c r="S30" i="3" s="1"/>
  <c r="R28" i="3" l="1"/>
  <c r="S27" i="3"/>
  <c r="S29" i="3"/>
  <c r="S26" i="3"/>
  <c r="T22" i="3"/>
  <c r="T30" i="3" s="1"/>
  <c r="T21" i="3"/>
  <c r="U6" i="3"/>
  <c r="B122" i="4" s="1"/>
  <c r="S28" i="3" l="1"/>
  <c r="U21" i="3"/>
  <c r="V6" i="3"/>
  <c r="B123" i="4" s="1"/>
  <c r="U22" i="3"/>
  <c r="U30" i="3" s="1"/>
  <c r="T26" i="3"/>
  <c r="T27" i="3"/>
  <c r="T29" i="3"/>
  <c r="V21" i="3" l="1"/>
  <c r="W6" i="3"/>
  <c r="B124" i="4" s="1"/>
  <c r="V22" i="3"/>
  <c r="V30" i="3" s="1"/>
  <c r="U29" i="3"/>
  <c r="U27" i="3"/>
  <c r="U26" i="3"/>
  <c r="T28" i="3"/>
  <c r="U28" i="3" l="1"/>
  <c r="W21" i="3"/>
  <c r="W22" i="3"/>
  <c r="V26" i="3"/>
  <c r="V27" i="3"/>
  <c r="V29" i="3"/>
  <c r="V28" i="3" l="1"/>
  <c r="W30" i="3"/>
  <c r="D30" i="3" s="1"/>
  <c r="D22" i="3"/>
  <c r="W27" i="3"/>
  <c r="W29" i="3"/>
  <c r="D29" i="3" s="1"/>
  <c r="W26" i="3"/>
  <c r="D26" i="3" s="1"/>
  <c r="D21" i="3"/>
  <c r="D46" i="3" l="1" a="1"/>
  <c r="D46" i="3" s="1"/>
  <c r="D42" i="3" a="1"/>
  <c r="D42" i="3" s="1"/>
  <c r="W28" i="3"/>
  <c r="D28" i="3" s="1"/>
  <c r="D27" i="3"/>
  <c r="D49" i="3" a="1"/>
  <c r="D49" i="3" s="1"/>
  <c r="D54" i="3"/>
  <c r="B7" i="4" s="1"/>
  <c r="D39" i="3" a="1"/>
  <c r="D39" i="3" s="1"/>
  <c r="D43" i="3" a="1"/>
  <c r="D43" i="3" s="1"/>
  <c r="G33" i="4" a="1"/>
  <c r="E33" i="4" a="1"/>
  <c r="F33" i="4" a="1"/>
  <c r="D33" i="4" a="1"/>
  <c r="D22" i="4" a="1"/>
  <c r="G82" i="4" a="1"/>
  <c r="G78" i="4" a="1"/>
  <c r="G103" i="4" a="1"/>
  <c r="G74" i="4" a="1"/>
  <c r="G102" i="4" a="1"/>
  <c r="G70" i="4" a="1"/>
  <c r="G98" i="4" a="1"/>
  <c r="G66" i="4" a="1"/>
  <c r="G94" i="4" a="1"/>
  <c r="G58" i="4" a="1"/>
  <c r="G90" i="4" a="1"/>
  <c r="G86" i="4" a="1"/>
  <c r="G100" i="4" a="1"/>
  <c r="G92" i="4" a="1"/>
  <c r="G84" i="4" a="1"/>
  <c r="G76" i="4" a="1"/>
  <c r="G68" i="4" a="1"/>
  <c r="G60" i="4" a="1"/>
  <c r="D16" i="4" a="1"/>
  <c r="G99" i="4" a="1"/>
  <c r="G91" i="4" a="1"/>
  <c r="G83" i="4" a="1"/>
  <c r="G75" i="4" a="1"/>
  <c r="G67" i="4" a="1"/>
  <c r="G59" i="4" a="1"/>
  <c r="C25" i="4" a="1"/>
  <c r="G97" i="4" a="1"/>
  <c r="G89" i="4" a="1"/>
  <c r="G81" i="4" a="1"/>
  <c r="G73" i="4" a="1"/>
  <c r="G65" i="4" a="1"/>
  <c r="G57" i="4" a="1"/>
  <c r="G104" i="4" a="1"/>
  <c r="G96" i="4" a="1"/>
  <c r="G88" i="4" a="1"/>
  <c r="G80" i="4" a="1"/>
  <c r="G72" i="4" a="1"/>
  <c r="G64" i="4" a="1"/>
  <c r="G56" i="4" a="1"/>
  <c r="G95" i="4" a="1"/>
  <c r="G87" i="4" a="1"/>
  <c r="G79" i="4" a="1"/>
  <c r="G71" i="4" a="1"/>
  <c r="G63" i="4" a="1"/>
  <c r="G55" i="4" a="1"/>
  <c r="G62" i="4" a="1"/>
  <c r="E16" i="4" a="1"/>
  <c r="G101" i="4" a="1"/>
  <c r="G93" i="4" a="1"/>
  <c r="G85" i="4" a="1"/>
  <c r="G77" i="4" a="1"/>
  <c r="G69" i="4" a="1"/>
  <c r="G61" i="4" a="1"/>
  <c r="C16" i="4" a="1"/>
  <c r="D89" i="4" a="1"/>
  <c r="D55" i="4" a="1"/>
  <c r="D93" i="4" a="1"/>
  <c r="D87" i="4" a="1"/>
  <c r="D57" i="4" a="1"/>
  <c r="D59" i="4" a="1"/>
  <c r="D88" i="4" a="1"/>
  <c r="D83" i="4" a="1"/>
  <c r="D80" i="4" a="1"/>
  <c r="D13" i="4" a="1"/>
  <c r="D91" i="4" a="1"/>
  <c r="D56" i="4" a="1"/>
  <c r="D101" i="4" a="1"/>
  <c r="D69" i="4" a="1"/>
  <c r="D60" i="4" a="1"/>
  <c r="D100" i="4" a="1"/>
  <c r="D61" i="4" a="1"/>
  <c r="E13" i="4" a="1"/>
  <c r="D97" i="4" a="1"/>
  <c r="D74" i="4" a="1"/>
  <c r="D81" i="4" a="1"/>
  <c r="D58" i="4" a="1"/>
  <c r="D78" i="4" a="1"/>
  <c r="D104" i="4" a="1"/>
  <c r="D70" i="4" a="1"/>
  <c r="D95" i="4" a="1"/>
  <c r="D76" i="4" a="1"/>
  <c r="D75" i="4" a="1"/>
  <c r="D86" i="4" a="1"/>
  <c r="D96" i="4" a="1"/>
  <c r="D98" i="4" a="1"/>
  <c r="D66" i="4" a="1"/>
  <c r="D64" i="4" a="1"/>
  <c r="C22" i="4" a="1"/>
  <c r="D67" i="4" a="1"/>
  <c r="D103" i="4" a="1"/>
  <c r="D94" i="4" a="1"/>
  <c r="D84" i="4" a="1"/>
  <c r="D79" i="4" a="1"/>
  <c r="D71" i="4" a="1"/>
  <c r="D73" i="4" a="1"/>
  <c r="B6" i="4" a="1"/>
  <c r="D102" i="4" a="1"/>
  <c r="D92" i="4" a="1"/>
  <c r="D77" i="4" a="1"/>
  <c r="D63" i="4" a="1"/>
  <c r="D68" i="4" a="1"/>
  <c r="D65" i="4" a="1"/>
  <c r="D90" i="4" a="1"/>
  <c r="D99" i="4" a="1"/>
  <c r="D85" i="4" a="1"/>
  <c r="D82" i="4" a="1"/>
  <c r="C13" i="4" a="1"/>
  <c r="D72" i="4" a="1"/>
  <c r="D62" i="4" a="1"/>
  <c r="D25" i="4" a="1"/>
  <c r="D25" i="4" l="1"/>
  <c r="D62" i="4"/>
  <c r="D72" i="4"/>
  <c r="C13" i="4"/>
  <c r="F13" i="4" s="1"/>
  <c r="D82" i="4"/>
  <c r="D85" i="4"/>
  <c r="D99" i="4"/>
  <c r="D90" i="4"/>
  <c r="D65" i="4"/>
  <c r="D68" i="4"/>
  <c r="D63" i="4"/>
  <c r="D77" i="4"/>
  <c r="D92" i="4"/>
  <c r="D102" i="4"/>
  <c r="B6" i="4"/>
  <c r="D73" i="4"/>
  <c r="D71" i="4"/>
  <c r="D79" i="4"/>
  <c r="D84" i="4"/>
  <c r="D94" i="4"/>
  <c r="D103" i="4"/>
  <c r="D67" i="4"/>
  <c r="C22" i="4"/>
  <c r="D64" i="4"/>
  <c r="D66" i="4"/>
  <c r="D98" i="4"/>
  <c r="D96" i="4"/>
  <c r="D86" i="4"/>
  <c r="D75" i="4"/>
  <c r="D76" i="4"/>
  <c r="D95" i="4"/>
  <c r="D70" i="4"/>
  <c r="D104" i="4"/>
  <c r="D78" i="4"/>
  <c r="D58" i="4"/>
  <c r="D81" i="4"/>
  <c r="D74" i="4"/>
  <c r="D97" i="4"/>
  <c r="E13" i="4"/>
  <c r="D61" i="4"/>
  <c r="D100" i="4"/>
  <c r="D60" i="4"/>
  <c r="D69" i="4"/>
  <c r="D101" i="4"/>
  <c r="D56" i="4"/>
  <c r="D91" i="4"/>
  <c r="D13" i="4"/>
  <c r="D80" i="4"/>
  <c r="D83" i="4"/>
  <c r="D88" i="4"/>
  <c r="D59" i="4"/>
  <c r="D57" i="4"/>
  <c r="D87" i="4"/>
  <c r="D93" i="4"/>
  <c r="D55" i="4"/>
  <c r="D89" i="4"/>
  <c r="C16" i="4"/>
  <c r="G61" i="4"/>
  <c r="G69" i="4"/>
  <c r="G77" i="4"/>
  <c r="G85" i="4"/>
  <c r="G93" i="4"/>
  <c r="G101" i="4"/>
  <c r="E16" i="4"/>
  <c r="G62" i="4"/>
  <c r="G55" i="4"/>
  <c r="G63" i="4"/>
  <c r="G71" i="4"/>
  <c r="G79" i="4"/>
  <c r="G87" i="4"/>
  <c r="G95" i="4"/>
  <c r="G56" i="4"/>
  <c r="G64" i="4"/>
  <c r="G72" i="4"/>
  <c r="G80" i="4"/>
  <c r="G88" i="4"/>
  <c r="G96" i="4"/>
  <c r="G104" i="4"/>
  <c r="G57" i="4"/>
  <c r="G65" i="4"/>
  <c r="G73" i="4"/>
  <c r="G81" i="4"/>
  <c r="G89" i="4"/>
  <c r="G97" i="4"/>
  <c r="C25" i="4"/>
  <c r="G59" i="4"/>
  <c r="G67" i="4"/>
  <c r="G75" i="4"/>
  <c r="G83" i="4"/>
  <c r="G91" i="4"/>
  <c r="G99" i="4"/>
  <c r="D16" i="4"/>
  <c r="G60" i="4"/>
  <c r="G68" i="4"/>
  <c r="G76" i="4"/>
  <c r="G84" i="4"/>
  <c r="G92" i="4"/>
  <c r="G100" i="4"/>
  <c r="G86" i="4"/>
  <c r="G90" i="4"/>
  <c r="G58" i="4"/>
  <c r="G94" i="4"/>
  <c r="G66" i="4"/>
  <c r="G98" i="4"/>
  <c r="G70" i="4"/>
  <c r="G102" i="4"/>
  <c r="G74" i="4"/>
  <c r="G103" i="4"/>
  <c r="G78" i="4"/>
  <c r="G82" i="4"/>
  <c r="D22" i="4"/>
  <c r="D33" i="4"/>
  <c r="F33" i="4"/>
  <c r="E33" i="4"/>
  <c r="G33" i="4"/>
  <c r="D40" i="3" a="1"/>
  <c r="D40" i="3" s="1"/>
  <c r="D44" i="3" a="1"/>
  <c r="D44" i="3" s="1"/>
  <c r="D41" i="3" a="1"/>
  <c r="D41" i="3" s="1"/>
  <c r="D45" i="3" a="1"/>
  <c r="D45" i="3" s="1"/>
  <c r="D23" i="4" a="1"/>
  <c r="E81" i="4" a="1"/>
  <c r="E60" i="4" a="1"/>
  <c r="E82" i="4" a="1"/>
  <c r="E97" i="4" a="1"/>
  <c r="E62" i="4" a="1"/>
  <c r="E72" i="4" a="1"/>
  <c r="E84" i="4" a="1"/>
  <c r="E98" i="4" a="1"/>
  <c r="C23" i="4" a="1"/>
  <c r="E63" i="4" a="1"/>
  <c r="E73" i="4" a="1"/>
  <c r="E86" i="4" a="1"/>
  <c r="E100" i="4" a="1"/>
  <c r="E88" i="4" a="1"/>
  <c r="E102" i="4" a="1"/>
  <c r="E14" i="4" a="1"/>
  <c r="E64" i="4" a="1"/>
  <c r="E74" i="4" a="1"/>
  <c r="E65" i="4" a="1"/>
  <c r="E76" i="4" a="1"/>
  <c r="E89" i="4" a="1"/>
  <c r="C14" i="4" a="1"/>
  <c r="E55" i="4" a="1"/>
  <c r="E56" i="4" a="1"/>
  <c r="E66" i="4" a="1"/>
  <c r="E78" i="4" a="1"/>
  <c r="E90" i="4" a="1"/>
  <c r="E57" i="4" a="1"/>
  <c r="E68" i="4" a="1"/>
  <c r="E80" i="4" a="1"/>
  <c r="E92" i="4" a="1"/>
  <c r="E58" i="4" a="1"/>
  <c r="E70" i="4" a="1"/>
  <c r="E94" i="4" a="1"/>
  <c r="E71" i="4" a="1"/>
  <c r="D14" i="4" a="1"/>
  <c r="E61" i="4" a="1"/>
  <c r="E69" i="4" a="1"/>
  <c r="E77" i="4" a="1"/>
  <c r="E85" i="4" a="1"/>
  <c r="E93" i="4" a="1"/>
  <c r="E101" i="4" a="1"/>
  <c r="E79" i="4" a="1"/>
  <c r="E87" i="4" a="1"/>
  <c r="E95" i="4" a="1"/>
  <c r="E103" i="4" a="1"/>
  <c r="E96" i="4" a="1"/>
  <c r="E104" i="4" a="1"/>
  <c r="E59" i="4" a="1"/>
  <c r="E67" i="4" a="1"/>
  <c r="E75" i="4" a="1"/>
  <c r="E83" i="4" a="1"/>
  <c r="E91" i="4" a="1"/>
  <c r="E99" i="4" a="1"/>
  <c r="D15" i="4" a="1"/>
  <c r="F88" i="4" a="1"/>
  <c r="F104" i="4" a="1"/>
  <c r="F86" i="4" a="1"/>
  <c r="F76" i="4" a="1"/>
  <c r="F59" i="4" a="1"/>
  <c r="F64" i="4" a="1"/>
  <c r="F82" i="4" a="1"/>
  <c r="F89" i="4" a="1"/>
  <c r="F68" i="4" a="1"/>
  <c r="F96" i="4" a="1"/>
  <c r="F103" i="4" a="1"/>
  <c r="F56" i="4" a="1"/>
  <c r="F66" i="4" a="1"/>
  <c r="F57" i="4" a="1"/>
  <c r="F60" i="4" a="1"/>
  <c r="F92" i="4" a="1"/>
  <c r="F99" i="4" a="1"/>
  <c r="F62" i="4" a="1"/>
  <c r="F95" i="4" a="1"/>
  <c r="C24" i="4" a="1"/>
  <c r="F69" i="4" a="1"/>
  <c r="F102" i="4" a="1"/>
  <c r="F77" i="4" a="1"/>
  <c r="F84" i="4" a="1"/>
  <c r="F91" i="4" a="1"/>
  <c r="F98" i="4" a="1"/>
  <c r="C15" i="4" a="1"/>
  <c r="F71" i="4" a="1"/>
  <c r="F61" i="4" a="1"/>
  <c r="F78" i="4" a="1"/>
  <c r="F83" i="4" a="1"/>
  <c r="F65" i="4" a="1"/>
  <c r="F97" i="4" a="1"/>
  <c r="F75" i="4" a="1"/>
  <c r="F80" i="4" a="1"/>
  <c r="F93" i="4" a="1"/>
  <c r="F72" i="4" a="1"/>
  <c r="F58" i="4" a="1"/>
  <c r="F94" i="4" a="1"/>
  <c r="F81" i="4" a="1"/>
  <c r="F90" i="4" a="1"/>
  <c r="F67" i="4" a="1"/>
  <c r="F55" i="4" a="1"/>
  <c r="F100" i="4" a="1"/>
  <c r="F79" i="4" a="1"/>
  <c r="F63" i="4" a="1"/>
  <c r="F74" i="4" a="1"/>
  <c r="F101" i="4" a="1"/>
  <c r="F85" i="4" a="1"/>
  <c r="F73" i="4" a="1"/>
  <c r="F70" i="4" a="1"/>
  <c r="F87" i="4" a="1"/>
  <c r="E15" i="4" a="1"/>
  <c r="D24" i="4" a="1"/>
  <c r="D23" i="4" l="1"/>
  <c r="D24" i="4"/>
  <c r="E15" i="4"/>
  <c r="F87" i="4"/>
  <c r="F70" i="4"/>
  <c r="F73" i="4"/>
  <c r="F85" i="4"/>
  <c r="F101" i="4"/>
  <c r="F74" i="4"/>
  <c r="F63" i="4"/>
  <c r="F79" i="4"/>
  <c r="F100" i="4"/>
  <c r="F55" i="4"/>
  <c r="F67" i="4"/>
  <c r="F90" i="4"/>
  <c r="F81" i="4"/>
  <c r="F94" i="4"/>
  <c r="F58" i="4"/>
  <c r="F72" i="4"/>
  <c r="F93" i="4"/>
  <c r="F80" i="4"/>
  <c r="F75" i="4"/>
  <c r="F97" i="4"/>
  <c r="F65" i="4"/>
  <c r="F83" i="4"/>
  <c r="F78" i="4"/>
  <c r="F61" i="4"/>
  <c r="F71" i="4"/>
  <c r="C15" i="4"/>
  <c r="F15" i="4" s="1"/>
  <c r="F98" i="4"/>
  <c r="F91" i="4"/>
  <c r="F84" i="4"/>
  <c r="F77" i="4"/>
  <c r="F102" i="4"/>
  <c r="F69" i="4"/>
  <c r="C24" i="4"/>
  <c r="F95" i="4"/>
  <c r="F62" i="4"/>
  <c r="F99" i="4"/>
  <c r="F92" i="4"/>
  <c r="F60" i="4"/>
  <c r="F57" i="4"/>
  <c r="F66" i="4"/>
  <c r="F56" i="4"/>
  <c r="F103" i="4"/>
  <c r="F96" i="4"/>
  <c r="F68" i="4"/>
  <c r="F89" i="4"/>
  <c r="F82" i="4"/>
  <c r="F64" i="4"/>
  <c r="F59" i="4"/>
  <c r="F76" i="4"/>
  <c r="F86" i="4"/>
  <c r="F104" i="4"/>
  <c r="F88" i="4"/>
  <c r="D15" i="4"/>
  <c r="E99" i="4"/>
  <c r="E91" i="4"/>
  <c r="E83" i="4"/>
  <c r="E75" i="4"/>
  <c r="E67" i="4"/>
  <c r="E59" i="4"/>
  <c r="E104" i="4"/>
  <c r="E96" i="4"/>
  <c r="E103" i="4"/>
  <c r="E95" i="4"/>
  <c r="E87" i="4"/>
  <c r="E79" i="4"/>
  <c r="E101" i="4"/>
  <c r="E93" i="4"/>
  <c r="E85" i="4"/>
  <c r="E77" i="4"/>
  <c r="E69" i="4"/>
  <c r="E61" i="4"/>
  <c r="D14" i="4"/>
  <c r="E71" i="4"/>
  <c r="E94" i="4"/>
  <c r="E70" i="4"/>
  <c r="E58" i="4"/>
  <c r="E92" i="4"/>
  <c r="E80" i="4"/>
  <c r="E68" i="4"/>
  <c r="E57" i="4"/>
  <c r="E90" i="4"/>
  <c r="E78" i="4"/>
  <c r="E66" i="4"/>
  <c r="E56" i="4"/>
  <c r="E55" i="4"/>
  <c r="C14" i="4"/>
  <c r="F14" i="4" s="1"/>
  <c r="E89" i="4"/>
  <c r="E76" i="4"/>
  <c r="E65" i="4"/>
  <c r="E74" i="4"/>
  <c r="E64" i="4"/>
  <c r="E14" i="4"/>
  <c r="E102" i="4"/>
  <c r="E88" i="4"/>
  <c r="E100" i="4"/>
  <c r="E86" i="4"/>
  <c r="E73" i="4"/>
  <c r="E63" i="4"/>
  <c r="C23" i="4"/>
  <c r="E98" i="4"/>
  <c r="E84" i="4"/>
  <c r="E72" i="4"/>
  <c r="E62" i="4"/>
  <c r="E97" i="4"/>
  <c r="E82" i="4"/>
  <c r="E60" i="4"/>
  <c r="E81" i="4"/>
  <c r="F16"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<sst xmlns="http://schemas.openxmlformats.org/spreadsheetml/2006/main" count="345" uniqueCount="243">
  <si>
    <t xml:space="preserve">Рост цен на материалы и стратегия закупок</t>
  </si>
  <si>
    <t xml:space="preserve">Пример МоделРиск  ·  Проекты и строительство  ·  PC-07</t>
  </si>
  <si>
    <t xml:space="preserve">Купить сталь сейчас, по мере надобности или с ограничением цены?  Рост цен на материалы по контракту с твердой ценой.</t>
  </si>
  <si>
    <t xml:space="preserve">Далее:  Исходные данные  ▸</t>
  </si>
  <si>
    <t xml:space="preserve">Карточка модели</t>
  </si>
  <si>
    <t xml:space="preserve">Отрасль</t>
  </si>
  <si>
    <t xml:space="preserve">Проекты и строительство</t>
  </si>
  <si>
    <t xml:space="preserve">Сложность</t>
  </si>
  <si>
    <t xml:space="preserve">★★★☆☆   Помесячные траектории цен стали и бетона на 18 месяцев и четыре способа покупки стали на одних и тех же траекториях.</t>
  </si>
  <si>
    <t xml:space="preserve">Вопрос бизнеса</t>
  </si>
  <si>
    <t xml:space="preserve">Подрядчик согласовал твердую цену на здание, для которого в ближайшие 18 месяцев нужно 12 000 т стали и 40 000 м³ бетона. Цены могут вырасти. Купить сейчас всю сталь по форварду, половину, ограничить цену кэпом или покупать по мере надобности — и сколько ценового риска по материалам остается в каждом случае?</t>
  </si>
  <si>
    <t xml:space="preserve">Для кого</t>
  </si>
  <si>
    <t xml:space="preserve">Коммерческим директорам и руководителям закупок подрядчиков, сметчикам и финансовым директорам на контрактах с твердой ценой.</t>
  </si>
  <si>
    <t xml:space="preserve">Основные результаты</t>
  </si>
  <si>
    <t xml:space="preserve">Стоимость материалов при четырех стратегиях закупки стали: среднее, P90 и P99, вероятность уложиться в тендерный резерв по всем материалам и по одной стали, стоимость защиты · диапазон цены стали за 18 месяцев.</t>
  </si>
  <si>
    <t xml:space="preserve">Приемы МоделРиск</t>
  </si>
  <si>
    <t xml:space="preserve">Помесячное геометрическое броуновское движение с удорожанием (VoseTimeGBM) для стали и бетона · графики закупок во времени · форвард, частичный форвард и кэп на одних и тех же траекториях цен · веерная диаграмма цены.</t>
  </si>
  <si>
    <t xml:space="preserve">Файл</t>
  </si>
  <si>
    <t xml:space="preserve">PC-07 Рост цен на материалы и стратегия закупок  ·  Версия 1.0  ·  Ноябрь 2026  ·  создано в МоделРиск</t>
  </si>
  <si>
    <t xml:space="preserve">Вопрос бизнеса</t>
  </si>
  <si>
    <t xml:space="preserve">Подрядчик подписал контракт с твердой ценой на коммерческое здание. В тендере заложено 900 долл. за тонну конструкционной стали и резерв 3% на рост цены бетона. Сталь закупается с 4-го по 12-й месяц, бетон — со 2-го по 17-й, и за это время обе цены могут сильно измениться, особенно цена стали. Поставщик стали предлагает форвардный контракт по 890 долл. за тонну на весь объем. Банк предлагает ограничение цены (кэп) на уровне 950 долл. за премию; либо подрядчик может покупать по ходу работ по рыночной цене. Каждый вариант чего-то стоит: в форвардную цену входят затраты поставщика на хранение и финансирование, у кэпа есть премия, а покупка по мере надобности несет риск. Модель разыгрывает помесячные цены и применяет четыре стратегии к одним и тем же траекториям цен.</t>
  </si>
  <si>
    <t xml:space="preserve">Как устроена модель</t>
  </si>
  <si>
    <t xml:space="preserve">Дальше три листа, слева направо. Каждый передает данные следующему.</t>
  </si>
  <si>
    <t xml:space="preserve">1  Исходные данные</t>
  </si>
  <si>
    <t xml:space="preserve">Объемы и месяцы закупки; для стали и бетона — текущая цена, ожидаемый годовой рост и волатильность; форвардная цена, доля форварда в частичном варианте, уровень кэпа и его премия; тендерные резервы.</t>
  </si>
  <si>
    <t xml:space="preserve">2  Закупки</t>
  </si>
  <si>
    <t xml:space="preserve">VoseTimeGBM строит помесячную траекторию цены каждого материала, а снос подобран так, чтобы ожидаемая цена росла с темпом удорожания. Сталь, купленная в месяце, стоит по цене месяца, по форвардной цене, по смешанной цене или по меньшей из цены и кэпа плюс премия.</t>
  </si>
  <si>
    <t xml:space="preserve">3  Результаты</t>
  </si>
  <si>
    <t xml:space="preserve">Общая стоимость материалов при каждой стратегии: среднее, верхние процентили, насколько в среднем дороже или дешевле, чем покупка по рыночной цене, и вероятность уложиться в тендерный резерв — по всем материалам и по одной стали, которую стратегии и меняют.</t>
  </si>
  <si>
    <t xml:space="preserve">Как пользоваться моделью</t>
  </si>
  <si>
    <t xml:space="preserve">Шаг 1</t>
  </si>
  <si>
    <t xml:space="preserve">Введите свои объемы, месяцы закупки и предложения поставщика и банка на листе «Исходные данные».</t>
  </si>
  <si>
    <t xml:space="preserve">Шаг 2</t>
  </si>
  <si>
    <t xml:space="preserve">Задайте удорожание и волатильность по ценовым индексам и фьючерсному рынку.</t>
  </si>
  <si>
    <t xml:space="preserve">Шаг 3</t>
  </si>
  <si>
    <t xml:space="preserve">Запустите моделирование на ленте МоделРиск (уже заданы 10 000 итераций и фиксированное начальное число генератора).</t>
  </si>
  <si>
    <t xml:space="preserve">Шаг 4</t>
  </si>
  <si>
    <t xml:space="preserve">Выберите стратегию, P90 (или P99) которой бизнес может выдержать при приемлемой стоимости защиты.</t>
  </si>
  <si>
    <t xml:space="preserve">Структура модели</t>
  </si>
  <si>
    <t xml:space="preserve">Исходные данные</t>
  </si>
  <si>
    <t xml:space="preserve">Объемы, сроки, ценовые модели, предложения и резервы.</t>
  </si>
  <si>
    <t xml:space="preserve">Закупки</t>
  </si>
  <si>
    <t xml:space="preserve">Помесячные цены, объемы и затраты; выходы и проверки.</t>
  </si>
  <si>
    <t xml:space="preserve">Результаты</t>
  </si>
  <si>
    <t xml:space="preserve">Сравнение стратегий, S-кривые и веерная диаграмма цены стали.</t>
  </si>
  <si>
    <t xml:space="preserve">Цветовые обозначения</t>
  </si>
  <si>
    <t xml:space="preserve">Исходное значение</t>
  </si>
  <si>
    <t xml:space="preserve">Допущение, которое можно менять. Исходные данные — только в этих ячейках.</t>
  </si>
  <si>
    <t xml:space="preserve">Неопределенная величина</t>
  </si>
  <si>
    <t xml:space="preserve">Распределение МоделРиск: новое случайное значение выбирается при каждом пересчете (F9) и в каждой итерации моделирования.</t>
  </si>
  <si>
    <t xml:space="preserve">Расчет</t>
  </si>
  <si>
    <t xml:space="preserve">Формула. Не перезаписывайте.</t>
  </si>
  <si>
    <t xml:space="preserve">Ключевой результат</t>
  </si>
  <si>
    <t xml:space="preserve">Отмечен функцией VoseOutput: при моделировании сохраняется его полное распределение.</t>
  </si>
  <si>
    <t xml:space="preserve">Результат моделирования</t>
  </si>
  <si>
    <t xml:space="preserve">Функция VoseSim…: статистика последнего моделирования, заполняется автоматически.</t>
  </si>
  <si>
    <t xml:space="preserve">Единицы и обозначения</t>
  </si>
  <si>
    <t xml:space="preserve">Деньги</t>
  </si>
  <si>
    <t xml:space="preserve">Миллионы долларов США (млн долл.); цены в долларах США за тонну стали и за м³ бетона.</t>
  </si>
  <si>
    <t xml:space="preserve">Удорожание</t>
  </si>
  <si>
    <t xml:space="preserve">Ожидаемый годовой рост цены: снос ценовой модели подобран так, чтобы средняя цена росла с этим темпом.</t>
  </si>
  <si>
    <t xml:space="preserve">Форвардный контракт</t>
  </si>
  <si>
    <t xml:space="preserve">Фиксированная цена, согласованная сейчас, на поставку позже.</t>
  </si>
  <si>
    <t xml:space="preserve">Кэп на цену</t>
  </si>
  <si>
    <t xml:space="preserve">Платится рыночная цена до уровня кэпа, но не выше; за это платится премия за тонну.</t>
  </si>
  <si>
    <t xml:space="preserve">Основные допущения и ограничения</t>
  </si>
  <si>
    <t xml:space="preserve">Цены</t>
  </si>
  <si>
    <t xml:space="preserve">Геометрическое броуновское движение с постоянной волатильностью; цены стали и бетона независимы.</t>
  </si>
  <si>
    <t xml:space="preserve">Объемы</t>
  </si>
  <si>
    <t xml:space="preserve">Объемы и месяцы закупки известны точно; сдвигов графика нет (см. PC-04).</t>
  </si>
  <si>
    <t xml:space="preserve">Предложения</t>
  </si>
  <si>
    <t xml:space="preserve">Нет кредитного риска и риска поставки по форварду; хранение за счет поставщика.</t>
  </si>
  <si>
    <t xml:space="preserve">Данные</t>
  </si>
  <si>
    <t xml:space="preserve">Цены, объемы и предложения придуманы для этого примера.</t>
  </si>
  <si>
    <t xml:space="preserve">Функции МоделРиск в модели</t>
  </si>
  <si>
    <t>VoseTimeGBM</t>
  </si>
  <si>
    <t xml:space="preserve">Помесячные траектории цен стали и бетона с удорожанием в виде формул массива.</t>
  </si>
  <si>
    <t>VoseOutput</t>
  </si>
  <si>
    <t xml:space="preserve">Обозначить итоги стратегий и помесячные цены стали для окна результатов.</t>
  </si>
  <si>
    <t>VoseSimMean, VoseSimPercentile, VoseSimProbability</t>
  </si>
  <si>
    <t xml:space="preserve">Статистика моделирования для таблиц и графиков на листе «Результаты».</t>
  </si>
  <si>
    <t xml:space="preserve">Что почитать</t>
  </si>
  <si>
    <t>AACE International (2008). Recommended Practice 58R-10: Escalation Estimating Principles and Methods Using Indices.</t>
  </si>
  <si>
    <t xml:space="preserve">Хеджирование</t>
  </si>
  <si>
    <t>Hull, J. C. (2022). Options, Futures, and Other Derivatives, 11th edition. Pearson.</t>
  </si>
  <si>
    <t xml:space="preserve">© 2026 ООО «Стратегия Риска»   ·   www.riskstrategy.ru   ·   Учебный пример: цифры придуманы для обучения и не описывают реальную компанию, проект или актив.</t>
  </si>
  <si>
    <t xml:space="preserve">ИСХОДНЫЕ ДАННЫЕ   ·   Все допущения модели, их неопределенность и обоснование. Меняйте только желтые ячейки.</t>
  </si>
  <si>
    <t xml:space="preserve">◂  Описание</t>
  </si>
  <si>
    <t xml:space="preserve">Далее:  Закупки  ▸</t>
  </si>
  <si>
    <t xml:space="preserve">Как читать этот лист:  желтые ячейки — исходные данные.</t>
  </si>
  <si>
    <t xml:space="preserve">1   Объемы и сроки</t>
  </si>
  <si>
    <t xml:space="preserve">Что покупается и в какие месяцы (равномерно между первым и последним месяцем).</t>
  </si>
  <si>
    <t xml:space="preserve">Допущение</t>
  </si>
  <si>
    <t xml:space="preserve">Ед. изм.</t>
  </si>
  <si>
    <t xml:space="preserve">Значение в модели</t>
  </si>
  <si>
    <t xml:space="preserve">Неопределенность</t>
  </si>
  <si>
    <t xml:space="preserve">Обоснование / источник (условно)</t>
  </si>
  <si>
    <t xml:space="preserve">Конструкционная сталь</t>
  </si>
  <si>
    <t xml:space="preserve">т</t>
  </si>
  <si>
    <t xml:space="preserve">Константа</t>
  </si>
  <si>
    <t xml:space="preserve">Из ведомости объемов работ.</t>
  </si>
  <si>
    <t xml:space="preserve">Сталь: первый месяц</t>
  </si>
  <si>
    <t xml:space="preserve">месяц</t>
  </si>
  <si>
    <t xml:space="preserve">Монтаж каркаса начинается на 5-м месяце.</t>
  </si>
  <si>
    <t xml:space="preserve">Сталь: последний месяц</t>
  </si>
  <si>
    <t xml:space="preserve">Бетон</t>
  </si>
  <si>
    <t xml:space="preserve">м³</t>
  </si>
  <si>
    <t xml:space="preserve">Фундаменты, перекрытия и ядра жесткости.</t>
  </si>
  <si>
    <t xml:space="preserve">Бетон: первый месяц</t>
  </si>
  <si>
    <t xml:space="preserve">Бетон: последний месяц</t>
  </si>
  <si>
    <t xml:space="preserve">2   Цена стали</t>
  </si>
  <si>
    <t xml:space="preserve">Помесячное геометрическое броуновское движение; ожидаемая цена растет с темпом удорожания.</t>
  </si>
  <si>
    <t xml:space="preserve">Текущая цена стали</t>
  </si>
  <si>
    <t xml:space="preserve">долл./т</t>
  </si>
  <si>
    <t xml:space="preserve">Текущая прайс-листовая цена поставщика на прокат.</t>
  </si>
  <si>
    <t xml:space="preserve">Ожидаемое удорожание</t>
  </si>
  <si>
    <t xml:space="preserve">в год</t>
  </si>
  <si>
    <t xml:space="preserve">Консенсус-прогноз цен на строительную сталь.</t>
  </si>
  <si>
    <t xml:space="preserve">Волатильность</t>
  </si>
  <si>
    <t xml:space="preserve">Настолько цены на сталь меняются в обычный год.</t>
  </si>
  <si>
    <t xml:space="preserve">3   Цена бетона</t>
  </si>
  <si>
    <t xml:space="preserve">Менее волатильна, но растет вместе с затратами на труд и цемент.</t>
  </si>
  <si>
    <t xml:space="preserve">Текущая цена бетона</t>
  </si>
  <si>
    <t xml:space="preserve">долл./м³</t>
  </si>
  <si>
    <t xml:space="preserve">Договор поставки товарного бетона с индексацией.</t>
  </si>
  <si>
    <t xml:space="preserve">Индексы цемента и перевозок.</t>
  </si>
  <si>
    <t xml:space="preserve">4   Предложения по закупке стали</t>
  </si>
  <si>
    <t xml:space="preserve">Способы купить сталь не по рыночной цене.</t>
  </si>
  <si>
    <t xml:space="preserve">Цена форвардного контракта</t>
  </si>
  <si>
    <t xml:space="preserve">Предложение поставщика на все поставки; включает затраты на хранение и финансирование.</t>
  </si>
  <si>
    <t xml:space="preserve">Доля форварда в частичном варианте</t>
  </si>
  <si>
    <t xml:space="preserve">Остальное покупается по рыночной цене.</t>
  </si>
  <si>
    <t xml:space="preserve">Банк оплачивает превышение рыночной цены над кэпом.</t>
  </si>
  <si>
    <t xml:space="preserve">Премия за кэп</t>
  </si>
  <si>
    <t xml:space="preserve">Платится за каждую тонну, как бы ни менялась цена.</t>
  </si>
  <si>
    <t xml:space="preserve">5   Тендерные резервы</t>
  </si>
  <si>
    <t xml:space="preserve">Что было заложено в твердую цену.</t>
  </si>
  <si>
    <t xml:space="preserve">Резерв на сталь</t>
  </si>
  <si>
    <t xml:space="preserve">Бетон: удорожание, заложенное в тендер</t>
  </si>
  <si>
    <t xml:space="preserve">По текущей цене.</t>
  </si>
  <si>
    <t xml:space="preserve">Резерв на бетон</t>
  </si>
  <si>
    <t xml:space="preserve">Расчетное</t>
  </si>
  <si>
    <t xml:space="preserve">Текущая цена плюс заложенное удорожание.</t>
  </si>
  <si>
    <t xml:space="preserve">ЗАКУПКИ   ·   18 месяцев цен и закупок и стоимость стали при каждой стратегии (млн долл.).</t>
  </si>
  <si>
    <t xml:space="preserve">◂  Исходные данные</t>
  </si>
  <si>
    <t xml:space="preserve">Далее:  Результаты  ▸</t>
  </si>
  <si>
    <t xml:space="preserve">Месяц</t>
  </si>
  <si>
    <t xml:space="preserve">Итого</t>
  </si>
  <si>
    <t xml:space="preserve">Начало</t>
  </si>
  <si>
    <t xml:space="preserve">1   Ценовая модель</t>
  </si>
  <si>
    <t xml:space="preserve">Помесячные снос и волатильность из годовых значений.</t>
  </si>
  <si>
    <t xml:space="preserve">Величина</t>
  </si>
  <si>
    <t xml:space="preserve">Значение</t>
  </si>
  <si>
    <t xml:space="preserve">Как рассчитывается</t>
  </si>
  <si>
    <t xml:space="preserve">Сталь: месячная волатильность</t>
  </si>
  <si>
    <t xml:space="preserve">Годовая волатильность ÷ √12</t>
  </si>
  <si>
    <t xml:space="preserve">Сталь: месячный снос логарифма цены</t>
  </si>
  <si>
    <t xml:space="preserve">Подобран так, чтобы ожидаемая цена росла с темпом удорожания</t>
  </si>
  <si>
    <t xml:space="preserve">Бетон: месячная волатильность</t>
  </si>
  <si>
    <t xml:space="preserve">Бетон: месячный снос логарифма цены</t>
  </si>
  <si>
    <t xml:space="preserve">2   Цены и объемы</t>
  </si>
  <si>
    <t xml:space="preserve">Траектории цен из VoseTimeGBM. Объемы равномерно распределены по месяцам закупки.</t>
  </si>
  <si>
    <t xml:space="preserve">Цена стали</t>
  </si>
  <si>
    <t xml:space="preserve">Цена бетона</t>
  </si>
  <si>
    <t xml:space="preserve">Куплено стали</t>
  </si>
  <si>
    <t xml:space="preserve">Куплено бетона</t>
  </si>
  <si>
    <t xml:space="preserve">3   Стоимость стали при каждой стратегии</t>
  </si>
  <si>
    <t xml:space="preserve">Те же тонны, та же траектория цены, разные условия.</t>
  </si>
  <si>
    <t xml:space="preserve">Покупка по рыночной цене</t>
  </si>
  <si>
    <t xml:space="preserve">млн долл.</t>
  </si>
  <si>
    <t xml:space="preserve">Форвард на весь объем</t>
  </si>
  <si>
    <t xml:space="preserve">Форвард на часть</t>
  </si>
  <si>
    <t xml:space="preserve">Бетон  (одинаково для всех стратегий)</t>
  </si>
  <si>
    <t xml:space="preserve">4   Выходы по цене стали</t>
  </si>
  <si>
    <t xml:space="preserve">Цена стали каждого месяца — выход для веерной диаграммы на листе «Результаты».</t>
  </si>
  <si>
    <t xml:space="preserve">Цена стали  (выход)</t>
  </si>
  <si>
    <t xml:space="preserve">5   Значение в этой итерации</t>
  </si>
  <si>
    <t xml:space="preserve">Ключевые результаты, которые МоделРиск записывает в каждой итерации (VoseOutput). Их статистика — на листе «Результаты».</t>
  </si>
  <si>
    <t xml:space="preserve">Результат</t>
  </si>
  <si>
    <t xml:space="preserve">Смысл</t>
  </si>
  <si>
    <t xml:space="preserve">Стоимость материалов: покупка по рыночной цене по мере надобности</t>
  </si>
  <si>
    <t xml:space="preserve">Сталь по этой стратегии плюс бетон.</t>
  </si>
  <si>
    <t xml:space="preserve">Стоимость материалов: форвард на всю сталь</t>
  </si>
  <si>
    <t xml:space="preserve">Стоимость материалов: частичный форвард</t>
  </si>
  <si>
    <t xml:space="preserve">Стоимость материалов: кэп на цену стали</t>
  </si>
  <si>
    <t xml:space="preserve">Стоимость стали: покупка по рыночной цене по мере надобности</t>
  </si>
  <si>
    <t xml:space="preserve">Одна сталь: то, что меняют стратегии.</t>
  </si>
  <si>
    <t xml:space="preserve">Стоимость стали: форвард на всю сталь</t>
  </si>
  <si>
    <t xml:space="preserve">Стоимость стали: частичный форвард</t>
  </si>
  <si>
    <t xml:space="preserve">Стоимость стали: кэп на цену стали</t>
  </si>
  <si>
    <t xml:space="preserve">Тендерный резерв на материалы</t>
  </si>
  <si>
    <t xml:space="preserve">Сталь и бетон по резервам.</t>
  </si>
  <si>
    <t xml:space="preserve">Тендерный резерв на сталь</t>
  </si>
  <si>
    <t xml:space="preserve">Средняя цена стали при покупке по рынку</t>
  </si>
  <si>
    <t xml:space="preserve">Взвешена по тоннам, купленным в каждом месяце.</t>
  </si>
  <si>
    <t xml:space="preserve">6   Проверки модели</t>
  </si>
  <si>
    <t xml:space="preserve">Везде должно быть «ОК». «ПРОВЕРИТЬ» означает, что исходное значение вышло за пределы, на которые рассчитана модель.</t>
  </si>
  <si>
    <t xml:space="preserve">Месяцы закупки в пределах 18 месяцев и по порядку</t>
  </si>
  <si>
    <t xml:space="preserve">Вся сталь и весь бетон закуплены</t>
  </si>
  <si>
    <t xml:space="preserve">РЕЗУЛЬТАТЫ   ·   Заполняются автоматически по последнему моделированию. После изменения исходных данных запустите моделирование снова.</t>
  </si>
  <si>
    <t xml:space="preserve">◂  Закупки</t>
  </si>
  <si>
    <t xml:space="preserve">1   Какая стратегия закупки стали?</t>
  </si>
  <si>
    <t xml:space="preserve">Стоимость материалов — накопленная вероятность</t>
  </si>
  <si>
    <t xml:space="preserve">Общая стоимость материалов (сталь и бетон) при каждой стратегии на одних и тех же смоделированных ценах (млн долл.).</t>
  </si>
  <si>
    <t xml:space="preserve">Стратегия</t>
  </si>
  <si>
    <t xml:space="preserve">Среднее</t>
  </si>
  <si>
    <t>P90</t>
  </si>
  <si>
    <t>P99</t>
  </si>
  <si>
    <t xml:space="preserve">Среднее к</t>
  </si>
  <si>
    <t xml:space="preserve">рынку, млн долл.</t>
  </si>
  <si>
    <t xml:space="preserve">Покупать по рыночной цене по мере надобности</t>
  </si>
  <si>
    <t xml:space="preserve">Форвардный контракт на всю сталь</t>
  </si>
  <si>
    <t xml:space="preserve">Ограничение цены на сталь (кэп)</t>
  </si>
  <si>
    <t xml:space="preserve">2   В пределах резервов?</t>
  </si>
  <si>
    <t xml:space="preserve">Бетон стоит одинаково при любой стратегии, поэтому столбец по стали показывает, что меняет выбор стратегии.</t>
  </si>
  <si>
    <t xml:space="preserve">Все материалы</t>
  </si>
  <si>
    <t xml:space="preserve">Одна сталь</t>
  </si>
  <si>
    <t xml:space="preserve">в пределах резерва</t>
  </si>
  <si>
    <t xml:space="preserve">Показатель</t>
  </si>
  <si>
    <t xml:space="preserve">…в том числе сталь</t>
  </si>
  <si>
    <t xml:space="preserve">3   Цена стали</t>
  </si>
  <si>
    <t xml:space="preserve">Средняя цена при покупке по рынку и помесячный диапазон цены.</t>
  </si>
  <si>
    <t xml:space="preserve">10-й проц.</t>
  </si>
  <si>
    <t xml:space="preserve">Медиана</t>
  </si>
  <si>
    <t xml:space="preserve">90-й проц.</t>
  </si>
  <si>
    <t xml:space="preserve">4   Как читать результаты</t>
  </si>
  <si>
    <t xml:space="preserve">Цена стали по месяцам — от 10-го до 90-го процентиля</t>
  </si>
  <si>
    <t xml:space="preserve">•  Покупка по рыночной цене в среднем дешевле всего, когда в предложения заложена маржа, но весь ценовой риск по стали остается: ее P90 и P99 самые высокие. Форвардный контракт снимает риск по стали за небольшую ожидаемую плату.</t>
  </si>
  <si>
    <t xml:space="preserve">•  Кэп защищает от высоких цен и сохраняет выгоду от низких. Его премия платится за каждую тонну, поэтому его среднее близко к покупке по рынку, а вероятность уложиться в резерв самая низкая — зато сталь никогда не обойдется дороже кэпа плюс премия, и худшие случаи ограничены.</t>
  </si>
  <si>
    <t xml:space="preserve">•  Даже если вся сталь куплена по форварду, часть риска остается — удорожание бетона, которое ограничивает вероятность по всем материалам. Столбец «одна сталь» выделяет само решение: в исходной версии форвард всегда удерживает сталь в пределах резерва, частичный форвард — примерно в 63% случаев, покупка по рынку — около 60%, кэп — около 50%.</t>
  </si>
  <si>
    <t xml:space="preserve">•  Веерная диаграмма показывает, почему важны сроки: чем позже покупается сталь, тем шире диапазон ее цены.</t>
  </si>
  <si>
    <t xml:space="preserve">Данные для графиков</t>
  </si>
  <si>
    <t xml:space="preserve">Статистика последнего моделирования для графиков и рейтинга выше. Строки сгруппированы: нажмите «+» на левом поле, чтобы их показать.</t>
  </si>
  <si>
    <t xml:space="preserve">Накопленная вероятность</t>
  </si>
  <si>
    <t xml:space="preserve">Вероятность превышения</t>
  </si>
  <si>
    <t>Total_Spot</t>
  </si>
  <si>
    <t>Total_Fwd</t>
  </si>
  <si>
    <t>Total_Half</t>
  </si>
  <si>
    <t>Total_Cap</t>
  </si>
  <si>
    <t xml:space="preserve">Период</t>
  </si>
  <si>
    <t xml:space="preserve">10-й процентиль</t>
  </si>
  <si>
    <t xml:space="preserve">90-й процентиль</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</si>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</sst>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_);\(#,##0\);&quot;–&quot;_)"/>
    <numFmt numFmtId="165" formatCode="0.0%"/>
    <numFmt numFmtId="166" formatCode="#,##0.0_);\(#,##0.0\);&quot;–&quot;_)"/>
    <numFmt numFmtId="167" formatCode="0.000%"/>
    <numFmt numFmtId="168" formatCode="#,##0.00_);\(#,##0.00\);&quot;–&quot;_)"/>
    <numFmt numFmtId="169" formatCode="#,##0.00_);\(#,##0.00\);&quot;–&quot;_);&quot;–&quot;"/>
    <numFmt numFmtId="170" formatCode="\+0.00;\-0.00;0.00;@"/>
    <numFmt numFmtId="171" formatCode="0.0%;\-0.0%;0.0%;&quot;–&quot;"/>
    <numFmt numFmtId="172" formatCode="#,##0_);\(#,##0\);&quot;–&quot;_);&quot;–&quot;"/>
  </numFmts>
  <fonts count="25" x14ac:knownFonts="1">
    <font>
      <sz val="11"/>
      <color theme="1"/>
      <name val="Calibri"/>
      <family val="2"/>
      <scheme val="minor"/>
    </font>
    <font>
      <sz val="10"/>
      <color rgb="FF1F2328"/>
      <name val="Calibri"/>
    </font>
    <font>
      <sz val="10"/>
      <color rgb="FF9A3412"/>
      <name val="Calibri"/>
    </font>
    <font>
      <sz val="10"/>
      <color rgb="FF111214"/>
      <name val="Calibri"/>
    </font>
    <font>
      <b/>
      <sz val="10"/>
      <color rgb="FF14532D"/>
      <name val="Calibri"/>
    </font>
    <font>
      <b/>
      <sz val="16"/>
      <color rgb="FF111214"/>
      <name val="Calibri"/>
    </font>
    <font>
      <sz val="10"/>
      <color rgb="FF55585F"/>
      <name val="Calibri"/>
    </font>
    <font>
      <sz val="9"/>
      <color rgb="FF55585F"/>
      <name val="Calibri"/>
    </font>
    <font>
      <u/>
      <sz val="9"/>
      <color rgb="FF1F2328"/>
      <name val="Calibri"/>
    </font>
    <font>
      <b/>
      <sz val="20"/>
      <color rgb="FF111214"/>
      <name val="Calibri"/>
    </font>
    <font>
      <b/>
      <sz val="12"/>
      <color rgb="FF1F2328"/>
      <name val="Calibri"/>
    </font>
    <font>
      <b/>
      <sz val="10"/>
      <color rgb="FF55585F"/>
      <name val="Calibri"/>
    </font>
    <font>
      <b/>
      <sz val="10"/>
      <color rgb="FF111214"/>
      <name val="Calibri"/>
    </font>
    <font>
      <i/>
      <sz val="9"/>
      <color rgb="FF55585F"/>
      <name val="Calibri"/>
    </font>
    <font>
      <u/>
      <sz val="10"/>
      <color rgb="FF1F2328"/>
      <name val="Calibri"/>
    </font>
    <font>
      <b/>
      <sz val="10"/>
      <color rgb="FF1F2328"/>
      <name val="Calibri"/>
    </font>
    <font>
      <i/>
      <sz val="9"/>
      <color rgb="FF8B8E95"/>
      <name val="Calibri"/>
    </font>
    <font>
      <b/>
      <sz val="9"/>
      <color rgb="FF55585F"/>
      <name val="Calibri"/>
    </font>
    <font>
      <sz val="9"/>
      <color rgb="FF55585F"/>
      <name val="Calibri"/>
    </font>
    <font>
      <b/>
      <sz val="9"/>
      <color rgb="FF111214"/>
      <name val="Calibri"/>
    </font>
    <font>
      <b/>
      <sz val="9"/>
      <color rgb="FF8B8E95"/>
      <name val="Calibri"/>
    </font>
    <font>
      <b/>
      <sz val="10"/>
      <color rgb="FF15803D"/>
      <name val="Calibri"/>
    </font>
    <font>
      <sz val="8"/>
      <color rgb="FF55585F"/>
      <name val="Calibri"/>
    </font>
    <font>
      <sz val="10"/>
      <color rgb="FF55585F"/>
      <name val="Calibri"/>
    </font>
    <font>
      <b/>
      <sz val="11"/>
      <color rgb="FF1F2328"/>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EF0F2"/>
        <bgColor rgb="FFEEF0F2"/>
      </patternFill>
    </fill>
    <fill>
      <patternFill patternType="solid">
        <fgColor rgb="FFF4F4F5"/>
        <bgColor rgb="FFF4F4F5"/>
      </patternFill>
    </fill>
    <fill>
      <patternFill patternType="solid">
        <fgColor rgb="FFF4F4F5"/>
        <bgColor rgb="FFF4F4F5"/>
      </patternFill>
    </fill>
  </fills>
  <borders count="11">
    <border>
      <left/>
      <right/>
      <top/>
      <bottom/>
      <diagonal/>
    </border>
    <border>
      <left style="thin">
        <color rgb="FFD9DADD"/>
      </left>
      <right style="thin">
        <color rgb="FFD9DADD"/>
      </right>
      <top style="thin">
        <color rgb="FFD9DADD"/>
      </top>
      <bottom style="thin">
        <color rgb="FFD9DADD"/>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D9DADD"/>
      </bottom>
      <diagonal/>
    </border>
    <border>
      <left/>
      <right/>
      <top/>
      <bottom style="medium">
        <color rgb="FF2F3136"/>
      </bottom>
      <diagonal/>
    </border>
    <border>
      <left/>
      <right/>
      <top/>
      <bottom style="thin">
        <color rgb="FFECEDEF"/>
      </bottom>
      <diagonal/>
    </border>
    <border>
      <left style="thin">
        <color rgb="FFD9DADD"/>
      </left>
      <right style="thin">
        <color rgb="FFD9DADD"/>
      </right>
      <top style="thin">
        <color rgb="FFD9DADD"/>
      </top>
      <bottom style="thin">
        <color rgb="FFECEDEF"/>
      </bottom>
      <diagonal/>
    </border>
    <border>
      <left/>
      <right/>
      <top/>
      <bottom style="thin">
        <color rgb="FFECEDEF"/>
      </bottom>
      <diagonal/>
    </border>
    <border>
      <left style="thin">
        <color rgb="FF15803D"/>
      </left>
      <right style="thin">
        <color rgb="FF15803D"/>
      </right>
      <top style="thin">
        <color rgb="FF15803D"/>
      </top>
      <bottom style="thin">
        <color rgb="FFECEDEF"/>
      </bottom>
      <diagonal/>
    </border>
    <border>
      <left/>
      <right/>
      <top style="thin">
        <color rgb="FFD9DADD"/>
      </top>
      <bottom style="thin">
        <color rgb="FFD9DADD"/>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3">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 fontId="1" fillId="2" borderId="7" xfId="1" applyNumberFormat="1" applyBorder="1">
      <alignment horizontal="right" vertical="center"/>
    </xf>
    <xf numFmtId="165" fontId="1" fillId="2" borderId="7" xfId="1" applyNumberFormat="1" applyBorder="1">
      <alignment horizontal="right" vertical="center"/>
    </xf>
    <xf numFmtId="9" fontId="1" fillId="2" borderId="7" xfId="1" applyNumberFormat="1" applyBorder="1">
      <alignment horizontal="right" vertical="center"/>
    </xf>
    <xf numFmtId="166" fontId="3" fillId="0" borderId="8" xfId="3" applyNumberFormat="1" applyBorder="1">
      <alignment horizontal="right" vertical="center"/>
    </xf>
    <xf numFmtId="0" fontId="17" fillId="7" borderId="0" xfId="0" applyFont="1" applyFill="1" applyAlignment="1">
      <alignment horizontal="left" vertical="center" indent="1"/>
    </xf>
    <xf numFmtId="0" fontId="0" fillId="7" borderId="0" xfId="0" applyFill="1"/>
    <xf numFmtId="0" fontId="17" fillId="7" borderId="0" xfId="0" applyFont="1" applyFill="1" applyAlignment="1">
      <alignment horizontal="right" vertical="center"/>
    </xf>
    <xf numFmtId="0" fontId="20" fillId="7" borderId="0" xfId="0" applyFont="1" applyFill="1" applyAlignment="1">
      <alignment horizontal="right" vertical="center"/>
    </xf>
    <xf numFmtId="1" fontId="19" fillId="7" borderId="0" xfId="0" applyNumberFormat="1" applyFont="1" applyFill="1" applyAlignment="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0" fontId="3" fillId="0" borderId="8" xfId="3" applyNumberFormat="1" applyBorder="1">
      <alignment horizontal="right" vertical="center"/>
    </xf>
    <xf numFmtId="167" fontId="3" fillId="0" borderId="8" xfId="3" applyNumberFormat="1" applyBorder="1">
      <alignment horizontal="right" vertical="center"/>
    </xf>
    <xf numFmtId="164" fontId="2" fillId="3" borderId="7" xfId="2" applyNumberFormat="1" applyBorder="1">
      <alignment horizontal="right" vertical="center"/>
    </xf>
    <xf numFmtId="166" fontId="2" fillId="3" borderId="7" xfId="2" applyNumberFormat="1" applyBorder="1">
      <alignment horizontal="right" vertical="center"/>
    </xf>
    <xf numFmtId="164" fontId="12" fillId="0" borderId="8" xfId="3" applyNumberFormat="1" applyFont="1" applyBorder="1">
      <alignment horizontal="right" vertical="center"/>
    </xf>
    <xf numFmtId="164" fontId="3" fillId="0" borderId="8" xfId="3" applyNumberFormat="1" applyBorder="1">
      <alignment horizontal="right" vertical="center"/>
    </xf>
    <xf numFmtId="168" fontId="12" fillId="0" borderId="8" xfId="3" applyNumberFormat="1" applyFont="1" applyBorder="1">
      <alignment horizontal="right" vertical="center"/>
    </xf>
    <xf numFmtId="168" fontId="3" fillId="0" borderId="8" xfId="3" applyNumberFormat="1" applyBorder="1">
      <alignment horizontal="right" vertical="center"/>
    </xf>
    <xf numFmtId="164" fontId="4" fillId="4" borderId="9" xfId="4" applyNumberFormat="1" applyBorder="1">
      <alignment horizontal="right" vertical="center"/>
    </xf>
    <xf numFmtId="168" fontId="4" fillId="4" borderId="9" xfId="4" applyNumberFormat="1" applyBorder="1">
      <alignment horizontal="right" vertical="center"/>
    </xf>
    <xf numFmtId="0" fontId="21"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4" fillId="0" borderId="5" xfId="0" applyFont="1" applyBorder="1"/>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0" fontId="0" fillId="7" borderId="2" xfId="0" applyFill="1" applyBorder="1"/>
    <xf numFmtId="0" fontId="22" fillId="7" borderId="4" xfId="0" applyFont="1" applyFill="1" applyBorder="1" applyAlignment="1">
      <alignment horizontal="right" vertical="center"/>
    </xf>
    <xf numFmtId="169" fontId="1" fillId="5" borderId="7" xfId="5" applyNumberFormat="1" applyBorder="1">
      <alignment horizontal="right" vertical="center"/>
    </xf>
    <xf numFmtId="170" fontId="1" fillId="5" borderId="7" xfId="5" applyNumberFormat="1" applyBorder="1">
      <alignment horizontal="right" vertical="center"/>
    </xf>
    <xf numFmtId="171" fontId="1" fillId="5" borderId="7" xfId="5" applyNumberFormat="1" applyBorder="1">
      <alignment horizontal="right" vertical="center"/>
    </xf>
    <xf numFmtId="0" fontId="23" fillId="0" borderId="6" xfId="0" applyFont="1" applyBorder="1" applyAlignment="1">
      <alignment horizontal="left" vertical="center" indent="1"/>
    </xf>
    <xf numFmtId="172" fontId="1" fillId="5" borderId="7" xfId="5"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0" fontId="23" fillId="0" borderId="0" xfId="0" applyFont="1" applyAlignment="1">
      <alignment horizontal="left" vertical="center" indent="1"/>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Расчет" xfId="3" xr:uid="{00000000-0005-0000-0000-000003000000}"/>
    <cellStyle name="Исходное значение" xfId="1" xr:uid="{00000000-0005-0000-0000-000001000000}"/>
    <cellStyle name="Ключевой результат" xfId="4" xr:uid="{00000000-0005-0000-0000-000004000000}"/>
    <cellStyle name="Результат моделирования" xfId="5" xr:uid="{00000000-0005-0000-0000-000005000000}"/>
    <cellStyle name="Неопределенная величина" xfId="2" xr:uid="{00000000-0005-0000-0000-000002000000}"/>
  </cellStyles>
  <dxfs count="5">
    <dxf>
      <font>
        <color rgb="FF8B8E95"/>
      </font>
    </dxf>
    <dxf>
      <font>
        <color rgb="FF8B8E95"/>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Покупать по рыночной цене по мере надобности</c:v>
          </c:tx>
          <c:spPr>
            <a:ln w="25400">
              <a:solidFill>
                <a:srgbClr val="2F3136"/>
              </a:solidFill>
              <a:prstDash val="solid"/>
            </a:ln>
          </c:spPr>
          <c:marker>
            <c:symbol val="none"/>
          </c:marker>
          <c:xVal>
            <c:numRef>
              <c:f>'Результаты'!$D$55:$D$104</c:f>
              <c:numCache>
                <c:formatCode>#,##0.00</c:formatCode>
                <c:ptCount val="50"/>
                <c:pt idx="0">
                  <c:v>11.590064004667706</c:v>
                </c:pt>
                <c:pt idx="1">
                  <c:v>12.227485524897663</c:v>
                </c:pt>
                <c:pt idx="2">
                  <c:v>12.542133400977932</c:v>
                </c:pt>
                <c:pt idx="3">
                  <c:v>12.788688416702742</c:v>
                </c:pt>
                <c:pt idx="4">
                  <c:v>13.000178591993249</c:v>
                </c:pt>
                <c:pt idx="5">
                  <c:v>13.162136743342995</c:v>
                </c:pt>
                <c:pt idx="6">
                  <c:v>13.317103682737757</c:v>
                </c:pt>
                <c:pt idx="7">
                  <c:v>13.461100392908447</c:v>
                </c:pt>
                <c:pt idx="8">
                  <c:v>13.597252170117654</c:v>
                </c:pt>
                <c:pt idx="9">
                  <c:v>13.708532644571211</c:v>
                </c:pt>
                <c:pt idx="10">
                  <c:v>13.828154985154068</c:v>
                </c:pt>
                <c:pt idx="11">
                  <c:v>13.940561564397154</c:v>
                </c:pt>
                <c:pt idx="12">
                  <c:v>14.050397546140342</c:v>
                </c:pt>
                <c:pt idx="13">
                  <c:v>14.157739905994822</c:v>
                </c:pt>
                <c:pt idx="14">
                  <c:v>14.261152517459266</c:v>
                </c:pt>
                <c:pt idx="15">
                  <c:v>14.362548443362488</c:v>
                </c:pt>
                <c:pt idx="16">
                  <c:v>14.458931052376027</c:v>
                </c:pt>
                <c:pt idx="17">
                  <c:v>14.553795133468252</c:v>
                </c:pt>
                <c:pt idx="18">
                  <c:v>14.649666318538113</c:v>
                </c:pt>
                <c:pt idx="19">
                  <c:v>14.73924144836932</c:v>
                </c:pt>
                <c:pt idx="20">
                  <c:v>14.825439997760094</c:v>
                </c:pt>
                <c:pt idx="21">
                  <c:v>14.941722648191787</c:v>
                </c:pt>
                <c:pt idx="22">
                  <c:v>15.036214114115426</c:v>
                </c:pt>
                <c:pt idx="23">
                  <c:v>15.135388373912434</c:v>
                </c:pt>
                <c:pt idx="24">
                  <c:v>15.236485067056467</c:v>
                </c:pt>
                <c:pt idx="25">
                  <c:v>15.336141974017174</c:v>
                </c:pt>
                <c:pt idx="26">
                  <c:v>15.435189475309926</c:v>
                </c:pt>
                <c:pt idx="27">
                  <c:v>15.53756633965453</c:v>
                </c:pt>
                <c:pt idx="28">
                  <c:v>15.642912361064333</c:v>
                </c:pt>
                <c:pt idx="29">
                  <c:v>15.74592495617582</c:v>
                </c:pt>
                <c:pt idx="30">
                  <c:v>15.843599281480657</c:v>
                </c:pt>
                <c:pt idx="31">
                  <c:v>15.949901374761696</c:v>
                </c:pt>
                <c:pt idx="32">
                  <c:v>16.050763048519087</c:v>
                </c:pt>
                <c:pt idx="33">
                  <c:v>16.159441311064406</c:v>
                </c:pt>
                <c:pt idx="34">
                  <c:v>16.26385668623875</c:v>
                </c:pt>
                <c:pt idx="35">
                  <c:v>16.369838074679965</c:v>
                </c:pt>
                <c:pt idx="36">
                  <c:v>16.495578884372787</c:v>
                </c:pt>
                <c:pt idx="37">
                  <c:v>16.644508965136648</c:v>
                </c:pt>
                <c:pt idx="38">
                  <c:v>16.782979375474657</c:v>
                </c:pt>
                <c:pt idx="39">
                  <c:v>16.920048256464415</c:v>
                </c:pt>
                <c:pt idx="40">
                  <c:v>17.086290645173865</c:v>
                </c:pt>
                <c:pt idx="41">
                  <c:v>17.283296569448961</c:v>
                </c:pt>
                <c:pt idx="42">
                  <c:v>17.516063949669775</c:v>
                </c:pt>
                <c:pt idx="43">
                  <c:v>17.718989646501367</c:v>
                </c:pt>
                <c:pt idx="44">
                  <c:v>17.928920738663201</c:v>
                </c:pt>
                <c:pt idx="45">
                  <c:v>18.20501778544606</c:v>
                </c:pt>
                <c:pt idx="46">
                  <c:v>18.533644536399088</c:v>
                </c:pt>
                <c:pt idx="47">
                  <c:v>18.956765510863328</c:v>
                </c:pt>
                <c:pt idx="48">
                  <c:v>19.630555078573391</c:v>
                </c:pt>
                <c:pt idx="49">
                  <c:v>20.862601898724744</c:v>
                </c:pt>
              </c:numCache>
            </c:numRef>
          </c:xVal>
          <c:yVal>
            <c:numRef>
              <c:f>'Результаты'!$B$55:$B$104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BDE1-4F41-AAE4-7237840EA25E}"/>
            </c:ext>
          </c:extLst>
        </c:ser>
        <c:ser>
          <c:idx val="1"/>
          <c:order val="1"/>
          <c:tx>
            <c:v>Форвардный контракт на всю сталь</c:v>
          </c:tx>
          <c:spPr>
            <a:ln w="25400">
              <a:solidFill>
                <a:srgbClr val="B45309"/>
              </a:solidFill>
              <a:prstDash val="dash"/>
            </a:ln>
          </c:spPr>
          <c:marker>
            <c:symbol val="none"/>
          </c:marker>
          <c:xVal>
            <c:numRef>
              <c:f>'Результаты'!$E$55:$E$104</c:f>
              <c:numCache>
                <c:formatCode>#,##0.00</c:formatCode>
                <c:ptCount val="50"/>
                <c:pt idx="0">
                  <c:v>15.171971572243699</c:v>
                </c:pt>
                <c:pt idx="1">
                  <c:v>15.265289846348052</c:v>
                </c:pt>
                <c:pt idx="2">
                  <c:v>15.310762515306223</c:v>
                </c:pt>
                <c:pt idx="3">
                  <c:v>15.343753971711877</c:v>
                </c:pt>
                <c:pt idx="4">
                  <c:v>15.371706673166944</c:v>
                </c:pt>
                <c:pt idx="5">
                  <c:v>15.39631238469784</c:v>
                </c:pt>
                <c:pt idx="6">
                  <c:v>15.417524152317609</c:v>
                </c:pt>
                <c:pt idx="7">
                  <c:v>15.436591319661193</c:v>
                </c:pt>
                <c:pt idx="8">
                  <c:v>15.454125359341955</c:v>
                </c:pt>
                <c:pt idx="9">
                  <c:v>15.470537849632926</c:v>
                </c:pt>
                <c:pt idx="10">
                  <c:v>15.486295871113605</c:v>
                </c:pt>
                <c:pt idx="11">
                  <c:v>15.500914684358705</c:v>
                </c:pt>
                <c:pt idx="12">
                  <c:v>15.516026802874315</c:v>
                </c:pt>
                <c:pt idx="13">
                  <c:v>15.529328974393598</c:v>
                </c:pt>
                <c:pt idx="14">
                  <c:v>15.541381419902537</c:v>
                </c:pt>
                <c:pt idx="15">
                  <c:v>15.552971501846146</c:v>
                </c:pt>
                <c:pt idx="16">
                  <c:v>15.565512472616511</c:v>
                </c:pt>
                <c:pt idx="17">
                  <c:v>15.578289323213157</c:v>
                </c:pt>
                <c:pt idx="18">
                  <c:v>15.58998597206584</c:v>
                </c:pt>
                <c:pt idx="19">
                  <c:v>15.601242745158221</c:v>
                </c:pt>
                <c:pt idx="20">
                  <c:v>15.61464117333766</c:v>
                </c:pt>
                <c:pt idx="21">
                  <c:v>15.62580385758922</c:v>
                </c:pt>
                <c:pt idx="22">
                  <c:v>15.637540976621034</c:v>
                </c:pt>
                <c:pt idx="23">
                  <c:v>15.648840554146883</c:v>
                </c:pt>
                <c:pt idx="24">
                  <c:v>15.662024015281105</c:v>
                </c:pt>
                <c:pt idx="25">
                  <c:v>15.672966801047634</c:v>
                </c:pt>
                <c:pt idx="26">
                  <c:v>15.685528901542481</c:v>
                </c:pt>
                <c:pt idx="27">
                  <c:v>15.697876442250131</c:v>
                </c:pt>
                <c:pt idx="28">
                  <c:v>15.708187650441053</c:v>
                </c:pt>
                <c:pt idx="29">
                  <c:v>15.72072917444665</c:v>
                </c:pt>
                <c:pt idx="30">
                  <c:v>15.731796344273139</c:v>
                </c:pt>
                <c:pt idx="31">
                  <c:v>15.745158052855269</c:v>
                </c:pt>
                <c:pt idx="32">
                  <c:v>15.75809888209697</c:v>
                </c:pt>
                <c:pt idx="33">
                  <c:v>15.770852297270881</c:v>
                </c:pt>
                <c:pt idx="34">
                  <c:v>15.783693920053008</c:v>
                </c:pt>
                <c:pt idx="35">
                  <c:v>15.79674848932234</c:v>
                </c:pt>
                <c:pt idx="36">
                  <c:v>15.811509096322951</c:v>
                </c:pt>
                <c:pt idx="37">
                  <c:v>15.826341405957915</c:v>
                </c:pt>
                <c:pt idx="38">
                  <c:v>15.841270044993944</c:v>
                </c:pt>
                <c:pt idx="39">
                  <c:v>15.857283995602003</c:v>
                </c:pt>
                <c:pt idx="40">
                  <c:v>15.87380649571308</c:v>
                </c:pt>
                <c:pt idx="41">
                  <c:v>15.891639850961399</c:v>
                </c:pt>
                <c:pt idx="42">
                  <c:v>15.91173019009188</c:v>
                </c:pt>
                <c:pt idx="43">
                  <c:v>15.935857913388119</c:v>
                </c:pt>
                <c:pt idx="44">
                  <c:v>15.96043002089594</c:v>
                </c:pt>
                <c:pt idx="45">
                  <c:v>15.984023378117131</c:v>
                </c:pt>
                <c:pt idx="46">
                  <c:v>16.016205528335497</c:v>
                </c:pt>
                <c:pt idx="47">
                  <c:v>16.060461852495298</c:v>
                </c:pt>
                <c:pt idx="48">
                  <c:v>16.113862925371571</c:v>
                </c:pt>
                <c:pt idx="49">
                  <c:v>16.219563681333604</c:v>
                </c:pt>
              </c:numCache>
            </c:numRef>
          </c:xVal>
          <c:yVal>
            <c:numRef>
              <c:f>'Результаты'!$B$55:$B$104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BDE1-4F41-AAE4-7237840EA25E}"/>
            </c:ext>
          </c:extLst>
        </c:ser>
        <c:ser>
          <c:idx val="2"/>
          <c:order val="2"/>
          <c:tx>
            <c:v>Частичный форвардный контракт</c:v>
          </c:tx>
          <c:spPr>
            <a:ln w="25400">
              <a:solidFill>
                <a:srgbClr val="15803D"/>
              </a:solidFill>
              <a:prstDash val="solid"/>
            </a:ln>
          </c:spPr>
          <c:marker>
            <c:symbol val="none"/>
          </c:marker>
          <c:xVal>
            <c:numRef>
              <c:f>'Результаты'!$F$55:$F$104</c:f>
              <c:numCache>
                <c:formatCode>#,##0.00</c:formatCode>
                <c:ptCount val="50"/>
                <c:pt idx="0">
                  <c:v>13.575616354269219</c:v>
                </c:pt>
                <c:pt idx="1">
                  <c:v>13.917147443585483</c:v>
                </c:pt>
                <c:pt idx="2">
                  <c:v>14.07857012034628</c:v>
                </c:pt>
                <c:pt idx="3">
                  <c:v>14.201177399621216</c:v>
                </c:pt>
                <c:pt idx="4">
                  <c:v>14.30844196405139</c:v>
                </c:pt>
                <c:pt idx="5">
                  <c:v>14.396873593878812</c:v>
                </c:pt>
                <c:pt idx="6">
                  <c:v>14.467481129248906</c:v>
                </c:pt>
                <c:pt idx="7">
                  <c:v>14.543604560999331</c:v>
                </c:pt>
                <c:pt idx="8">
                  <c:v>14.60810922770321</c:v>
                </c:pt>
                <c:pt idx="9">
                  <c:v>14.668579744579903</c:v>
                </c:pt>
                <c:pt idx="10">
                  <c:v>14.733876642615783</c:v>
                </c:pt>
                <c:pt idx="11">
                  <c:v>14.790451509957443</c:v>
                </c:pt>
                <c:pt idx="12">
                  <c:v>14.846244303002074</c:v>
                </c:pt>
                <c:pt idx="13">
                  <c:v>14.901255506835543</c:v>
                </c:pt>
                <c:pt idx="14">
                  <c:v>14.947918436073206</c:v>
                </c:pt>
                <c:pt idx="15">
                  <c:v>15.007052922728924</c:v>
                </c:pt>
                <c:pt idx="16">
                  <c:v>15.054960099883743</c:v>
                </c:pt>
                <c:pt idx="17">
                  <c:v>15.107292183622087</c:v>
                </c:pt>
                <c:pt idx="18">
                  <c:v>15.154876594588343</c:v>
                </c:pt>
                <c:pt idx="19">
                  <c:v>15.208620130306128</c:v>
                </c:pt>
                <c:pt idx="20">
                  <c:v>15.257795755218522</c:v>
                </c:pt>
                <c:pt idx="21">
                  <c:v>15.30566910725393</c:v>
                </c:pt>
                <c:pt idx="22">
                  <c:v>15.353797928968728</c:v>
                </c:pt>
                <c:pt idx="23">
                  <c:v>15.405449902132238</c:v>
                </c:pt>
                <c:pt idx="24">
                  <c:v>15.457162987445447</c:v>
                </c:pt>
                <c:pt idx="25">
                  <c:v>15.509979094400421</c:v>
                </c:pt>
                <c:pt idx="26">
                  <c:v>15.561040863296173</c:v>
                </c:pt>
                <c:pt idx="27">
                  <c:v>15.611132925706379</c:v>
                </c:pt>
                <c:pt idx="28">
                  <c:v>15.661885491194639</c:v>
                </c:pt>
                <c:pt idx="29">
                  <c:v>15.715413814196943</c:v>
                </c:pt>
                <c:pt idx="30">
                  <c:v>15.76964028267833</c:v>
                </c:pt>
                <c:pt idx="31">
                  <c:v>15.823905049076775</c:v>
                </c:pt>
                <c:pt idx="32">
                  <c:v>15.877257445054045</c:v>
                </c:pt>
                <c:pt idx="33">
                  <c:v>15.930221630913303</c:v>
                </c:pt>
                <c:pt idx="34">
                  <c:v>15.98004790476892</c:v>
                </c:pt>
                <c:pt idx="35">
                  <c:v>16.050718496992765</c:v>
                </c:pt>
                <c:pt idx="36">
                  <c:v>16.110272323434586</c:v>
                </c:pt>
                <c:pt idx="37">
                  <c:v>16.175533224550442</c:v>
                </c:pt>
                <c:pt idx="38">
                  <c:v>16.24171705197076</c:v>
                </c:pt>
                <c:pt idx="39">
                  <c:v>16.324591323947026</c:v>
                </c:pt>
                <c:pt idx="40">
                  <c:v>16.400398955812356</c:v>
                </c:pt>
                <c:pt idx="41">
                  <c:v>16.49921122285118</c:v>
                </c:pt>
                <c:pt idx="42">
                  <c:v>16.599277536867206</c:v>
                </c:pt>
                <c:pt idx="43">
                  <c:v>16.712426004674409</c:v>
                </c:pt>
                <c:pt idx="44">
                  <c:v>16.831782034579216</c:v>
                </c:pt>
                <c:pt idx="45">
                  <c:v>16.974199695830844</c:v>
                </c:pt>
                <c:pt idx="46">
                  <c:v>17.129829786778938</c:v>
                </c:pt>
                <c:pt idx="47">
                  <c:v>17.360435346212086</c:v>
                </c:pt>
                <c:pt idx="48">
                  <c:v>17.694914037157208</c:v>
                </c:pt>
                <c:pt idx="49">
                  <c:v>18.317767038968853</c:v>
                </c:pt>
              </c:numCache>
            </c:numRef>
          </c:xVal>
          <c:yVal>
            <c:numRef>
              <c:f>'Результаты'!$B$55:$B$104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BDE1-4F41-AAE4-7237840EA25E}"/>
            </c:ext>
          </c:extLst>
        </c:ser>
        <c:ser>
          <c:idx val="3"/>
          <c:order val="3"/>
          <c:tx>
            <c:v>Ограничение цены на сталь (кэп)</c:v>
          </c:tx>
          <c:spPr>
            <a:ln w="25400">
              <a:solidFill>
                <a:srgbClr val="E85F2E"/>
              </a:solidFill>
              <a:prstDash val="solid"/>
            </a:ln>
          </c:spPr>
          <c:marker>
            <c:symbol val="none"/>
          </c:marker>
          <c:xVal>
            <c:numRef>
              <c:f>'Результаты'!$G$55:$G$104</c:f>
              <c:numCache>
                <c:formatCode>#,##0.00</c:formatCode>
                <c:ptCount val="50"/>
                <c:pt idx="0">
                  <c:v>12.130064004667709</c:v>
                </c:pt>
                <c:pt idx="1">
                  <c:v>12.767485524897666</c:v>
                </c:pt>
                <c:pt idx="2">
                  <c:v>13.082133400977932</c:v>
                </c:pt>
                <c:pt idx="3">
                  <c:v>13.328688416702741</c:v>
                </c:pt>
                <c:pt idx="4">
                  <c:v>13.540178591993248</c:v>
                </c:pt>
                <c:pt idx="5">
                  <c:v>13.701862700773859</c:v>
                </c:pt>
                <c:pt idx="6">
                  <c:v>13.857103682737755</c:v>
                </c:pt>
                <c:pt idx="7">
                  <c:v>14.001100392908446</c:v>
                </c:pt>
                <c:pt idx="8">
                  <c:v>14.137252170117653</c:v>
                </c:pt>
                <c:pt idx="9">
                  <c:v>14.248532644571213</c:v>
                </c:pt>
                <c:pt idx="10">
                  <c:v>14.368154985154064</c:v>
                </c:pt>
                <c:pt idx="11">
                  <c:v>14.480060563069143</c:v>
                </c:pt>
                <c:pt idx="12">
                  <c:v>14.588843609581007</c:v>
                </c:pt>
                <c:pt idx="13">
                  <c:v>14.69210782098396</c:v>
                </c:pt>
                <c:pt idx="14">
                  <c:v>14.798572852608645</c:v>
                </c:pt>
                <c:pt idx="15">
                  <c:v>14.895691761326777</c:v>
                </c:pt>
                <c:pt idx="16">
                  <c:v>14.991899899270745</c:v>
                </c:pt>
                <c:pt idx="17">
                  <c:v>15.085287641161543</c:v>
                </c:pt>
                <c:pt idx="18">
                  <c:v>15.178558326080218</c:v>
                </c:pt>
                <c:pt idx="19">
                  <c:v>15.263506972624953</c:v>
                </c:pt>
                <c:pt idx="20">
                  <c:v>15.349165239000328</c:v>
                </c:pt>
                <c:pt idx="21">
                  <c:v>15.45338181490296</c:v>
                </c:pt>
                <c:pt idx="22">
                  <c:v>15.545814206741664</c:v>
                </c:pt>
                <c:pt idx="23">
                  <c:v>15.641783044683088</c:v>
                </c:pt>
                <c:pt idx="24">
                  <c:v>15.728556193058825</c:v>
                </c:pt>
                <c:pt idx="25">
                  <c:v>15.816258975906745</c:v>
                </c:pt>
                <c:pt idx="26">
                  <c:v>15.892444542417813</c:v>
                </c:pt>
                <c:pt idx="27">
                  <c:v>15.971082603116018</c:v>
                </c:pt>
                <c:pt idx="28">
                  <c:v>16.061533533021496</c:v>
                </c:pt>
                <c:pt idx="29">
                  <c:v>16.139015269891559</c:v>
                </c:pt>
                <c:pt idx="30">
                  <c:v>16.208221462156356</c:v>
                </c:pt>
                <c:pt idx="31">
                  <c:v>16.275059938552939</c:v>
                </c:pt>
                <c:pt idx="32">
                  <c:v>16.33043964143021</c:v>
                </c:pt>
                <c:pt idx="33">
                  <c:v>16.391964865327079</c:v>
                </c:pt>
                <c:pt idx="34">
                  <c:v>16.447901776908886</c:v>
                </c:pt>
                <c:pt idx="35">
                  <c:v>16.502774631665076</c:v>
                </c:pt>
                <c:pt idx="36">
                  <c:v>16.552316593253131</c:v>
                </c:pt>
                <c:pt idx="37">
                  <c:v>16.603639484825379</c:v>
                </c:pt>
                <c:pt idx="38">
                  <c:v>16.651814450336285</c:v>
                </c:pt>
                <c:pt idx="39">
                  <c:v>16.69456597953814</c:v>
                </c:pt>
                <c:pt idx="40">
                  <c:v>16.740347860770111</c:v>
                </c:pt>
                <c:pt idx="41">
                  <c:v>16.781600580734981</c:v>
                </c:pt>
                <c:pt idx="42">
                  <c:v>16.824167552669373</c:v>
                </c:pt>
                <c:pt idx="43">
                  <c:v>16.864208867818032</c:v>
                </c:pt>
                <c:pt idx="44">
                  <c:v>16.908199272750995</c:v>
                </c:pt>
                <c:pt idx="45">
                  <c:v>16.955369407357992</c:v>
                </c:pt>
                <c:pt idx="46">
                  <c:v>17.017277872164435</c:v>
                </c:pt>
                <c:pt idx="47">
                  <c:v>17.083787485218323</c:v>
                </c:pt>
                <c:pt idx="48">
                  <c:v>17.161863398605462</c:v>
                </c:pt>
                <c:pt idx="49">
                  <c:v>17.292786267268667</c:v>
                </c:pt>
              </c:numCache>
            </c:numRef>
          </c:xVal>
          <c:yVal>
            <c:numRef>
              <c:f>'Результаты'!$B$55:$B$104</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3-BDE1-4F41-AAE4-7237840EA25E}"/>
            </c:ext>
          </c:extLst>
        </c:ser>
        <c:dLbls>
          <c:showLegendKey val="0"/>
          <c:showVal val="0"/>
          <c:showCatName val="0"/>
          <c:showSerName val="0"/>
          <c:showPercent val="0"/>
          <c:showBubbleSize val="0"/>
        </c:dLbls>
        <c:axId val="10"/>
        <c:axId val="20"/>
      </c:scatterChart>
      <c:valAx>
        <c:axId val="10"/>
        <c:scaling>
          <c:orientation val="minMax"/>
          <c:min val="12"/>
        </c:scaling>
        <c:delete val="0"/>
        <c:axPos val="b"/>
        <c:title>
          <c:tx>
            <c:rich>
              <a:bodyPr/>
              <a:lstStyle/>
              <a:p>
                <a:pPr>
                  <a:defRPr/>
                </a:pPr>
                <a:r>
                  <a:rPr lang="en-US"/>
                  <a:t>Стоимость материалов (млн долл.)</a:t>
                </a:r>
              </a:p>
            </c:rich>
          </c:tx>
          <c:overlay val="0"/>
        </c:title>
        <c:numFmt formatCode="0.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CEDEF"/>
              </a:solidFill>
              <a:prstDash val="solid"/>
            </a:ln>
          </c:spPr>
        </c:majorGridlines>
        <c:title>
          <c:tx>
            <c:rich>
              <a:bodyPr/>
              <a:lstStyle/>
              <a:p>
                <a:pPr>
                  <a:defRPr/>
                </a:pPr>
                <a:r>
                  <a:rPr lang="en-US"/>
                  <a:t>Накопленная вероятность</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90-й процентиль</c:v>
          </c:tx>
          <c:spPr>
            <a:ln w="15875">
              <a:solidFill>
                <a:srgbClr val="2F3136"/>
              </a:solidFill>
              <a:prstDash val="dash"/>
            </a:ln>
          </c:spPr>
          <c:marker>
            <c:symbol val="none"/>
          </c:marker>
          <c:cat>
            <c:numRef>
              <c:f>'Результаты'!$B$107:$B$124</c:f>
              <c:numCache>
                <c:formatCode>General</c:formatCode>
                <c:ptCount val="1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numCache>
            </c:numRef>
          </c:cat>
          <c:val>
            <c:numRef>
              <c:f>'Результаты'!$E$107:$E$124</c:f>
              <c:numCache>
                <c:formatCode>#,##0.00</c:formatCode>
                <c:ptCount val="18"/>
                <c:pt idx="0">
                  <c:v>933.27668053632544</c:v>
                </c:pt>
                <c:pt idx="1">
                  <c:v>970.16987126770596</c:v>
                </c:pt>
                <c:pt idx="2">
                  <c:v>1003.681098779843</c:v>
                </c:pt>
                <c:pt idx="3">
                  <c:v>1031.3615356451871</c:v>
                </c:pt>
                <c:pt idx="4">
                  <c:v>1050.9279910586329</c:v>
                </c:pt>
                <c:pt idx="5">
                  <c:v>1068.9003198864123</c:v>
                </c:pt>
                <c:pt idx="6">
                  <c:v>1089.6298231645665</c:v>
                </c:pt>
                <c:pt idx="7">
                  <c:v>1107.9587833815574</c:v>
                </c:pt>
                <c:pt idx="8">
                  <c:v>1127.0238496832199</c:v>
                </c:pt>
                <c:pt idx="9">
                  <c:v>1149.3297026849821</c:v>
                </c:pt>
                <c:pt idx="10">
                  <c:v>1168.0681377927413</c:v>
                </c:pt>
                <c:pt idx="11">
                  <c:v>1185.2410516156745</c:v>
                </c:pt>
                <c:pt idx="12">
                  <c:v>1197.9751237391283</c:v>
                </c:pt>
                <c:pt idx="13">
                  <c:v>1219.2204002607014</c:v>
                </c:pt>
                <c:pt idx="14">
                  <c:v>1229.7092056051843</c:v>
                </c:pt>
                <c:pt idx="15">
                  <c:v>1252.7479793449472</c:v>
                </c:pt>
                <c:pt idx="16">
                  <c:v>1264.8638141846611</c:v>
                </c:pt>
                <c:pt idx="17">
                  <c:v>1280.851159694583</c:v>
                </c:pt>
              </c:numCache>
            </c:numRef>
          </c:val>
          <c:smooth val="0"/>
          <c:extLst>
            <c:ext xmlns:c16="http://schemas.microsoft.com/office/drawing/2014/chart" uri="{C3380CC4-5D6E-409C-BE32-E72D297353CC}">
              <c16:uniqueId val="{00000000-12BC-4B09-B44F-D2505FC15B6C}"/>
            </c:ext>
          </c:extLst>
        </c:ser>
        <c:ser>
          <c:idx val="1"/>
          <c:order val="1"/>
          <c:tx>
            <c:v>Медиана</c:v>
          </c:tx>
          <c:spPr>
            <a:ln w="28575">
              <a:solidFill>
                <a:srgbClr val="2F3136"/>
              </a:solidFill>
              <a:prstDash val="solid"/>
            </a:ln>
          </c:spPr>
          <c:marker>
            <c:symbol val="none"/>
          </c:marker>
          <c:cat>
            <c:numRef>
              <c:f>'Результаты'!$B$107:$B$124</c:f>
              <c:numCache>
                <c:formatCode>General</c:formatCode>
                <c:ptCount val="1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numCache>
            </c:numRef>
          </c:cat>
          <c:val>
            <c:numRef>
              <c:f>'Результаты'!$D$107:$D$124</c:f>
              <c:numCache>
                <c:formatCode>#,##0.00</c:formatCode>
                <c:ptCount val="18"/>
                <c:pt idx="0">
                  <c:v>850.62143755303896</c:v>
                </c:pt>
                <c:pt idx="1">
                  <c:v>850.3302485710376</c:v>
                </c:pt>
                <c:pt idx="2">
                  <c:v>853.34351177468909</c:v>
                </c:pt>
                <c:pt idx="3">
                  <c:v>853.44542962852358</c:v>
                </c:pt>
                <c:pt idx="4">
                  <c:v>852.49854732061806</c:v>
                </c:pt>
                <c:pt idx="5">
                  <c:v>852.42691002902632</c:v>
                </c:pt>
                <c:pt idx="6">
                  <c:v>854.75366203084002</c:v>
                </c:pt>
                <c:pt idx="7">
                  <c:v>853.96493961212923</c:v>
                </c:pt>
                <c:pt idx="8">
                  <c:v>853.20411964624236</c:v>
                </c:pt>
                <c:pt idx="9">
                  <c:v>853.69256754353489</c:v>
                </c:pt>
                <c:pt idx="10">
                  <c:v>853.88865836883849</c:v>
                </c:pt>
                <c:pt idx="11">
                  <c:v>856.37284720570642</c:v>
                </c:pt>
                <c:pt idx="12">
                  <c:v>856.46496258642708</c:v>
                </c:pt>
                <c:pt idx="13">
                  <c:v>858.81013015637927</c:v>
                </c:pt>
                <c:pt idx="14">
                  <c:v>858.4105118251847</c:v>
                </c:pt>
                <c:pt idx="15">
                  <c:v>860.28647415552098</c:v>
                </c:pt>
                <c:pt idx="16">
                  <c:v>859.19053042309724</c:v>
                </c:pt>
                <c:pt idx="17">
                  <c:v>859.9080116763347</c:v>
                </c:pt>
              </c:numCache>
            </c:numRef>
          </c:val>
          <c:smooth val="0"/>
          <c:extLst>
            <c:ext xmlns:c16="http://schemas.microsoft.com/office/drawing/2014/chart" uri="{C3380CC4-5D6E-409C-BE32-E72D297353CC}">
              <c16:uniqueId val="{00000001-12BC-4B09-B44F-D2505FC15B6C}"/>
            </c:ext>
          </c:extLst>
        </c:ser>
        <c:ser>
          <c:idx val="2"/>
          <c:order val="2"/>
          <c:tx>
            <c:v>Среднее</c:v>
          </c:tx>
          <c:spPr>
            <a:ln w="19050">
              <a:solidFill>
                <a:srgbClr val="B45309"/>
              </a:solidFill>
              <a:prstDash val="solid"/>
            </a:ln>
          </c:spPr>
          <c:marker>
            <c:symbol val="none"/>
          </c:marker>
          <c:cat>
            <c:numRef>
              <c:f>'Результаты'!$B$107:$B$124</c:f>
              <c:numCache>
                <c:formatCode>General</c:formatCode>
                <c:ptCount val="1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numCache>
            </c:numRef>
          </c:cat>
          <c:val>
            <c:numRef>
              <c:f>'Результаты'!$F$107:$F$124</c:f>
              <c:numCache>
                <c:formatCode>#,##0.00</c:formatCode>
                <c:ptCount val="18"/>
                <c:pt idx="0">
                  <c:v>853.17509855557807</c:v>
                </c:pt>
                <c:pt idx="1">
                  <c:v>855.35113962849175</c:v>
                </c:pt>
                <c:pt idx="2">
                  <c:v>859.83697789296832</c:v>
                </c:pt>
                <c:pt idx="3">
                  <c:v>861.83306022143859</c:v>
                </c:pt>
                <c:pt idx="4">
                  <c:v>863.24319165683858</c:v>
                </c:pt>
                <c:pt idx="5">
                  <c:v>866.04456597693741</c:v>
                </c:pt>
                <c:pt idx="6">
                  <c:v>868.67868933149111</c:v>
                </c:pt>
                <c:pt idx="7">
                  <c:v>870.29315807895841</c:v>
                </c:pt>
                <c:pt idx="8">
                  <c:v>874.07180479759791</c:v>
                </c:pt>
                <c:pt idx="9">
                  <c:v>877.3422939997364</c:v>
                </c:pt>
                <c:pt idx="10">
                  <c:v>880.9960429596905</c:v>
                </c:pt>
                <c:pt idx="11">
                  <c:v>885.02636014505674</c:v>
                </c:pt>
                <c:pt idx="12">
                  <c:v>887.82183230415308</c:v>
                </c:pt>
                <c:pt idx="13">
                  <c:v>891.039019925812</c:v>
                </c:pt>
                <c:pt idx="14">
                  <c:v>894.25017615318518</c:v>
                </c:pt>
                <c:pt idx="15">
                  <c:v>896.87560859517635</c:v>
                </c:pt>
                <c:pt idx="16">
                  <c:v>900.25571804959066</c:v>
                </c:pt>
                <c:pt idx="17">
                  <c:v>903.46544699130664</c:v>
                </c:pt>
              </c:numCache>
            </c:numRef>
          </c:val>
          <c:smooth val="0"/>
          <c:extLst>
            <c:ext xmlns:c16="http://schemas.microsoft.com/office/drawing/2014/chart" uri="{C3380CC4-5D6E-409C-BE32-E72D297353CC}">
              <c16:uniqueId val="{00000002-12BC-4B09-B44F-D2505FC15B6C}"/>
            </c:ext>
          </c:extLst>
        </c:ser>
        <c:ser>
          <c:idx val="3"/>
          <c:order val="3"/>
          <c:tx>
            <c:v>10-й процентиль</c:v>
          </c:tx>
          <c:spPr>
            <a:ln w="15875">
              <a:solidFill>
                <a:srgbClr val="2F3136"/>
              </a:solidFill>
              <a:prstDash val="dash"/>
            </a:ln>
          </c:spPr>
          <c:marker>
            <c:symbol val="none"/>
          </c:marker>
          <c:cat>
            <c:numRef>
              <c:f>'Результаты'!$B$107:$B$124</c:f>
              <c:numCache>
                <c:formatCode>General</c:formatCode>
                <c:ptCount val="1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numCache>
            </c:numRef>
          </c:cat>
          <c:val>
            <c:numRef>
              <c:f>'Результаты'!$C$107:$C$124</c:f>
              <c:numCache>
                <c:formatCode>#,##0.00</c:formatCode>
                <c:ptCount val="18"/>
                <c:pt idx="0">
                  <c:v>775.55982662380677</c:v>
                </c:pt>
                <c:pt idx="1">
                  <c:v>746.25607858840863</c:v>
                </c:pt>
                <c:pt idx="2">
                  <c:v>725.0353258040094</c:v>
                </c:pt>
                <c:pt idx="3">
                  <c:v>704.32341574084865</c:v>
                </c:pt>
                <c:pt idx="4">
                  <c:v>690.26723839963483</c:v>
                </c:pt>
                <c:pt idx="5">
                  <c:v>680.58268681545781</c:v>
                </c:pt>
                <c:pt idx="6">
                  <c:v>667.69590206564806</c:v>
                </c:pt>
                <c:pt idx="7">
                  <c:v>655.29429225909587</c:v>
                </c:pt>
                <c:pt idx="8">
                  <c:v>646.75519696850029</c:v>
                </c:pt>
                <c:pt idx="9">
                  <c:v>638.56229668257902</c:v>
                </c:pt>
                <c:pt idx="10">
                  <c:v>629.58108286850677</c:v>
                </c:pt>
                <c:pt idx="11">
                  <c:v>621.76925084372385</c:v>
                </c:pt>
                <c:pt idx="12">
                  <c:v>613.18275876260634</c:v>
                </c:pt>
                <c:pt idx="13">
                  <c:v>604.73424977392096</c:v>
                </c:pt>
                <c:pt idx="14">
                  <c:v>599.91336605320441</c:v>
                </c:pt>
                <c:pt idx="15">
                  <c:v>592.7772521343943</c:v>
                </c:pt>
                <c:pt idx="16">
                  <c:v>586.79108231605562</c:v>
                </c:pt>
                <c:pt idx="17">
                  <c:v>579.23264466359728</c:v>
                </c:pt>
              </c:numCache>
            </c:numRef>
          </c:val>
          <c:smooth val="0"/>
          <c:extLst>
            <c:ext xmlns:c16="http://schemas.microsoft.com/office/drawing/2014/chart" uri="{C3380CC4-5D6E-409C-BE32-E72D297353CC}">
              <c16:uniqueId val="{00000003-12BC-4B09-B44F-D2505FC15B6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noMultiLvlLbl val="1"/>
      </c:catAx>
      <c:valAx>
        <c:axId val="100"/>
        <c:scaling>
          <c:orientation val="minMax"/>
          <c:min val="400"/>
        </c:scaling>
        <c:delete val="0"/>
        <c:axPos val="l"/>
        <c:majorGridlines>
          <c:spPr>
            <a:ln>
              <a:solidFill>
                <a:srgbClr val="ECEDEF"/>
              </a:solidFill>
              <a:prstDash val="solid"/>
            </a:ln>
          </c:spPr>
        </c:majorGridlines>
        <c:title>
          <c:tx>
            <c:rich>
              <a:bodyPr/>
              <a:lstStyle/>
              <a:p>
                <a:pPr>
                  <a:defRPr/>
                </a:pPr>
                <a:r>
                  <a:rPr lang="en-US"/>
                  <a:t>долл./т</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35</xdr:row>
      <xdr:rowOff>0</xdr:rowOff>
    </xdr:from>
    <xdr:ext cx="6263999" cy="252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F3136"/>
    <pageSetUpPr fitToPage="1"/>
  </sheetPr>
  <dimension ref="A1:D71"/>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26.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70" t="s">
        <v>20</v>
      </c>
      <c r="C16" s="69"/>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26.25"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x14ac:dyDescent="0.45">
      <c r="B59" s="9" t="s">
        <v>70</v>
      </c>
      <c r="C59" s="10" t="s">
        <v>71</v>
      </c>
    </row>
    <row r="60" spans="2:3" x14ac:dyDescent="0.45">
      <c r="B60" s="9" t="s">
        <v>72</v>
      </c>
      <c r="C60" s="10" t="s">
        <v>73</v>
      </c>
    </row>
    <row r="61" spans="2:3" ht="12" customHeight="1" x14ac:dyDescent="0.45"/>
    <row r="62" spans="2:3" ht="22.05" customHeight="1" x14ac:dyDescent="0.5">
      <c r="B62" s="7" t="s">
        <v>74</v>
      </c>
      <c r="C62" s="8"/>
    </row>
    <row r="63" spans="2:3" x14ac:dyDescent="0.45">
      <c r="B63" s="20" t="s">
        <v>75</v>
      </c>
      <c r="C63" s="10" t="s">
        <v>76</v>
      </c>
    </row>
    <row r="64" spans="2:3" x14ac:dyDescent="0.45">
      <c r="B64" s="20" t="s">
        <v>77</v>
      </c>
      <c r="C64" s="10" t="s">
        <v>78</v>
      </c>
    </row>
    <row r="65" spans="2:3" ht="39.4" x14ac:dyDescent="0.45">
      <c r="B65" s="20" t="s">
        <v>79</v>
      </c>
      <c r="C65" s="10" t="s">
        <v>80</v>
      </c>
    </row>
    <row r="66" spans="2:3" ht="12" customHeight="1" x14ac:dyDescent="0.45"/>
    <row r="67" spans="2:3" ht="22.05" customHeight="1" x14ac:dyDescent="0.5">
      <c r="B67" s="7" t="s">
        <v>81</v>
      </c>
      <c r="C67" s="8"/>
    </row>
    <row r="68" spans="2:3" x14ac:dyDescent="0.45">
      <c r="B68" s="9" t="s">
        <v>59</v>
      </c>
      <c r="C68" s="10" t="s">
        <v>82</v>
      </c>
    </row>
    <row r="69" spans="2:3" x14ac:dyDescent="0.45">
      <c r="B69" s="9" t="s">
        <v>83</v>
      </c>
      <c r="C69" s="10" t="s">
        <v>84</v>
      </c>
    </row>
    <row r="70" spans="2:3" ht="16.05" customHeight="1" x14ac:dyDescent="0.45"/>
    <row r="71" spans="2:3" x14ac:dyDescent="0.45">
      <c r="B71" s="68" t="s">
        <v>85</v>
      </c>
      <c r="C71" s="69"/>
    </row>
  </sheetData>
  <mergeCells count="2">
    <mergeCell ref="B71:C71"/>
    <mergeCell ref="B16:C16"/>
  </mergeCells>
  <hyperlinks>
    <hyperlink ref="D4" location="'Исходные данные'!A1" display="Далее:  Исходные данные  ▸" xr:uid="{00000000-0004-0000-0000-000000000000}"/>
    <hyperlink ref="B39" location="'Исходные данные'!A1" display="Исходные данные" xr:uid="{00000000-0004-0000-0000-000001000000}"/>
    <hyperlink ref="B40" location="'Закупки'!A1" display="Закупки" xr:uid="{00000000-0004-0000-0000-000002000000}"/>
    <hyperlink ref="B41" location="'Результаты'!A1" display="Результаты"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46"/>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86</v>
      </c>
      <c r="C3" s="1"/>
      <c r="D3" s="1"/>
      <c r="E3" s="1"/>
      <c r="F3" s="1"/>
      <c r="G3" s="1"/>
      <c r="H3" s="1"/>
      <c r="I3" s="1"/>
      <c r="J3" s="1"/>
    </row>
    <row r="4" spans="1:10" ht="20" customHeight="1" x14ac:dyDescent="0.45">
      <c r="A4" s="5"/>
      <c r="B4" s="22" t="s">
        <v>87</v>
      </c>
      <c r="C4" s="5"/>
      <c r="D4" s="5"/>
      <c r="E4" s="5"/>
      <c r="F4" s="5"/>
      <c r="G4" s="5"/>
      <c r="H4" s="5"/>
      <c r="I4" s="5"/>
      <c r="J4" s="6" t="s">
        <v>88</v>
      </c>
    </row>
    <row r="5" spans="1:10" ht="8" customHeight="1" x14ac:dyDescent="0.45"/>
    <row r="6" spans="1:10" ht="20" customHeight="1" x14ac:dyDescent="0.45">
      <c r="B6" s="71" t="s">
        <v>89</v>
      </c>
      <c r="C6" s="69"/>
      <c r="D6" s="69"/>
      <c r="E6" s="69"/>
      <c r="F6" s="69"/>
      <c r="G6" s="69"/>
      <c r="H6" s="69"/>
      <c r="I6" s="69"/>
      <c r="J6" s="69"/>
    </row>
    <row r="7" spans="1:10" ht="6" customHeight="1" x14ac:dyDescent="0.45"/>
    <row r="8" spans="1:10" ht="22.05" customHeight="1" x14ac:dyDescent="0.5">
      <c r="B8" s="7" t="s">
        <v>90</v>
      </c>
      <c r="C8" s="8"/>
      <c r="D8" s="8"/>
      <c r="E8" s="8"/>
      <c r="F8" s="8"/>
      <c r="G8" s="8"/>
      <c r="H8" s="8"/>
      <c r="I8" s="8"/>
      <c r="J8" s="8"/>
    </row>
    <row r="9" spans="1:10" ht="18" customHeight="1" x14ac:dyDescent="0.45">
      <c r="B9" s="13" t="s">
        <v>91</v>
      </c>
    </row>
    <row r="10" spans="1:10" ht="18" customHeight="1" x14ac:dyDescent="0.45">
      <c r="B10" s="23" t="s">
        <v>92</v>
      </c>
      <c r="C10" s="23" t="s">
        <v>93</v>
      </c>
      <c r="D10" s="24" t="s">
        <v>94</v>
      </c>
      <c r="E10" s="23" t="s">
        <v>95</v>
      </c>
      <c r="F10" s="5"/>
      <c r="G10" s="5"/>
      <c r="H10" s="5"/>
      <c r="I10" s="5"/>
      <c r="J10" s="23" t="s">
        <v>96</v>
      </c>
    </row>
    <row r="11" spans="1:10" x14ac:dyDescent="0.45">
      <c r="B11" s="25" t="s">
        <v>97</v>
      </c>
      <c r="C11" s="26" t="s">
        <v>98</v>
      </c>
      <c r="D11" s="27">
        <v>12000</v>
      </c>
      <c r="E11" s="26" t="s">
        <v>99</v>
      </c>
      <c r="F11" s="28"/>
      <c r="G11" s="28"/>
      <c r="H11" s="28"/>
      <c r="I11" s="28"/>
      <c r="J11" s="29" t="s">
        <v>100</v>
      </c>
    </row>
    <row r="12" spans="1:10" x14ac:dyDescent="0.45">
      <c r="B12" s="25" t="s">
        <v>101</v>
      </c>
      <c r="C12" s="26" t="s">
        <v>102</v>
      </c>
      <c r="D12" s="30">
        <v>4</v>
      </c>
      <c r="E12" s="26" t="s">
        <v>99</v>
      </c>
      <c r="F12" s="28"/>
      <c r="G12" s="28"/>
      <c r="H12" s="28"/>
      <c r="I12" s="28"/>
      <c r="J12" s="29" t="s">
        <v>103</v>
      </c>
    </row>
    <row r="13" spans="1:10" x14ac:dyDescent="0.45">
      <c r="B13" s="25" t="s">
        <v>104</v>
      </c>
      <c r="C13" s="26" t="s">
        <v>102</v>
      </c>
      <c r="D13" s="30">
        <v>12</v>
      </c>
      <c r="E13" s="26" t="s">
        <v>99</v>
      </c>
      <c r="F13" s="28"/>
      <c r="G13" s="28"/>
      <c r="H13" s="28"/>
      <c r="I13" s="28"/>
      <c r="J13" s="29"/>
    </row>
    <row r="14" spans="1:10" x14ac:dyDescent="0.45">
      <c r="B14" s="25" t="s">
        <v>105</v>
      </c>
      <c r="C14" s="26" t="s">
        <v>106</v>
      </c>
      <c r="D14" s="27">
        <v>40000</v>
      </c>
      <c r="E14" s="26" t="s">
        <v>99</v>
      </c>
      <c r="F14" s="28"/>
      <c r="G14" s="28"/>
      <c r="H14" s="28"/>
      <c r="I14" s="28"/>
      <c r="J14" s="29" t="s">
        <v>107</v>
      </c>
    </row>
    <row r="15" spans="1:10" x14ac:dyDescent="0.45">
      <c r="B15" s="25" t="s">
        <v>108</v>
      </c>
      <c r="C15" s="26" t="s">
        <v>102</v>
      </c>
      <c r="D15" s="30">
        <v>2</v>
      </c>
      <c r="E15" s="26" t="s">
        <v>99</v>
      </c>
      <c r="F15" s="28"/>
      <c r="G15" s="28"/>
      <c r="H15" s="28"/>
      <c r="I15" s="28"/>
      <c r="J15" s="29"/>
    </row>
    <row r="16" spans="1:10" x14ac:dyDescent="0.45">
      <c r="B16" s="25" t="s">
        <v>109</v>
      </c>
      <c r="C16" s="26" t="s">
        <v>102</v>
      </c>
      <c r="D16" s="30">
        <v>17</v>
      </c>
      <c r="E16" s="26" t="s">
        <v>99</v>
      </c>
      <c r="F16" s="28"/>
      <c r="G16" s="28"/>
      <c r="H16" s="28"/>
      <c r="I16" s="28"/>
      <c r="J16" s="29"/>
    </row>
    <row r="17" spans="2:10" ht="8" customHeight="1" x14ac:dyDescent="0.45"/>
    <row r="18" spans="2:10" ht="22.05" customHeight="1" x14ac:dyDescent="0.5">
      <c r="B18" s="7" t="s">
        <v>110</v>
      </c>
      <c r="C18" s="8"/>
      <c r="D18" s="8"/>
      <c r="E18" s="8"/>
      <c r="F18" s="8"/>
      <c r="G18" s="8"/>
      <c r="H18" s="8"/>
      <c r="I18" s="8"/>
      <c r="J18" s="8"/>
    </row>
    <row r="19" spans="2:10" ht="18" customHeight="1" x14ac:dyDescent="0.45">
      <c r="B19" s="13" t="s">
        <v>111</v>
      </c>
    </row>
    <row r="20" spans="2:10" ht="18" customHeight="1" x14ac:dyDescent="0.45">
      <c r="B20" s="23" t="s">
        <v>92</v>
      </c>
      <c r="C20" s="23" t="s">
        <v>93</v>
      </c>
      <c r="D20" s="24" t="s">
        <v>94</v>
      </c>
      <c r="E20" s="23" t="s">
        <v>95</v>
      </c>
      <c r="F20" s="5"/>
      <c r="G20" s="5"/>
      <c r="H20" s="5"/>
      <c r="I20" s="5"/>
      <c r="J20" s="23" t="s">
        <v>96</v>
      </c>
    </row>
    <row r="21" spans="2:10" x14ac:dyDescent="0.45">
      <c r="B21" s="25" t="s">
        <v>112</v>
      </c>
      <c r="C21" s="26" t="s">
        <v>113</v>
      </c>
      <c r="D21" s="27">
        <v>850</v>
      </c>
      <c r="E21" s="26" t="s">
        <v>99</v>
      </c>
      <c r="F21" s="28"/>
      <c r="G21" s="28"/>
      <c r="H21" s="28"/>
      <c r="I21" s="28"/>
      <c r="J21" s="29" t="s">
        <v>114</v>
      </c>
    </row>
    <row r="22" spans="2:10" x14ac:dyDescent="0.45">
      <c r="B22" s="25" t="s">
        <v>115</v>
      </c>
      <c r="C22" s="26" t="s">
        <v>116</v>
      </c>
      <c r="D22" s="31">
        <v>0.04</v>
      </c>
      <c r="E22" s="26" t="s">
        <v>99</v>
      </c>
      <c r="F22" s="28"/>
      <c r="G22" s="28"/>
      <c r="H22" s="28"/>
      <c r="I22" s="28"/>
      <c r="J22" s="29" t="s">
        <v>117</v>
      </c>
    </row>
    <row r="23" spans="2:10" x14ac:dyDescent="0.45">
      <c r="B23" s="25" t="s">
        <v>118</v>
      </c>
      <c r="C23" s="26" t="s">
        <v>116</v>
      </c>
      <c r="D23" s="32">
        <v>0.25</v>
      </c>
      <c r="E23" s="26" t="s">
        <v>99</v>
      </c>
      <c r="F23" s="28"/>
      <c r="G23" s="28"/>
      <c r="H23" s="28"/>
      <c r="I23" s="28"/>
      <c r="J23" s="29" t="s">
        <v>119</v>
      </c>
    </row>
    <row r="24" spans="2:10" ht="8" customHeight="1" x14ac:dyDescent="0.45"/>
    <row r="25" spans="2:10" ht="22.05" customHeight="1" x14ac:dyDescent="0.5">
      <c r="B25" s="7" t="s">
        <v>120</v>
      </c>
      <c r="C25" s="8"/>
      <c r="D25" s="8"/>
      <c r="E25" s="8"/>
      <c r="F25" s="8"/>
      <c r="G25" s="8"/>
      <c r="H25" s="8"/>
      <c r="I25" s="8"/>
      <c r="J25" s="8"/>
    </row>
    <row r="26" spans="2:10" ht="18" customHeight="1" x14ac:dyDescent="0.45">
      <c r="B26" s="13" t="s">
        <v>121</v>
      </c>
    </row>
    <row r="27" spans="2:10" ht="18" customHeight="1" x14ac:dyDescent="0.45">
      <c r="B27" s="23" t="s">
        <v>92</v>
      </c>
      <c r="C27" s="23" t="s">
        <v>93</v>
      </c>
      <c r="D27" s="24" t="s">
        <v>94</v>
      </c>
      <c r="E27" s="23" t="s">
        <v>95</v>
      </c>
      <c r="F27" s="5"/>
      <c r="G27" s="5"/>
      <c r="H27" s="5"/>
      <c r="I27" s="5"/>
      <c r="J27" s="23" t="s">
        <v>96</v>
      </c>
    </row>
    <row r="28" spans="2:10" x14ac:dyDescent="0.45">
      <c r="B28" s="25" t="s">
        <v>122</v>
      </c>
      <c r="C28" s="26" t="s">
        <v>123</v>
      </c>
      <c r="D28" s="27">
        <v>120</v>
      </c>
      <c r="E28" s="26" t="s">
        <v>99</v>
      </c>
      <c r="F28" s="28"/>
      <c r="G28" s="28"/>
      <c r="H28" s="28"/>
      <c r="I28" s="28"/>
      <c r="J28" s="29" t="s">
        <v>124</v>
      </c>
    </row>
    <row r="29" spans="2:10" x14ac:dyDescent="0.45">
      <c r="B29" s="25" t="s">
        <v>115</v>
      </c>
      <c r="C29" s="26" t="s">
        <v>116</v>
      </c>
      <c r="D29" s="31">
        <v>0.05</v>
      </c>
      <c r="E29" s="26" t="s">
        <v>99</v>
      </c>
      <c r="F29" s="28"/>
      <c r="G29" s="28"/>
      <c r="H29" s="28"/>
      <c r="I29" s="28"/>
      <c r="J29" s="29" t="s">
        <v>125</v>
      </c>
    </row>
    <row r="30" spans="2:10" x14ac:dyDescent="0.45">
      <c r="B30" s="25" t="s">
        <v>118</v>
      </c>
      <c r="C30" s="26" t="s">
        <v>116</v>
      </c>
      <c r="D30" s="32">
        <v>0.06</v>
      </c>
      <c r="E30" s="26" t="s">
        <v>99</v>
      </c>
      <c r="F30" s="28"/>
      <c r="G30" s="28"/>
      <c r="H30" s="28"/>
      <c r="I30" s="28"/>
      <c r="J30" s="29"/>
    </row>
    <row r="31" spans="2:10" ht="8" customHeight="1" x14ac:dyDescent="0.45"/>
    <row r="32" spans="2:10" ht="22.05" customHeight="1" x14ac:dyDescent="0.5">
      <c r="B32" s="7" t="s">
        <v>126</v>
      </c>
      <c r="C32" s="8"/>
      <c r="D32" s="8"/>
      <c r="E32" s="8"/>
      <c r="F32" s="8"/>
      <c r="G32" s="8"/>
      <c r="H32" s="8"/>
      <c r="I32" s="8"/>
      <c r="J32" s="8"/>
    </row>
    <row r="33" spans="2:10" ht="18" customHeight="1" x14ac:dyDescent="0.45">
      <c r="B33" s="13" t="s">
        <v>127</v>
      </c>
    </row>
    <row r="34" spans="2:10" ht="18" customHeight="1" x14ac:dyDescent="0.45">
      <c r="B34" s="23" t="s">
        <v>92</v>
      </c>
      <c r="C34" s="23" t="s">
        <v>93</v>
      </c>
      <c r="D34" s="24" t="s">
        <v>94</v>
      </c>
      <c r="E34" s="23" t="s">
        <v>95</v>
      </c>
      <c r="F34" s="5"/>
      <c r="G34" s="5"/>
      <c r="H34" s="5"/>
      <c r="I34" s="5"/>
      <c r="J34" s="23" t="s">
        <v>96</v>
      </c>
    </row>
    <row r="35" spans="2:10" x14ac:dyDescent="0.45">
      <c r="B35" s="25" t="s">
        <v>128</v>
      </c>
      <c r="C35" s="26" t="s">
        <v>113</v>
      </c>
      <c r="D35" s="27">
        <v>890</v>
      </c>
      <c r="E35" s="26" t="s">
        <v>99</v>
      </c>
      <c r="F35" s="28"/>
      <c r="G35" s="28"/>
      <c r="H35" s="28"/>
      <c r="I35" s="28"/>
      <c r="J35" s="29" t="s">
        <v>129</v>
      </c>
    </row>
    <row r="36" spans="2:10" x14ac:dyDescent="0.45">
      <c r="B36" s="25" t="s">
        <v>130</v>
      </c>
      <c r="C36" s="26"/>
      <c r="D36" s="32">
        <v>0.5</v>
      </c>
      <c r="E36" s="26" t="s">
        <v>99</v>
      </c>
      <c r="F36" s="28"/>
      <c r="G36" s="28"/>
      <c r="H36" s="28"/>
      <c r="I36" s="28"/>
      <c r="J36" s="29" t="s">
        <v>131</v>
      </c>
    </row>
    <row r="37" spans="2:10" x14ac:dyDescent="0.45">
      <c r="B37" s="25" t="s">
        <v>63</v>
      </c>
      <c r="C37" s="26" t="s">
        <v>113</v>
      </c>
      <c r="D37" s="27">
        <v>950</v>
      </c>
      <c r="E37" s="26" t="s">
        <v>99</v>
      </c>
      <c r="F37" s="28"/>
      <c r="G37" s="28"/>
      <c r="H37" s="28"/>
      <c r="I37" s="28"/>
      <c r="J37" s="29" t="s">
        <v>132</v>
      </c>
    </row>
    <row r="38" spans="2:10" x14ac:dyDescent="0.45">
      <c r="B38" s="25" t="s">
        <v>133</v>
      </c>
      <c r="C38" s="26" t="s">
        <v>113</v>
      </c>
      <c r="D38" s="27">
        <v>45</v>
      </c>
      <c r="E38" s="26" t="s">
        <v>99</v>
      </c>
      <c r="F38" s="28"/>
      <c r="G38" s="28"/>
      <c r="H38" s="28"/>
      <c r="I38" s="28"/>
      <c r="J38" s="29" t="s">
        <v>134</v>
      </c>
    </row>
    <row r="39" spans="2:10" ht="8" customHeight="1" x14ac:dyDescent="0.45"/>
    <row r="40" spans="2:10" ht="22.05" customHeight="1" x14ac:dyDescent="0.5">
      <c r="B40" s="7" t="s">
        <v>135</v>
      </c>
      <c r="C40" s="8"/>
      <c r="D40" s="8"/>
      <c r="E40" s="8"/>
      <c r="F40" s="8"/>
      <c r="G40" s="8"/>
      <c r="H40" s="8"/>
      <c r="I40" s="8"/>
      <c r="J40" s="8"/>
    </row>
    <row r="41" spans="2:10" ht="18" customHeight="1" x14ac:dyDescent="0.45">
      <c r="B41" s="13" t="s">
        <v>136</v>
      </c>
    </row>
    <row r="42" spans="2:10" ht="18" customHeight="1" x14ac:dyDescent="0.45">
      <c r="B42" s="23" t="s">
        <v>92</v>
      </c>
      <c r="C42" s="23" t="s">
        <v>93</v>
      </c>
      <c r="D42" s="24" t="s">
        <v>94</v>
      </c>
      <c r="E42" s="23" t="s">
        <v>95</v>
      </c>
      <c r="F42" s="5"/>
      <c r="G42" s="5"/>
      <c r="H42" s="5"/>
      <c r="I42" s="5"/>
      <c r="J42" s="23" t="s">
        <v>96</v>
      </c>
    </row>
    <row r="43" spans="2:10" x14ac:dyDescent="0.45">
      <c r="B43" s="25" t="s">
        <v>137</v>
      </c>
      <c r="C43" s="26" t="s">
        <v>113</v>
      </c>
      <c r="D43" s="27">
        <v>900</v>
      </c>
      <c r="E43" s="26" t="s">
        <v>99</v>
      </c>
      <c r="F43" s="28"/>
      <c r="G43" s="28"/>
      <c r="H43" s="28"/>
      <c r="I43" s="28"/>
      <c r="J43" s="29"/>
    </row>
    <row r="44" spans="2:10" x14ac:dyDescent="0.45">
      <c r="B44" s="25" t="s">
        <v>138</v>
      </c>
      <c r="C44" s="26"/>
      <c r="D44" s="31">
        <v>0.03</v>
      </c>
      <c r="E44" s="26" t="s">
        <v>99</v>
      </c>
      <c r="F44" s="28"/>
      <c r="G44" s="28"/>
      <c r="H44" s="28"/>
      <c r="I44" s="28"/>
      <c r="J44" s="29" t="s">
        <v>139</v>
      </c>
    </row>
    <row r="45" spans="2:10" x14ac:dyDescent="0.45">
      <c r="B45" s="25" t="s">
        <v>140</v>
      </c>
      <c r="C45" s="26" t="s">
        <v>123</v>
      </c>
      <c r="D45" s="33">
        <f>ConcNow*(1+ConcAllowEsc)</f>
        <v>123.60000000000001</v>
      </c>
      <c r="E45" s="26" t="s">
        <v>141</v>
      </c>
      <c r="F45" s="28"/>
      <c r="G45" s="28"/>
      <c r="H45" s="28"/>
      <c r="I45" s="28"/>
      <c r="J45" s="29" t="s">
        <v>142</v>
      </c>
    </row>
    <row r="46" spans="2:10" ht="8" customHeight="1" x14ac:dyDescent="0.45"/>
  </sheetData>
  <mergeCells count="1">
    <mergeCell ref="B6:J6"/>
  </mergeCells>
  <dataValidations count="4">
    <dataValidation type="decimal" operator="greaterThan" showErrorMessage="1" errorTitle="Положительное значение" error="Введите значение больше нуля." sqref="D11 D43 D37 D35 D30 D28 D23 D21 D14" xr:uid="{00000000-0002-0000-0100-000000000000}">
      <formula1>0</formula1>
    </dataValidation>
    <dataValidation type="whole" showErrorMessage="1" errorTitle="Целое число" error="Введите целое число." sqref="D15:D16 D12:D13" xr:uid="{00000000-0002-0000-0100-000001000000}">
      <formula1>0</formula1>
      <formula2>1000000</formula2>
    </dataValidation>
    <dataValidation type="decimal" showErrorMessage="1" errorTitle="Значение" error="Введите значение не меньше нуля." sqref="D22 D44 D38 D29" xr:uid="{00000000-0002-0000-0100-000007000000}">
      <formula1>0</formula1>
      <formula2>1000000000000</formula2>
    </dataValidation>
    <dataValidation type="decimal" showErrorMessage="1" errorTitle="Вероятность" error="Введите значение от 0% до 100%." sqref="D36" xr:uid="{00000000-0002-0000-0100-00000D000000}">
      <formula1>0</formula1>
      <formula2>1</formula2>
    </dataValidation>
  </dataValidations>
  <hyperlinks>
    <hyperlink ref="B4" location="'Описание'!A1" display="◂  Описание" xr:uid="{00000000-0004-0000-0100-000000000000}"/>
    <hyperlink ref="J4" location="'Закупки'!A1" display="Далее:  Закупки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W55"/>
  <sheetViews>
    <sheetView showGridLines="0" workbookViewId="0">
      <pane xSplit="5" ySplit="7" topLeftCell="F8" activePane="bottomRight" state="frozen"/>
      <selection pane="topRight"/>
      <selection pane="bottomLeft"/>
      <selection pane="bottomRight"/>
    </sheetView>
  </sheetViews>
  <sheetFormatPr defaultRowHeight="14.25" x14ac:dyDescent="0.45"/>
  <cols>
    <col min="1" max="1" width="2" customWidth="1"/>
    <col min="2" max="2" width="44" customWidth="1"/>
    <col min="3" max="3" width="10" customWidth="1"/>
    <col min="4" max="4" width="11" customWidth="1"/>
    <col min="5" max="5" width="5" customWidth="1"/>
    <col min="6" max="23" width="7.19921875" customWidth="1"/>
  </cols>
  <sheetData>
    <row r="1" spans="1:23" ht="6" customHeight="1" x14ac:dyDescent="0.45"/>
    <row r="2" spans="1:23" ht="30" customHeight="1" x14ac:dyDescent="0.45">
      <c r="A2" s="1"/>
      <c r="B2" s="21" t="s">
        <v>0</v>
      </c>
      <c r="C2" s="1"/>
      <c r="D2" s="1"/>
      <c r="E2" s="1"/>
      <c r="F2" s="1"/>
      <c r="G2" s="1"/>
      <c r="H2" s="1"/>
      <c r="I2" s="1"/>
      <c r="J2" s="1"/>
      <c r="K2" s="1"/>
      <c r="L2" s="1"/>
      <c r="M2" s="1"/>
      <c r="N2" s="1"/>
      <c r="O2" s="1"/>
      <c r="P2" s="1"/>
      <c r="Q2" s="1"/>
      <c r="R2" s="1"/>
      <c r="S2" s="1"/>
      <c r="T2" s="1"/>
      <c r="U2" s="1"/>
      <c r="V2" s="1"/>
      <c r="W2" s="3" t="s">
        <v>1</v>
      </c>
    </row>
    <row r="3" spans="1:23" ht="20" customHeight="1" x14ac:dyDescent="0.45">
      <c r="A3" s="1"/>
      <c r="B3" s="4" t="s">
        <v>143</v>
      </c>
      <c r="C3" s="1"/>
      <c r="D3" s="1"/>
      <c r="E3" s="1"/>
      <c r="F3" s="1"/>
      <c r="G3" s="1"/>
      <c r="H3" s="1"/>
      <c r="I3" s="1"/>
      <c r="J3" s="1"/>
      <c r="K3" s="1"/>
      <c r="L3" s="1"/>
      <c r="M3" s="1"/>
      <c r="N3" s="1"/>
      <c r="O3" s="1"/>
      <c r="P3" s="1"/>
      <c r="Q3" s="1"/>
      <c r="R3" s="1"/>
      <c r="S3" s="1"/>
      <c r="T3" s="1"/>
      <c r="U3" s="1"/>
      <c r="V3" s="1"/>
      <c r="W3" s="1"/>
    </row>
    <row r="4" spans="1:23" ht="20" customHeight="1" x14ac:dyDescent="0.45">
      <c r="A4" s="5"/>
      <c r="B4" s="22" t="s">
        <v>144</v>
      </c>
      <c r="C4" s="5"/>
      <c r="D4" s="5"/>
      <c r="E4" s="5"/>
      <c r="F4" s="5"/>
      <c r="G4" s="5"/>
      <c r="H4" s="5"/>
      <c r="I4" s="5"/>
      <c r="J4" s="5"/>
      <c r="K4" s="5"/>
      <c r="L4" s="5"/>
      <c r="M4" s="5"/>
      <c r="N4" s="5"/>
      <c r="O4" s="5"/>
      <c r="P4" s="5"/>
      <c r="Q4" s="5"/>
      <c r="R4" s="5"/>
      <c r="S4" s="5"/>
      <c r="T4" s="5"/>
      <c r="U4" s="5"/>
      <c r="V4" s="5"/>
      <c r="W4" s="6" t="s">
        <v>145</v>
      </c>
    </row>
    <row r="5" spans="1:23" ht="8" customHeight="1" x14ac:dyDescent="0.45"/>
    <row r="6" spans="1:23" ht="16.05" customHeight="1" x14ac:dyDescent="0.45">
      <c r="B6" s="34" t="s">
        <v>146</v>
      </c>
      <c r="C6" s="35"/>
      <c r="D6" s="36" t="s">
        <v>147</v>
      </c>
      <c r="E6" s="37" t="s">
        <v>148</v>
      </c>
      <c r="F6" s="38">
        <v>1</v>
      </c>
      <c r="G6" s="38">
        <f t="shared" ref="G6:W6" si="0">F6+1</f>
        <v>2</v>
      </c>
      <c r="H6" s="38">
        <f t="shared" si="0"/>
        <v>3</v>
      </c>
      <c r="I6" s="38">
        <f t="shared" si="0"/>
        <v>4</v>
      </c>
      <c r="J6" s="38">
        <f t="shared" si="0"/>
        <v>5</v>
      </c>
      <c r="K6" s="38">
        <f t="shared" si="0"/>
        <v>6</v>
      </c>
      <c r="L6" s="38">
        <f t="shared" si="0"/>
        <v>7</v>
      </c>
      <c r="M6" s="38">
        <f t="shared" si="0"/>
        <v>8</v>
      </c>
      <c r="N6" s="38">
        <f t="shared" si="0"/>
        <v>9</v>
      </c>
      <c r="O6" s="38">
        <f t="shared" si="0"/>
        <v>10</v>
      </c>
      <c r="P6" s="38">
        <f t="shared" si="0"/>
        <v>11</v>
      </c>
      <c r="Q6" s="38">
        <f t="shared" si="0"/>
        <v>12</v>
      </c>
      <c r="R6" s="38">
        <f t="shared" si="0"/>
        <v>13</v>
      </c>
      <c r="S6" s="38">
        <f t="shared" si="0"/>
        <v>14</v>
      </c>
      <c r="T6" s="38">
        <f t="shared" si="0"/>
        <v>15</v>
      </c>
      <c r="U6" s="38">
        <f t="shared" si="0"/>
        <v>16</v>
      </c>
      <c r="V6" s="38">
        <f t="shared" si="0"/>
        <v>17</v>
      </c>
      <c r="W6" s="38">
        <f t="shared" si="0"/>
        <v>18</v>
      </c>
    </row>
    <row r="7" spans="1:23" ht="16.05" customHeight="1" x14ac:dyDescent="0.45">
      <c r="B7" s="5"/>
      <c r="C7" s="5"/>
      <c r="D7" s="5"/>
      <c r="E7" s="5"/>
      <c r="F7" s="5"/>
      <c r="G7" s="5"/>
      <c r="H7" s="5"/>
      <c r="I7" s="5"/>
      <c r="J7" s="5"/>
      <c r="K7" s="5"/>
      <c r="L7" s="5"/>
      <c r="M7" s="5"/>
      <c r="N7" s="5"/>
      <c r="O7" s="5"/>
      <c r="P7" s="5"/>
      <c r="Q7" s="5"/>
      <c r="R7" s="5"/>
      <c r="S7" s="5"/>
      <c r="T7" s="5"/>
      <c r="U7" s="5"/>
      <c r="V7" s="5"/>
      <c r="W7" s="5"/>
    </row>
    <row r="8" spans="1:23" ht="6" customHeight="1" x14ac:dyDescent="0.45"/>
    <row r="9" spans="1:23" ht="22.05" customHeight="1" x14ac:dyDescent="0.5">
      <c r="B9" s="7" t="s">
        <v>149</v>
      </c>
      <c r="C9" s="8"/>
      <c r="D9" s="8"/>
      <c r="E9" s="8"/>
      <c r="F9" s="8"/>
      <c r="G9" s="8"/>
      <c r="H9" s="8"/>
      <c r="I9" s="8"/>
      <c r="J9" s="8"/>
      <c r="K9" s="8"/>
      <c r="L9" s="8"/>
      <c r="M9" s="8"/>
      <c r="N9" s="8"/>
      <c r="O9" s="8"/>
      <c r="P9" s="8"/>
      <c r="Q9" s="8"/>
      <c r="R9" s="8"/>
      <c r="S9" s="8"/>
      <c r="T9" s="8"/>
      <c r="U9" s="8"/>
      <c r="V9" s="8"/>
      <c r="W9" s="8"/>
    </row>
    <row r="10" spans="1:23" ht="18" customHeight="1" x14ac:dyDescent="0.45">
      <c r="B10" s="13" t="s">
        <v>150</v>
      </c>
    </row>
    <row r="11" spans="1:23" ht="18" customHeight="1" x14ac:dyDescent="0.45">
      <c r="B11" s="39" t="s">
        <v>151</v>
      </c>
      <c r="C11" s="39" t="s">
        <v>93</v>
      </c>
      <c r="D11" s="40" t="s">
        <v>152</v>
      </c>
      <c r="E11" s="5"/>
      <c r="F11" s="39" t="s">
        <v>153</v>
      </c>
      <c r="G11" s="5"/>
      <c r="H11" s="5"/>
      <c r="I11" s="5"/>
      <c r="J11" s="5"/>
      <c r="K11" s="5"/>
      <c r="L11" s="5"/>
      <c r="M11" s="5"/>
      <c r="N11" s="5"/>
      <c r="O11" s="5"/>
      <c r="P11" s="5"/>
      <c r="Q11" s="5"/>
      <c r="R11" s="5"/>
      <c r="S11" s="5"/>
      <c r="T11" s="5"/>
      <c r="U11" s="5"/>
      <c r="V11" s="5"/>
      <c r="W11" s="5"/>
    </row>
    <row r="12" spans="1:23" x14ac:dyDescent="0.45">
      <c r="B12" s="25" t="s">
        <v>154</v>
      </c>
      <c r="C12" s="26"/>
      <c r="D12" s="41">
        <f>SteelVol/SQRT(12)</f>
        <v>7.216878364870323E-2</v>
      </c>
      <c r="E12" s="28"/>
      <c r="F12" s="26" t="s">
        <v>155</v>
      </c>
      <c r="G12" s="28"/>
      <c r="H12" s="28"/>
      <c r="I12" s="28"/>
      <c r="J12" s="28"/>
      <c r="K12" s="28"/>
      <c r="L12" s="28"/>
      <c r="M12" s="28"/>
      <c r="N12" s="28"/>
      <c r="O12" s="28"/>
      <c r="P12" s="28"/>
      <c r="Q12" s="28"/>
      <c r="R12" s="28"/>
      <c r="S12" s="28"/>
      <c r="T12" s="28"/>
      <c r="U12" s="28"/>
      <c r="V12" s="28"/>
      <c r="W12" s="28"/>
    </row>
    <row r="13" spans="1:23" x14ac:dyDescent="0.45">
      <c r="B13" s="25" t="s">
        <v>156</v>
      </c>
      <c r="C13" s="26"/>
      <c r="D13" s="42">
        <f>LN(1+SteelEsc)/12-0.5*SteelSigma^2</f>
        <v>6.6422609610677658E-4</v>
      </c>
      <c r="E13" s="28"/>
      <c r="F13" s="26" t="s">
        <v>157</v>
      </c>
      <c r="G13" s="28"/>
      <c r="H13" s="28"/>
      <c r="I13" s="28"/>
      <c r="J13" s="28"/>
      <c r="K13" s="28"/>
      <c r="L13" s="28"/>
      <c r="M13" s="28"/>
      <c r="N13" s="28"/>
      <c r="O13" s="28"/>
      <c r="P13" s="28"/>
      <c r="Q13" s="28"/>
      <c r="R13" s="28"/>
      <c r="S13" s="28"/>
      <c r="T13" s="28"/>
      <c r="U13" s="28"/>
      <c r="V13" s="28"/>
      <c r="W13" s="28"/>
    </row>
    <row r="14" spans="1:23" x14ac:dyDescent="0.45">
      <c r="B14" s="25" t="s">
        <v>158</v>
      </c>
      <c r="C14" s="26"/>
      <c r="D14" s="41">
        <f>ConcVol/SQRT(12)</f>
        <v>1.7320508075688773E-2</v>
      </c>
      <c r="E14" s="28"/>
      <c r="F14" s="28"/>
      <c r="G14" s="28"/>
      <c r="H14" s="28"/>
      <c r="I14" s="28"/>
      <c r="J14" s="28"/>
      <c r="K14" s="28"/>
      <c r="L14" s="28"/>
      <c r="M14" s="28"/>
      <c r="N14" s="28"/>
      <c r="O14" s="28"/>
      <c r="P14" s="28"/>
      <c r="Q14" s="28"/>
      <c r="R14" s="28"/>
      <c r="S14" s="28"/>
      <c r="T14" s="28"/>
      <c r="U14" s="28"/>
      <c r="V14" s="28"/>
      <c r="W14" s="28"/>
    </row>
    <row r="15" spans="1:23" x14ac:dyDescent="0.45">
      <c r="B15" s="25" t="s">
        <v>159</v>
      </c>
      <c r="C15" s="26"/>
      <c r="D15" s="42">
        <f>LN(1+ConcEsc)/12-0.5*ConcSigma^2</f>
        <v>3.9158470141193377E-3</v>
      </c>
      <c r="E15" s="28"/>
      <c r="F15" s="28"/>
      <c r="G15" s="28"/>
      <c r="H15" s="28"/>
      <c r="I15" s="28"/>
      <c r="J15" s="28"/>
      <c r="K15" s="28"/>
      <c r="L15" s="28"/>
      <c r="M15" s="28"/>
      <c r="N15" s="28"/>
      <c r="O15" s="28"/>
      <c r="P15" s="28"/>
      <c r="Q15" s="28"/>
      <c r="R15" s="28"/>
      <c r="S15" s="28"/>
      <c r="T15" s="28"/>
      <c r="U15" s="28"/>
      <c r="V15" s="28"/>
      <c r="W15" s="28"/>
    </row>
    <row r="16" spans="1:23" ht="8" customHeight="1" x14ac:dyDescent="0.45"/>
    <row r="17" spans="2:23" ht="22.05" customHeight="1" x14ac:dyDescent="0.5">
      <c r="B17" s="7" t="s">
        <v>160</v>
      </c>
      <c r="C17" s="8"/>
      <c r="D17" s="8"/>
      <c r="E17" s="8"/>
      <c r="F17" s="8"/>
      <c r="G17" s="8"/>
      <c r="H17" s="8"/>
      <c r="I17" s="8"/>
      <c r="J17" s="8"/>
      <c r="K17" s="8"/>
      <c r="L17" s="8"/>
      <c r="M17" s="8"/>
      <c r="N17" s="8"/>
      <c r="O17" s="8"/>
      <c r="P17" s="8"/>
      <c r="Q17" s="8"/>
      <c r="R17" s="8"/>
      <c r="S17" s="8"/>
      <c r="T17" s="8"/>
      <c r="U17" s="8"/>
      <c r="V17" s="8"/>
      <c r="W17" s="8"/>
    </row>
    <row r="18" spans="2:23" ht="18" customHeight="1" x14ac:dyDescent="0.45">
      <c r="B18" s="13" t="s">
        <v>161</v>
      </c>
    </row>
    <row r="19" spans="2:23" x14ac:dyDescent="0.45">
      <c r="B19" s="25" t="s">
        <v>162</v>
      </c>
      <c r="C19" s="26" t="s">
        <v>113</v>
      </c>
      <c r="D19" s="28"/>
      <c r="E19" s="28"/>
      <c r="F19" s="43">
        <f t="array" aca="1" ref="F19:W19" ca="1">_xll.VoseTimeGBM(SteelMu,SteelSigma,SteelNow)</f>
        <v>793.85728694903389</v>
      </c>
      <c r="G19" s="43">
        <f ca="1"/>
        <v>768.69800241610778</v>
      </c>
      <c r="H19" s="43">
        <f ca="1"/>
        <v>767.79715164843151</v>
      </c>
      <c r="I19" s="43">
        <f ca="1"/>
        <v>801.99484811596324</v>
      </c>
      <c r="J19" s="43">
        <f ca="1"/>
        <v>804.72497545642534</v>
      </c>
      <c r="K19" s="43">
        <f ca="1"/>
        <v>824.92767134622875</v>
      </c>
      <c r="L19" s="43">
        <f ca="1"/>
        <v>775.20376192156391</v>
      </c>
      <c r="M19" s="43">
        <f ca="1"/>
        <v>788.75418109666214</v>
      </c>
      <c r="N19" s="43">
        <f ca="1"/>
        <v>782.39527770013183</v>
      </c>
      <c r="O19" s="43">
        <f ca="1"/>
        <v>861.25025500794527</v>
      </c>
      <c r="P19" s="43">
        <f ca="1"/>
        <v>925.64337876614979</v>
      </c>
      <c r="Q19" s="43">
        <f ca="1"/>
        <v>850.43550891821678</v>
      </c>
      <c r="R19" s="43">
        <f ca="1"/>
        <v>837.39133356670095</v>
      </c>
      <c r="S19" s="43">
        <f ca="1"/>
        <v>827.68226925938791</v>
      </c>
      <c r="T19" s="43">
        <f ca="1"/>
        <v>898.04521521715378</v>
      </c>
      <c r="U19" s="43">
        <f ca="1"/>
        <v>903.96551272813235</v>
      </c>
      <c r="V19" s="43">
        <f ca="1"/>
        <v>879.93107543944745</v>
      </c>
      <c r="W19" s="43">
        <f ca="1"/>
        <v>785.61646237047387</v>
      </c>
    </row>
    <row r="20" spans="2:23" x14ac:dyDescent="0.45">
      <c r="B20" s="25" t="s">
        <v>163</v>
      </c>
      <c r="C20" s="26" t="s">
        <v>123</v>
      </c>
      <c r="D20" s="28"/>
      <c r="E20" s="28"/>
      <c r="F20" s="44">
        <f t="array" aca="1" ref="F20:W20" ca="1">_xll.VoseTimeGBM(ConcMu,ConcSigma,ConcNow)</f>
        <v>124.14386761428464</v>
      </c>
      <c r="G20" s="44">
        <f ca="1"/>
        <v>124.82336671062703</v>
      </c>
      <c r="H20" s="44">
        <f ca="1"/>
        <v>123.74055056553586</v>
      </c>
      <c r="I20" s="44">
        <f ca="1"/>
        <v>124.30577811443567</v>
      </c>
      <c r="J20" s="44">
        <f ca="1"/>
        <v>126.04892324741225</v>
      </c>
      <c r="K20" s="44">
        <f ca="1"/>
        <v>124.42307220862926</v>
      </c>
      <c r="L20" s="44">
        <f ca="1"/>
        <v>122.67203919245679</v>
      </c>
      <c r="M20" s="44">
        <f ca="1"/>
        <v>121.08220350747597</v>
      </c>
      <c r="N20" s="44">
        <f ca="1"/>
        <v>122.94813063850616</v>
      </c>
      <c r="O20" s="44">
        <f ca="1"/>
        <v>123.44196639827962</v>
      </c>
      <c r="P20" s="44">
        <f ca="1"/>
        <v>123.98026183186967</v>
      </c>
      <c r="Q20" s="44">
        <f ca="1"/>
        <v>125.29224218748834</v>
      </c>
      <c r="R20" s="44">
        <f ca="1"/>
        <v>129.59158690523816</v>
      </c>
      <c r="S20" s="44">
        <f ca="1"/>
        <v>132.65265896456964</v>
      </c>
      <c r="T20" s="44">
        <f ca="1"/>
        <v>132.56989751500171</v>
      </c>
      <c r="U20" s="44">
        <f ca="1"/>
        <v>127.70961437052841</v>
      </c>
      <c r="V20" s="44">
        <f ca="1"/>
        <v>123.05183160835058</v>
      </c>
      <c r="W20" s="44">
        <f ca="1"/>
        <v>117.27331752055498</v>
      </c>
    </row>
    <row r="21" spans="2:23" x14ac:dyDescent="0.45">
      <c r="B21" s="25" t="s">
        <v>164</v>
      </c>
      <c r="C21" s="26" t="s">
        <v>98</v>
      </c>
      <c r="D21" s="45">
        <f>SUM(F21:W21)</f>
        <v>12000</v>
      </c>
      <c r="E21" s="28"/>
      <c r="F21" s="46">
        <f t="shared" ref="F21:W21" si="1">IF(AND(F$6&gt;=SteelFirst,F$6&lt;=SteelLast),SteelTonnes/(SteelLast-SteelFirst+1),0)</f>
        <v>0</v>
      </c>
      <c r="G21" s="46">
        <f t="shared" si="1"/>
        <v>0</v>
      </c>
      <c r="H21" s="46">
        <f t="shared" si="1"/>
        <v>0</v>
      </c>
      <c r="I21" s="46">
        <f t="shared" si="1"/>
        <v>1333.3333333333333</v>
      </c>
      <c r="J21" s="46">
        <f t="shared" si="1"/>
        <v>1333.3333333333333</v>
      </c>
      <c r="K21" s="46">
        <f t="shared" si="1"/>
        <v>1333.3333333333333</v>
      </c>
      <c r="L21" s="46">
        <f t="shared" si="1"/>
        <v>1333.3333333333333</v>
      </c>
      <c r="M21" s="46">
        <f t="shared" si="1"/>
        <v>1333.3333333333333</v>
      </c>
      <c r="N21" s="46">
        <f t="shared" si="1"/>
        <v>1333.3333333333333</v>
      </c>
      <c r="O21" s="46">
        <f t="shared" si="1"/>
        <v>1333.3333333333333</v>
      </c>
      <c r="P21" s="46">
        <f t="shared" si="1"/>
        <v>1333.3333333333333</v>
      </c>
      <c r="Q21" s="46">
        <f t="shared" si="1"/>
        <v>1333.3333333333333</v>
      </c>
      <c r="R21" s="46">
        <f t="shared" si="1"/>
        <v>0</v>
      </c>
      <c r="S21" s="46">
        <f t="shared" si="1"/>
        <v>0</v>
      </c>
      <c r="T21" s="46">
        <f t="shared" si="1"/>
        <v>0</v>
      </c>
      <c r="U21" s="46">
        <f t="shared" si="1"/>
        <v>0</v>
      </c>
      <c r="V21" s="46">
        <f t="shared" si="1"/>
        <v>0</v>
      </c>
      <c r="W21" s="46">
        <f t="shared" si="1"/>
        <v>0</v>
      </c>
    </row>
    <row r="22" spans="2:23" x14ac:dyDescent="0.45">
      <c r="B22" s="25" t="s">
        <v>165</v>
      </c>
      <c r="C22" s="26" t="s">
        <v>106</v>
      </c>
      <c r="D22" s="45">
        <f>SUM(F22:W22)</f>
        <v>40000</v>
      </c>
      <c r="E22" s="28"/>
      <c r="F22" s="46">
        <f t="shared" ref="F22:W22" si="2">IF(AND(F$6&gt;=ConcFirst,F$6&lt;=ConcLast),ConcreteM3/(ConcLast-ConcFirst+1),0)</f>
        <v>0</v>
      </c>
      <c r="G22" s="46">
        <f t="shared" si="2"/>
        <v>2500</v>
      </c>
      <c r="H22" s="46">
        <f t="shared" si="2"/>
        <v>2500</v>
      </c>
      <c r="I22" s="46">
        <f t="shared" si="2"/>
        <v>2500</v>
      </c>
      <c r="J22" s="46">
        <f t="shared" si="2"/>
        <v>2500</v>
      </c>
      <c r="K22" s="46">
        <f t="shared" si="2"/>
        <v>2500</v>
      </c>
      <c r="L22" s="46">
        <f t="shared" si="2"/>
        <v>2500</v>
      </c>
      <c r="M22" s="46">
        <f t="shared" si="2"/>
        <v>2500</v>
      </c>
      <c r="N22" s="46">
        <f t="shared" si="2"/>
        <v>2500</v>
      </c>
      <c r="O22" s="46">
        <f t="shared" si="2"/>
        <v>2500</v>
      </c>
      <c r="P22" s="46">
        <f t="shared" si="2"/>
        <v>2500</v>
      </c>
      <c r="Q22" s="46">
        <f t="shared" si="2"/>
        <v>2500</v>
      </c>
      <c r="R22" s="46">
        <f t="shared" si="2"/>
        <v>2500</v>
      </c>
      <c r="S22" s="46">
        <f t="shared" si="2"/>
        <v>2500</v>
      </c>
      <c r="T22" s="46">
        <f t="shared" si="2"/>
        <v>2500</v>
      </c>
      <c r="U22" s="46">
        <f t="shared" si="2"/>
        <v>2500</v>
      </c>
      <c r="V22" s="46">
        <f t="shared" si="2"/>
        <v>2500</v>
      </c>
      <c r="W22" s="46">
        <f t="shared" si="2"/>
        <v>0</v>
      </c>
    </row>
    <row r="23" spans="2:23" ht="8" customHeight="1" x14ac:dyDescent="0.45"/>
    <row r="24" spans="2:23" ht="22.05" customHeight="1" x14ac:dyDescent="0.5">
      <c r="B24" s="7" t="s">
        <v>166</v>
      </c>
      <c r="C24" s="8"/>
      <c r="D24" s="8"/>
      <c r="E24" s="8"/>
      <c r="F24" s="8"/>
      <c r="G24" s="8"/>
      <c r="H24" s="8"/>
      <c r="I24" s="8"/>
      <c r="J24" s="8"/>
      <c r="K24" s="8"/>
      <c r="L24" s="8"/>
      <c r="M24" s="8"/>
      <c r="N24" s="8"/>
      <c r="O24" s="8"/>
      <c r="P24" s="8"/>
      <c r="Q24" s="8"/>
      <c r="R24" s="8"/>
      <c r="S24" s="8"/>
      <c r="T24" s="8"/>
      <c r="U24" s="8"/>
      <c r="V24" s="8"/>
      <c r="W24" s="8"/>
    </row>
    <row r="25" spans="2:23" ht="18" customHeight="1" x14ac:dyDescent="0.45">
      <c r="B25" s="13" t="s">
        <v>167</v>
      </c>
    </row>
    <row r="26" spans="2:23" x14ac:dyDescent="0.45">
      <c r="B26" s="25" t="s">
        <v>168</v>
      </c>
      <c r="C26" s="26" t="s">
        <v>169</v>
      </c>
      <c r="D26" s="47">
        <f ca="1">SUM(F26:W26)</f>
        <v>9.8871064777723809</v>
      </c>
      <c r="E26" s="28"/>
      <c r="F26" s="48">
        <f t="shared" ref="F26:W26" ca="1" si="3">F21*F19/10^6</f>
        <v>0</v>
      </c>
      <c r="G26" s="48">
        <f t="shared" ca="1" si="3"/>
        <v>0</v>
      </c>
      <c r="H26" s="48">
        <f t="shared" ca="1" si="3"/>
        <v>0</v>
      </c>
      <c r="I26" s="48">
        <f t="shared" ca="1" si="3"/>
        <v>1.0693264641546176</v>
      </c>
      <c r="J26" s="48">
        <f t="shared" ca="1" si="3"/>
        <v>1.0729666339419004</v>
      </c>
      <c r="K26" s="48">
        <f t="shared" ca="1" si="3"/>
        <v>1.0999035617949715</v>
      </c>
      <c r="L26" s="48">
        <f t="shared" ca="1" si="3"/>
        <v>1.0336050158954184</v>
      </c>
      <c r="M26" s="48">
        <f t="shared" ca="1" si="3"/>
        <v>1.0516722414622159</v>
      </c>
      <c r="N26" s="48">
        <f t="shared" ca="1" si="3"/>
        <v>1.0431937036001757</v>
      </c>
      <c r="O26" s="48">
        <f t="shared" ca="1" si="3"/>
        <v>1.1483336733439269</v>
      </c>
      <c r="P26" s="48">
        <f t="shared" ca="1" si="3"/>
        <v>1.2341911716881997</v>
      </c>
      <c r="Q26" s="48">
        <f t="shared" ca="1" si="3"/>
        <v>1.1339140118909556</v>
      </c>
      <c r="R26" s="48">
        <f t="shared" ca="1" si="3"/>
        <v>0</v>
      </c>
      <c r="S26" s="48">
        <f t="shared" ca="1" si="3"/>
        <v>0</v>
      </c>
      <c r="T26" s="48">
        <f t="shared" ca="1" si="3"/>
        <v>0</v>
      </c>
      <c r="U26" s="48">
        <f t="shared" ca="1" si="3"/>
        <v>0</v>
      </c>
      <c r="V26" s="48">
        <f t="shared" ca="1" si="3"/>
        <v>0</v>
      </c>
      <c r="W26" s="48">
        <f t="shared" ca="1" si="3"/>
        <v>0</v>
      </c>
    </row>
    <row r="27" spans="2:23" x14ac:dyDescent="0.45">
      <c r="B27" s="25" t="s">
        <v>170</v>
      </c>
      <c r="C27" s="26" t="s">
        <v>169</v>
      </c>
      <c r="D27" s="47">
        <f>SUM(F27:W27)</f>
        <v>10.68</v>
      </c>
      <c r="E27" s="28"/>
      <c r="F27" s="48">
        <f t="shared" ref="F27:W27" si="4">F21*ForwardPrice/10^6</f>
        <v>0</v>
      </c>
      <c r="G27" s="48">
        <f t="shared" si="4"/>
        <v>0</v>
      </c>
      <c r="H27" s="48">
        <f t="shared" si="4"/>
        <v>0</v>
      </c>
      <c r="I27" s="48">
        <f t="shared" si="4"/>
        <v>1.1866666666666665</v>
      </c>
      <c r="J27" s="48">
        <f t="shared" si="4"/>
        <v>1.1866666666666665</v>
      </c>
      <c r="K27" s="48">
        <f t="shared" si="4"/>
        <v>1.1866666666666665</v>
      </c>
      <c r="L27" s="48">
        <f t="shared" si="4"/>
        <v>1.1866666666666665</v>
      </c>
      <c r="M27" s="48">
        <f t="shared" si="4"/>
        <v>1.1866666666666665</v>
      </c>
      <c r="N27" s="48">
        <f t="shared" si="4"/>
        <v>1.1866666666666665</v>
      </c>
      <c r="O27" s="48">
        <f t="shared" si="4"/>
        <v>1.1866666666666665</v>
      </c>
      <c r="P27" s="48">
        <f t="shared" si="4"/>
        <v>1.1866666666666665</v>
      </c>
      <c r="Q27" s="48">
        <f t="shared" si="4"/>
        <v>1.1866666666666665</v>
      </c>
      <c r="R27" s="48">
        <f t="shared" si="4"/>
        <v>0</v>
      </c>
      <c r="S27" s="48">
        <f t="shared" si="4"/>
        <v>0</v>
      </c>
      <c r="T27" s="48">
        <f t="shared" si="4"/>
        <v>0</v>
      </c>
      <c r="U27" s="48">
        <f t="shared" si="4"/>
        <v>0</v>
      </c>
      <c r="V27" s="48">
        <f t="shared" si="4"/>
        <v>0</v>
      </c>
      <c r="W27" s="48">
        <f t="shared" si="4"/>
        <v>0</v>
      </c>
    </row>
    <row r="28" spans="2:23" x14ac:dyDescent="0.45">
      <c r="B28" s="25" t="s">
        <v>171</v>
      </c>
      <c r="C28" s="26" t="s">
        <v>169</v>
      </c>
      <c r="D28" s="47">
        <f ca="1">SUM(F28:W28)</f>
        <v>10.28355323888619</v>
      </c>
      <c r="E28" s="28"/>
      <c r="F28" s="48">
        <f t="shared" ref="F28:W28" ca="1" si="5">HalfShare*F27+(1-HalfShare)*F26</f>
        <v>0</v>
      </c>
      <c r="G28" s="48">
        <f t="shared" ca="1" si="5"/>
        <v>0</v>
      </c>
      <c r="H28" s="48">
        <f t="shared" ca="1" si="5"/>
        <v>0</v>
      </c>
      <c r="I28" s="48">
        <f t="shared" ca="1" si="5"/>
        <v>1.1279965654106421</v>
      </c>
      <c r="J28" s="48">
        <f t="shared" ca="1" si="5"/>
        <v>1.1298166503042835</v>
      </c>
      <c r="K28" s="48">
        <f t="shared" ca="1" si="5"/>
        <v>1.1432851142308191</v>
      </c>
      <c r="L28" s="48">
        <f t="shared" ca="1" si="5"/>
        <v>1.1101358412810425</v>
      </c>
      <c r="M28" s="48">
        <f t="shared" ca="1" si="5"/>
        <v>1.1191694540644412</v>
      </c>
      <c r="N28" s="48">
        <f t="shared" ca="1" si="5"/>
        <v>1.1149301851334212</v>
      </c>
      <c r="O28" s="48">
        <f t="shared" ca="1" si="5"/>
        <v>1.1675001700052967</v>
      </c>
      <c r="P28" s="48">
        <f t="shared" ca="1" si="5"/>
        <v>1.2104289191774331</v>
      </c>
      <c r="Q28" s="48">
        <f t="shared" ca="1" si="5"/>
        <v>1.1602903392788111</v>
      </c>
      <c r="R28" s="48">
        <f t="shared" ca="1" si="5"/>
        <v>0</v>
      </c>
      <c r="S28" s="48">
        <f t="shared" ca="1" si="5"/>
        <v>0</v>
      </c>
      <c r="T28" s="48">
        <f t="shared" ca="1" si="5"/>
        <v>0</v>
      </c>
      <c r="U28" s="48">
        <f t="shared" ca="1" si="5"/>
        <v>0</v>
      </c>
      <c r="V28" s="48">
        <f t="shared" ca="1" si="5"/>
        <v>0</v>
      </c>
      <c r="W28" s="48">
        <f t="shared" ca="1" si="5"/>
        <v>0</v>
      </c>
    </row>
    <row r="29" spans="2:23" x14ac:dyDescent="0.45">
      <c r="B29" s="25" t="s">
        <v>63</v>
      </c>
      <c r="C29" s="26" t="s">
        <v>169</v>
      </c>
      <c r="D29" s="47">
        <f ca="1">SUM(F29:W29)</f>
        <v>10.427106477772382</v>
      </c>
      <c r="E29" s="28"/>
      <c r="F29" s="48">
        <f t="shared" ref="F29:W29" ca="1" si="6">F21*(MIN(F19,CapPrice)+CapPremium)/10^6</f>
        <v>0</v>
      </c>
      <c r="G29" s="48">
        <f t="shared" ca="1" si="6"/>
        <v>0</v>
      </c>
      <c r="H29" s="48">
        <f t="shared" ca="1" si="6"/>
        <v>0</v>
      </c>
      <c r="I29" s="48">
        <f t="shared" ca="1" si="6"/>
        <v>1.1293264641546177</v>
      </c>
      <c r="J29" s="48">
        <f t="shared" ca="1" si="6"/>
        <v>1.1329666339419004</v>
      </c>
      <c r="K29" s="48">
        <f t="shared" ca="1" si="6"/>
        <v>1.1599035617949716</v>
      </c>
      <c r="L29" s="48">
        <f t="shared" ca="1" si="6"/>
        <v>1.0936050158954187</v>
      </c>
      <c r="M29" s="48">
        <f t="shared" ca="1" si="6"/>
        <v>1.111672241462216</v>
      </c>
      <c r="N29" s="48">
        <f t="shared" ca="1" si="6"/>
        <v>1.1031937036001758</v>
      </c>
      <c r="O29" s="48">
        <f t="shared" ca="1" si="6"/>
        <v>1.2083336733439269</v>
      </c>
      <c r="P29" s="48">
        <f t="shared" ca="1" si="6"/>
        <v>1.2941911716881997</v>
      </c>
      <c r="Q29" s="48">
        <f t="shared" ca="1" si="6"/>
        <v>1.1939140118909557</v>
      </c>
      <c r="R29" s="48">
        <f t="shared" ca="1" si="6"/>
        <v>0</v>
      </c>
      <c r="S29" s="48">
        <f t="shared" ca="1" si="6"/>
        <v>0</v>
      </c>
      <c r="T29" s="48">
        <f t="shared" ca="1" si="6"/>
        <v>0</v>
      </c>
      <c r="U29" s="48">
        <f t="shared" ca="1" si="6"/>
        <v>0</v>
      </c>
      <c r="V29" s="48">
        <f t="shared" ca="1" si="6"/>
        <v>0</v>
      </c>
      <c r="W29" s="48">
        <f t="shared" ca="1" si="6"/>
        <v>0</v>
      </c>
    </row>
    <row r="30" spans="2:23" x14ac:dyDescent="0.45">
      <c r="B30" s="25" t="s">
        <v>172</v>
      </c>
      <c r="C30" s="26" t="s">
        <v>169</v>
      </c>
      <c r="D30" s="47">
        <f ca="1">SUM(F30:W30)</f>
        <v>5.0208353099160119</v>
      </c>
      <c r="E30" s="28"/>
      <c r="F30" s="48">
        <f t="shared" ref="F30:W30" ca="1" si="7">F22*F20/10^6</f>
        <v>0</v>
      </c>
      <c r="G30" s="48">
        <f t="shared" ca="1" si="7"/>
        <v>0.31205841677656759</v>
      </c>
      <c r="H30" s="48">
        <f t="shared" ca="1" si="7"/>
        <v>0.30935137641383964</v>
      </c>
      <c r="I30" s="48">
        <f t="shared" ca="1" si="7"/>
        <v>0.31076444528608915</v>
      </c>
      <c r="J30" s="48">
        <f t="shared" ca="1" si="7"/>
        <v>0.31512230811853059</v>
      </c>
      <c r="K30" s="48">
        <f t="shared" ca="1" si="7"/>
        <v>0.31105768052157318</v>
      </c>
      <c r="L30" s="48">
        <f t="shared" ca="1" si="7"/>
        <v>0.30668009798114199</v>
      </c>
      <c r="M30" s="48">
        <f t="shared" ca="1" si="7"/>
        <v>0.30270550876868996</v>
      </c>
      <c r="N30" s="48">
        <f t="shared" ca="1" si="7"/>
        <v>0.30737032659626534</v>
      </c>
      <c r="O30" s="48">
        <f t="shared" ca="1" si="7"/>
        <v>0.30860491599569906</v>
      </c>
      <c r="P30" s="48">
        <f t="shared" ca="1" si="7"/>
        <v>0.30995065457967419</v>
      </c>
      <c r="Q30" s="48">
        <f t="shared" ca="1" si="7"/>
        <v>0.31323060546872084</v>
      </c>
      <c r="R30" s="48">
        <f t="shared" ca="1" si="7"/>
        <v>0.32397896726309539</v>
      </c>
      <c r="S30" s="48">
        <f t="shared" ca="1" si="7"/>
        <v>0.33163164741142409</v>
      </c>
      <c r="T30" s="48">
        <f t="shared" ca="1" si="7"/>
        <v>0.33142474378750425</v>
      </c>
      <c r="U30" s="48">
        <f t="shared" ca="1" si="7"/>
        <v>0.31927403592632103</v>
      </c>
      <c r="V30" s="48">
        <f t="shared" ca="1" si="7"/>
        <v>0.30762957902087645</v>
      </c>
      <c r="W30" s="48">
        <f t="shared" ca="1" si="7"/>
        <v>0</v>
      </c>
    </row>
    <row r="31" spans="2:23" ht="8" customHeight="1" x14ac:dyDescent="0.45"/>
    <row r="32" spans="2:23" ht="22.05" customHeight="1" x14ac:dyDescent="0.5">
      <c r="B32" s="7" t="s">
        <v>173</v>
      </c>
      <c r="C32" s="8"/>
      <c r="D32" s="8"/>
      <c r="E32" s="8"/>
      <c r="F32" s="8"/>
      <c r="G32" s="8"/>
      <c r="H32" s="8"/>
      <c r="I32" s="8"/>
      <c r="J32" s="8"/>
      <c r="K32" s="8"/>
      <c r="L32" s="8"/>
      <c r="M32" s="8"/>
      <c r="N32" s="8"/>
      <c r="O32" s="8"/>
      <c r="P32" s="8"/>
      <c r="Q32" s="8"/>
      <c r="R32" s="8"/>
      <c r="S32" s="8"/>
      <c r="T32" s="8"/>
      <c r="U32" s="8"/>
      <c r="V32" s="8"/>
      <c r="W32" s="8"/>
    </row>
    <row r="33" spans="2:23" ht="18" customHeight="1" x14ac:dyDescent="0.45">
      <c r="B33" s="13" t="s">
        <v>174</v>
      </c>
    </row>
    <row r="34" spans="2:23" x14ac:dyDescent="0.45">
      <c r="B34" s="25" t="s">
        <v>175</v>
      </c>
      <c r="C34" s="26" t="s">
        <v>113</v>
      </c>
      <c r="D34" s="28"/>
      <c r="E34" s="28"/>
      <c r="F34" s="49" cm="1">
        <f t="array" aca="1" ref="F34" ca="1">_xll.VoseOutput("Цена стали, месяц 1","долл./т")+F19</f>
        <v>793.85728694903389</v>
      </c>
      <c r="G34" s="49" cm="1">
        <f t="array" aca="1" ref="G34" ca="1">_xll.VoseOutput("Цена стали, месяц 2","долл./т")+G19</f>
        <v>768.69800241610778</v>
      </c>
      <c r="H34" s="49" cm="1">
        <f t="array" aca="1" ref="H34" ca="1">_xll.VoseOutput("Цена стали, месяц 3","долл./т")+H19</f>
        <v>767.79715164843151</v>
      </c>
      <c r="I34" s="49" cm="1">
        <f t="array" aca="1" ref="I34" ca="1">_xll.VoseOutput("Цена стали, месяц 4","долл./т")+I19</f>
        <v>801.99484811596324</v>
      </c>
      <c r="J34" s="49" cm="1">
        <f t="array" aca="1" ref="J34" ca="1">_xll.VoseOutput("Цена стали, месяц 5","долл./т")+J19</f>
        <v>804.72497545642534</v>
      </c>
      <c r="K34" s="49" cm="1">
        <f t="array" aca="1" ref="K34" ca="1">_xll.VoseOutput("Цена стали, месяц 6","долл./т")+K19</f>
        <v>824.92767134622875</v>
      </c>
      <c r="L34" s="49" cm="1">
        <f t="array" aca="1" ref="L34" ca="1">_xll.VoseOutput("Цена стали, месяц 7","долл./т")+L19</f>
        <v>775.20376192156391</v>
      </c>
      <c r="M34" s="49" cm="1">
        <f t="array" aca="1" ref="M34" ca="1">_xll.VoseOutput("Цена стали, месяц 8","долл./т")+M19</f>
        <v>788.75418109666214</v>
      </c>
      <c r="N34" s="49" cm="1">
        <f t="array" aca="1" ref="N34" ca="1">_xll.VoseOutput("Цена стали, месяц 9","долл./т")+N19</f>
        <v>782.39527770013183</v>
      </c>
      <c r="O34" s="49" cm="1">
        <f t="array" aca="1" ref="O34" ca="1">_xll.VoseOutput("Цена стали, месяц 10","долл./т")+O19</f>
        <v>861.25025500794527</v>
      </c>
      <c r="P34" s="49" cm="1">
        <f t="array" aca="1" ref="P34" ca="1">_xll.VoseOutput("Цена стали, месяц 11","долл./т")+P19</f>
        <v>925.64337876614979</v>
      </c>
      <c r="Q34" s="49" cm="1">
        <f t="array" aca="1" ref="Q34" ca="1">_xll.VoseOutput("Цена стали, месяц 12","долл./т")+Q19</f>
        <v>850.43550891821678</v>
      </c>
      <c r="R34" s="49" cm="1">
        <f t="array" aca="1" ref="R34" ca="1">_xll.VoseOutput("Цена стали, месяц 13","долл./т")+R19</f>
        <v>837.39133356670095</v>
      </c>
      <c r="S34" s="49" cm="1">
        <f t="array" aca="1" ref="S34" ca="1">_xll.VoseOutput("Цена стали, месяц 14","долл./т")+S19</f>
        <v>827.68226925938791</v>
      </c>
      <c r="T34" s="49" cm="1">
        <f t="array" aca="1" ref="T34" ca="1">_xll.VoseOutput("Цена стали, месяц 15","долл./т")+T19</f>
        <v>898.04521521715378</v>
      </c>
      <c r="U34" s="49" cm="1">
        <f t="array" aca="1" ref="U34" ca="1">_xll.VoseOutput("Цена стали, месяц 16","долл./т")+U19</f>
        <v>903.96551272813235</v>
      </c>
      <c r="V34" s="49" cm="1">
        <f t="array" aca="1" ref="V34" ca="1">_xll.VoseOutput("Цена стали, месяц 17","долл./т")+V19</f>
        <v>879.93107543944745</v>
      </c>
      <c r="W34" s="49" cm="1">
        <f t="array" aca="1" ref="W34" ca="1">_xll.VoseOutput("Цена стали, месяц 18","долл./т")+W19</f>
        <v>785.61646237047387</v>
      </c>
    </row>
    <row r="35" spans="2:23" ht="8" customHeight="1" x14ac:dyDescent="0.45"/>
    <row r="36" spans="2:23" ht="22.05" customHeight="1" x14ac:dyDescent="0.5">
      <c r="B36" s="7" t="s">
        <v>176</v>
      </c>
      <c r="C36" s="8"/>
      <c r="D36" s="8"/>
      <c r="E36" s="8"/>
      <c r="F36" s="8"/>
      <c r="G36" s="8"/>
      <c r="H36" s="8"/>
      <c r="I36" s="8"/>
      <c r="J36" s="8"/>
      <c r="K36" s="8"/>
      <c r="L36" s="8"/>
      <c r="M36" s="8"/>
      <c r="N36" s="8"/>
      <c r="O36" s="8"/>
      <c r="P36" s="8"/>
      <c r="Q36" s="8"/>
      <c r="R36" s="8"/>
      <c r="S36" s="8"/>
      <c r="T36" s="8"/>
      <c r="U36" s="8"/>
      <c r="V36" s="8"/>
      <c r="W36" s="8"/>
    </row>
    <row r="37" spans="2:23" ht="18" customHeight="1" x14ac:dyDescent="0.45">
      <c r="B37" s="13" t="s">
        <v>177</v>
      </c>
    </row>
    <row r="38" spans="2:23" ht="18" customHeight="1" x14ac:dyDescent="0.45">
      <c r="B38" s="39" t="s">
        <v>178</v>
      </c>
      <c r="C38" s="39" t="s">
        <v>93</v>
      </c>
      <c r="D38" s="40" t="s">
        <v>152</v>
      </c>
      <c r="E38" s="5"/>
      <c r="F38" s="39" t="s">
        <v>179</v>
      </c>
      <c r="G38" s="5"/>
      <c r="H38" s="5"/>
      <c r="I38" s="5"/>
      <c r="J38" s="5"/>
      <c r="K38" s="5"/>
      <c r="L38" s="5"/>
      <c r="M38" s="5"/>
      <c r="N38" s="5"/>
      <c r="O38" s="5"/>
      <c r="P38" s="5"/>
      <c r="Q38" s="5"/>
      <c r="R38" s="5"/>
      <c r="S38" s="5"/>
      <c r="T38" s="5"/>
      <c r="U38" s="5"/>
      <c r="V38" s="5"/>
      <c r="W38" s="5"/>
    </row>
    <row r="39" spans="2:23" x14ac:dyDescent="0.45">
      <c r="B39" s="25" t="s">
        <v>180</v>
      </c>
      <c r="C39" s="26" t="s">
        <v>169</v>
      </c>
      <c r="D39" s="50" cm="1">
        <f t="array" aca="1" ref="D39" ca="1">_xll.VoseOutput("Стоимость материалов: по рынку по мере надобности","млн долл.")+D26+D30</f>
        <v>14.907941787688394</v>
      </c>
      <c r="E39" s="28"/>
      <c r="F39" s="26" t="s">
        <v>181</v>
      </c>
      <c r="G39" s="28"/>
      <c r="H39" s="28"/>
      <c r="I39" s="28"/>
      <c r="J39" s="28"/>
      <c r="K39" s="28"/>
      <c r="L39" s="28"/>
      <c r="M39" s="28"/>
      <c r="N39" s="28"/>
      <c r="O39" s="28"/>
      <c r="P39" s="28"/>
      <c r="Q39" s="28"/>
      <c r="R39" s="28"/>
      <c r="S39" s="28"/>
      <c r="T39" s="28"/>
      <c r="U39" s="28"/>
      <c r="V39" s="28"/>
      <c r="W39" s="28"/>
    </row>
    <row r="40" spans="2:23" x14ac:dyDescent="0.45">
      <c r="B40" s="25" t="s">
        <v>182</v>
      </c>
      <c r="C40" s="26" t="s">
        <v>169</v>
      </c>
      <c r="D40" s="50" cm="1">
        <f t="array" aca="1" ref="D40" ca="1">_xll.VoseOutput("Стоимость материалов: форвард на всю сталь (выход)","млн долл.")+D27+D30</f>
        <v>15.700835309916013</v>
      </c>
      <c r="E40" s="28"/>
      <c r="F40" s="26"/>
      <c r="G40" s="28"/>
      <c r="H40" s="28"/>
      <c r="I40" s="28"/>
      <c r="J40" s="28"/>
      <c r="K40" s="28"/>
      <c r="L40" s="28"/>
      <c r="M40" s="28"/>
      <c r="N40" s="28"/>
      <c r="O40" s="28"/>
      <c r="P40" s="28"/>
      <c r="Q40" s="28"/>
      <c r="R40" s="28"/>
      <c r="S40" s="28"/>
      <c r="T40" s="28"/>
      <c r="U40" s="28"/>
      <c r="V40" s="28"/>
      <c r="W40" s="28"/>
    </row>
    <row r="41" spans="2:23" x14ac:dyDescent="0.45">
      <c r="B41" s="25" t="s">
        <v>183</v>
      </c>
      <c r="C41" s="26" t="s">
        <v>169</v>
      </c>
      <c r="D41" s="50" cm="1">
        <f t="array" aca="1" ref="D41" ca="1">_xll.VoseOutput("Стоимость материалов: частичный форвард (выход)","млн долл.")+D28+D30</f>
        <v>15.304388548802201</v>
      </c>
      <c r="E41" s="28"/>
      <c r="F41" s="26"/>
      <c r="G41" s="28"/>
      <c r="H41" s="28"/>
      <c r="I41" s="28"/>
      <c r="J41" s="28"/>
      <c r="K41" s="28"/>
      <c r="L41" s="28"/>
      <c r="M41" s="28"/>
      <c r="N41" s="28"/>
      <c r="O41" s="28"/>
      <c r="P41" s="28"/>
      <c r="Q41" s="28"/>
      <c r="R41" s="28"/>
      <c r="S41" s="28"/>
      <c r="T41" s="28"/>
      <c r="U41" s="28"/>
      <c r="V41" s="28"/>
      <c r="W41" s="28"/>
    </row>
    <row r="42" spans="2:23" x14ac:dyDescent="0.45">
      <c r="B42" s="25" t="s">
        <v>184</v>
      </c>
      <c r="C42" s="26" t="s">
        <v>169</v>
      </c>
      <c r="D42" s="50" cm="1">
        <f t="array" aca="1" ref="D42" ca="1">_xll.VoseOutput("Стоимость материалов: кэп на цену стали (выход)","млн долл.")+D29+D30</f>
        <v>15.447941787688393</v>
      </c>
      <c r="E42" s="28"/>
      <c r="F42" s="26"/>
      <c r="G42" s="28"/>
      <c r="H42" s="28"/>
      <c r="I42" s="28"/>
      <c r="J42" s="28"/>
      <c r="K42" s="28"/>
      <c r="L42" s="28"/>
      <c r="M42" s="28"/>
      <c r="N42" s="28"/>
      <c r="O42" s="28"/>
      <c r="P42" s="28"/>
      <c r="Q42" s="28"/>
      <c r="R42" s="28"/>
      <c r="S42" s="28"/>
      <c r="T42" s="28"/>
      <c r="U42" s="28"/>
      <c r="V42" s="28"/>
      <c r="W42" s="28"/>
    </row>
    <row r="43" spans="2:23" x14ac:dyDescent="0.45">
      <c r="B43" s="25" t="s">
        <v>185</v>
      </c>
      <c r="C43" s="26" t="s">
        <v>169</v>
      </c>
      <c r="D43" s="50" cm="1">
        <f t="array" aca="1" ref="D43" ca="1">_xll.VoseOutput("Стоимость стали: по рынку по мере надобности","млн долл.")+D26</f>
        <v>9.8871064777723809</v>
      </c>
      <c r="E43" s="28"/>
      <c r="F43" s="26" t="s">
        <v>186</v>
      </c>
      <c r="G43" s="28"/>
      <c r="H43" s="28"/>
      <c r="I43" s="28"/>
      <c r="J43" s="28"/>
      <c r="K43" s="28"/>
      <c r="L43" s="28"/>
      <c r="M43" s="28"/>
      <c r="N43" s="28"/>
      <c r="O43" s="28"/>
      <c r="P43" s="28"/>
      <c r="Q43" s="28"/>
      <c r="R43" s="28"/>
      <c r="S43" s="28"/>
      <c r="T43" s="28"/>
      <c r="U43" s="28"/>
      <c r="V43" s="28"/>
      <c r="W43" s="28"/>
    </row>
    <row r="44" spans="2:23" x14ac:dyDescent="0.45">
      <c r="B44" s="25" t="s">
        <v>187</v>
      </c>
      <c r="C44" s="26" t="s">
        <v>169</v>
      </c>
      <c r="D44" s="50" cm="1">
        <f t="array" ref="D44">_xll.VoseOutput("Стоимость стали: форвард на всю сталь (выход)","млн долл.")+D27</f>
        <v>10.68</v>
      </c>
      <c r="E44" s="28"/>
      <c r="F44" s="26"/>
      <c r="G44" s="28"/>
      <c r="H44" s="28"/>
      <c r="I44" s="28"/>
      <c r="J44" s="28"/>
      <c r="K44" s="28"/>
      <c r="L44" s="28"/>
      <c r="M44" s="28"/>
      <c r="N44" s="28"/>
      <c r="O44" s="28"/>
      <c r="P44" s="28"/>
      <c r="Q44" s="28"/>
      <c r="R44" s="28"/>
      <c r="S44" s="28"/>
      <c r="T44" s="28"/>
      <c r="U44" s="28"/>
      <c r="V44" s="28"/>
      <c r="W44" s="28"/>
    </row>
    <row r="45" spans="2:23" x14ac:dyDescent="0.45">
      <c r="B45" s="25" t="s">
        <v>188</v>
      </c>
      <c r="C45" s="26" t="s">
        <v>169</v>
      </c>
      <c r="D45" s="50" cm="1">
        <f t="array" aca="1" ref="D45" ca="1">_xll.VoseOutput("Стоимость стали: частичный форвард (выход)","млн долл.")+D28</f>
        <v>10.28355323888619</v>
      </c>
      <c r="E45" s="28"/>
      <c r="F45" s="26"/>
      <c r="G45" s="28"/>
      <c r="H45" s="28"/>
      <c r="I45" s="28"/>
      <c r="J45" s="28"/>
      <c r="K45" s="28"/>
      <c r="L45" s="28"/>
      <c r="M45" s="28"/>
      <c r="N45" s="28"/>
      <c r="O45" s="28"/>
      <c r="P45" s="28"/>
      <c r="Q45" s="28"/>
      <c r="R45" s="28"/>
      <c r="S45" s="28"/>
      <c r="T45" s="28"/>
      <c r="U45" s="28"/>
      <c r="V45" s="28"/>
      <c r="W45" s="28"/>
    </row>
    <row r="46" spans="2:23" x14ac:dyDescent="0.45">
      <c r="B46" s="25" t="s">
        <v>189</v>
      </c>
      <c r="C46" s="26" t="s">
        <v>169</v>
      </c>
      <c r="D46" s="50" cm="1">
        <f t="array" aca="1" ref="D46" ca="1">_xll.VoseOutput("Стоимость стали: кэп на цену стали (выход)","млн долл.")+D29</f>
        <v>10.427106477772382</v>
      </c>
      <c r="E46" s="28"/>
      <c r="F46" s="26"/>
      <c r="G46" s="28"/>
      <c r="H46" s="28"/>
      <c r="I46" s="28"/>
      <c r="J46" s="28"/>
      <c r="K46" s="28"/>
      <c r="L46" s="28"/>
      <c r="M46" s="28"/>
      <c r="N46" s="28"/>
      <c r="O46" s="28"/>
      <c r="P46" s="28"/>
      <c r="Q46" s="28"/>
      <c r="R46" s="28"/>
      <c r="S46" s="28"/>
      <c r="T46" s="28"/>
      <c r="U46" s="28"/>
      <c r="V46" s="28"/>
      <c r="W46" s="28"/>
    </row>
    <row r="47" spans="2:23" x14ac:dyDescent="0.45">
      <c r="B47" s="25" t="s">
        <v>190</v>
      </c>
      <c r="C47" s="26" t="s">
        <v>169</v>
      </c>
      <c r="D47" s="48">
        <f>(SteelTonnes*SteelAllow+ConcreteM3*ConcAllow)/10^6</f>
        <v>15.744</v>
      </c>
      <c r="E47" s="28"/>
      <c r="F47" s="26" t="s">
        <v>191</v>
      </c>
      <c r="G47" s="28"/>
      <c r="H47" s="28"/>
      <c r="I47" s="28"/>
      <c r="J47" s="28"/>
      <c r="K47" s="28"/>
      <c r="L47" s="28"/>
      <c r="M47" s="28"/>
      <c r="N47" s="28"/>
      <c r="O47" s="28"/>
      <c r="P47" s="28"/>
      <c r="Q47" s="28"/>
      <c r="R47" s="28"/>
      <c r="S47" s="28"/>
      <c r="T47" s="28"/>
      <c r="U47" s="28"/>
      <c r="V47" s="28"/>
      <c r="W47" s="28"/>
    </row>
    <row r="48" spans="2:23" x14ac:dyDescent="0.45">
      <c r="B48" s="25" t="s">
        <v>192</v>
      </c>
      <c r="C48" s="26" t="s">
        <v>169</v>
      </c>
      <c r="D48" s="48">
        <f>SteelTonnes*SteelAllow/10^6</f>
        <v>10.8</v>
      </c>
      <c r="E48" s="28"/>
      <c r="F48" s="26"/>
      <c r="G48" s="28"/>
      <c r="H48" s="28"/>
      <c r="I48" s="28"/>
      <c r="J48" s="28"/>
      <c r="K48" s="28"/>
      <c r="L48" s="28"/>
      <c r="M48" s="28"/>
      <c r="N48" s="28"/>
      <c r="O48" s="28"/>
      <c r="P48" s="28"/>
      <c r="Q48" s="28"/>
      <c r="R48" s="28"/>
      <c r="S48" s="28"/>
      <c r="T48" s="28"/>
      <c r="U48" s="28"/>
      <c r="V48" s="28"/>
      <c r="W48" s="28"/>
    </row>
    <row r="49" spans="2:23" x14ac:dyDescent="0.45">
      <c r="B49" s="25" t="s">
        <v>193</v>
      </c>
      <c r="C49" s="26" t="s">
        <v>113</v>
      </c>
      <c r="D49" s="49" cm="1">
        <f t="array" aca="1" ref="D49" ca="1">_xll.VoseOutput("Средняя цена стали","долл./т")+IF(D21&gt;0,D26*10^6/D21,0)</f>
        <v>823.92553981436515</v>
      </c>
      <c r="E49" s="28"/>
      <c r="F49" s="26" t="s">
        <v>194</v>
      </c>
      <c r="G49" s="28"/>
      <c r="H49" s="28"/>
      <c r="I49" s="28"/>
      <c r="J49" s="28"/>
      <c r="K49" s="28"/>
      <c r="L49" s="28"/>
      <c r="M49" s="28"/>
      <c r="N49" s="28"/>
      <c r="O49" s="28"/>
      <c r="P49" s="28"/>
      <c r="Q49" s="28"/>
      <c r="R49" s="28"/>
      <c r="S49" s="28"/>
      <c r="T49" s="28"/>
      <c r="U49" s="28"/>
      <c r="V49" s="28"/>
      <c r="W49" s="28"/>
    </row>
    <row r="50" spans="2:23" ht="8" customHeight="1" x14ac:dyDescent="0.45"/>
    <row r="51" spans="2:23" ht="22.05" customHeight="1" x14ac:dyDescent="0.5">
      <c r="B51" s="7" t="s">
        <v>195</v>
      </c>
      <c r="C51" s="8"/>
      <c r="D51" s="8"/>
      <c r="E51" s="8"/>
      <c r="F51" s="8"/>
      <c r="G51" s="8"/>
      <c r="H51" s="8"/>
      <c r="I51" s="8"/>
      <c r="J51" s="8"/>
      <c r="K51" s="8"/>
      <c r="L51" s="8"/>
      <c r="M51" s="8"/>
      <c r="N51" s="8"/>
      <c r="O51" s="8"/>
      <c r="P51" s="8"/>
      <c r="Q51" s="8"/>
      <c r="R51" s="8"/>
      <c r="S51" s="8"/>
      <c r="T51" s="8"/>
      <c r="U51" s="8"/>
      <c r="V51" s="8"/>
      <c r="W51" s="8"/>
    </row>
    <row r="52" spans="2:23" ht="18" customHeight="1" x14ac:dyDescent="0.45">
      <c r="B52" s="13" t="s">
        <v>196</v>
      </c>
    </row>
    <row r="53" spans="2:23" x14ac:dyDescent="0.45">
      <c r="B53" s="25" t="s">
        <v>197</v>
      </c>
      <c r="C53" s="28"/>
      <c r="D53" s="51" t="str">
        <f>IF(AND(SteelFirst&gt;=1,SteelLast&lt;=18,SteelFirst&lt;=SteelLast,ConcFirst&gt;=1,ConcLast&lt;=18,ConcFirst&lt;=ConcLast),"ОК","ПРОВЕРИТЬ")</f>
        <v>ОК</v>
      </c>
      <c r="E53" s="28"/>
      <c r="F53" s="28"/>
      <c r="G53" s="28"/>
      <c r="H53" s="28"/>
      <c r="I53" s="28"/>
      <c r="J53" s="28"/>
      <c r="K53" s="28"/>
      <c r="L53" s="28"/>
      <c r="M53" s="28"/>
      <c r="N53" s="28"/>
      <c r="O53" s="28"/>
      <c r="P53" s="28"/>
      <c r="Q53" s="28"/>
      <c r="R53" s="28"/>
      <c r="S53" s="28"/>
      <c r="T53" s="28"/>
      <c r="U53" s="28"/>
      <c r="V53" s="28"/>
      <c r="W53" s="28"/>
    </row>
    <row r="54" spans="2:23" x14ac:dyDescent="0.45">
      <c r="B54" s="25" t="s">
        <v>198</v>
      </c>
      <c r="C54" s="28"/>
      <c r="D54" s="51" t="str">
        <f>IF(AND(ABS(D21-SteelTonnes)&lt;0.01,ABS(D22-ConcreteM3)&lt;0.01),"ОК","ПРОВЕРИТЬ")</f>
        <v>ОК</v>
      </c>
      <c r="E54" s="28"/>
      <c r="F54" s="28"/>
      <c r="G54" s="28"/>
      <c r="H54" s="28"/>
      <c r="I54" s="28"/>
      <c r="J54" s="28"/>
      <c r="K54" s="28"/>
      <c r="L54" s="28"/>
      <c r="M54" s="28"/>
      <c r="N54" s="28"/>
      <c r="O54" s="28"/>
      <c r="P54" s="28"/>
      <c r="Q54" s="28"/>
      <c r="R54" s="28"/>
      <c r="S54" s="28"/>
      <c r="T54" s="28"/>
      <c r="U54" s="28"/>
      <c r="V54" s="28"/>
      <c r="W54" s="28"/>
    </row>
    <row r="55" spans="2:23" ht="14" customHeight="1" x14ac:dyDescent="0.45"/>
  </sheetData>
  <conditionalFormatting sqref="D53:D54">
    <cfRule type="expression" dxfId="4" priority="1">
      <formula>D53="CHECK"</formula>
    </cfRule>
  </conditionalFormatting>
  <hyperlinks>
    <hyperlink ref="B4" location="'Исходные данные'!A1" display="◂  Исходные данные" xr:uid="{00000000-0004-0000-0200-000000000000}"/>
    <hyperlink ref="W4" location="'Результаты'!A1" display="Далее:  Результаты  ▸" xr:uid="{00000000-0004-0000-0200-000001000000}"/>
  </hyperlinks>
  <printOptions horizontalCentered="1"/>
  <pageMargins left="0.4" right="0.4" top="0.5" bottom="0.6" header="0.25" footer="0.25"/>
  <pageSetup paperSize="8" scale="74"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24"/>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199</v>
      </c>
      <c r="C3" s="1"/>
      <c r="D3" s="1"/>
      <c r="E3" s="1"/>
      <c r="F3" s="1"/>
      <c r="G3" s="1"/>
      <c r="H3" s="1"/>
      <c r="I3" s="1"/>
      <c r="J3" s="1"/>
      <c r="K3" s="1"/>
      <c r="L3" s="1"/>
      <c r="M3" s="1"/>
      <c r="N3" s="1"/>
      <c r="O3" s="1"/>
      <c r="P3" s="1"/>
      <c r="Q3" s="1"/>
      <c r="R3" s="1"/>
    </row>
    <row r="4" spans="1:18" ht="20" customHeight="1" x14ac:dyDescent="0.45">
      <c r="A4" s="5"/>
      <c r="B4" s="22" t="s">
        <v>200</v>
      </c>
      <c r="C4" s="5"/>
      <c r="D4" s="5"/>
      <c r="E4" s="5"/>
      <c r="F4" s="5"/>
      <c r="G4" s="5"/>
      <c r="H4" s="5"/>
      <c r="I4" s="5"/>
      <c r="J4" s="5"/>
      <c r="K4" s="5"/>
      <c r="L4" s="5"/>
      <c r="M4" s="5"/>
      <c r="N4" s="5"/>
      <c r="O4" s="5"/>
      <c r="P4" s="5"/>
      <c r="Q4" s="5"/>
      <c r="R4" s="5"/>
    </row>
    <row r="5" spans="1:18" ht="8" customHeight="1" x14ac:dyDescent="0.45"/>
    <row r="6" spans="1:18" ht="26" customHeight="1" x14ac:dyDescent="0.45">
      <c r="B6" s="52" t="str" cm="1">
        <f t="array" aca="1" ref="B6" ca="1">IF(ISNUMBER(_xll.VoseSimMean(Total_Spot)),"✔  Показаны результаты последнего моделирования в этом сеансе Excel. После изменения исходных данных запустите моделирование снова.","▶  Результатов моделирования пока нет. Запустите моделирование на ленте МоделРиск — лист заполнится автоматически.")</f>
        <v>✔  Показаны результаты последнего моделирования в этом сеансе Excel. После изменения исходных данных запустите моделирование снова.</v>
      </c>
      <c r="C6" s="53"/>
      <c r="D6" s="53"/>
      <c r="E6" s="53"/>
      <c r="F6" s="53"/>
      <c r="G6" s="53"/>
    </row>
    <row r="7" spans="1:18" x14ac:dyDescent="0.45">
      <c r="B7" s="54" t="str">
        <f>IF(COUNTIF(Checks,"ПРОВЕРИТЬ")=0,"✔  Все проверки модели пройдены («ОК»).","✗  "&amp;COUNTIF(Checks,"ПРОВЕРИТЬ")&amp;" проверок не пройдено («ПРОВЕРИТЬ»): см. раздел «Проверки модели» в конце расчетного листа.")</f>
        <v>✔  Все проверки модели пройдены («ОК»).</v>
      </c>
    </row>
    <row r="8" spans="1:18" ht="8" customHeight="1" x14ac:dyDescent="0.45"/>
    <row r="9" spans="1:18" ht="22.05" customHeight="1" x14ac:dyDescent="0.5">
      <c r="B9" s="7" t="s">
        <v>201</v>
      </c>
      <c r="C9" s="8"/>
      <c r="D9" s="8"/>
      <c r="E9" s="8"/>
      <c r="F9" s="8"/>
      <c r="G9" s="8"/>
      <c r="I9" s="55" t="s">
        <v>202</v>
      </c>
      <c r="J9" s="8"/>
      <c r="K9" s="8"/>
      <c r="L9" s="8"/>
      <c r="M9" s="8"/>
      <c r="N9" s="8"/>
      <c r="O9" s="8"/>
      <c r="P9" s="8"/>
      <c r="Q9" s="8"/>
      <c r="R9" s="8"/>
    </row>
    <row r="10" spans="1:18" ht="18" customHeight="1" x14ac:dyDescent="0.45">
      <c r="B10" s="13" t="s">
        <v>203</v>
      </c>
    </row>
    <row r="11" spans="1:18" ht="18" customHeight="1" x14ac:dyDescent="0.45">
      <c r="B11" s="56" t="s">
        <v>204</v>
      </c>
      <c r="C11" s="57" t="s">
        <v>205</v>
      </c>
      <c r="D11" s="57" t="s">
        <v>206</v>
      </c>
      <c r="E11" s="57" t="s">
        <v>207</v>
      </c>
      <c r="F11" s="57" t="s">
        <v>208</v>
      </c>
      <c r="G11" s="58"/>
    </row>
    <row r="12" spans="1:18" x14ac:dyDescent="0.45">
      <c r="B12" s="59"/>
      <c r="C12" s="59" t="s">
        <v>169</v>
      </c>
      <c r="D12" s="59" t="s">
        <v>169</v>
      </c>
      <c r="E12" s="59" t="s">
        <v>169</v>
      </c>
      <c r="F12" s="59" t="s">
        <v>209</v>
      </c>
      <c r="G12" s="59"/>
    </row>
    <row r="13" spans="1:18" x14ac:dyDescent="0.45">
      <c r="B13" s="25" t="s">
        <v>210</v>
      </c>
      <c r="C13" s="60" cm="1">
        <f t="array" aca="1" ref="C13" ca="1">_xll.VoseSimMean(Total_Spot)</f>
        <v>15.456899489387476</v>
      </c>
      <c r="D13" s="60" cm="1">
        <f t="array" aca="1" ref="D13" ca="1">_xll.VoseSimPercentile(Total_Spot,0.9)</f>
        <v>18.069596037471918</v>
      </c>
      <c r="E13" s="60" cm="1">
        <f t="array" aca="1" ref="E13" ca="1">_xll.VoseSimPercentile(Total_Spot,0.99)</f>
        <v>20.862601898724744</v>
      </c>
      <c r="F13" s="61">
        <f ca="1">IF(AND(ISNUMBER(C13),ISNUMBER(C13)),C13-C13,"–")</f>
        <v>0</v>
      </c>
      <c r="G13" s="28"/>
    </row>
    <row r="14" spans="1:18" x14ac:dyDescent="0.45">
      <c r="B14" s="25" t="s">
        <v>211</v>
      </c>
      <c r="C14" s="60" cm="1">
        <f t="array" aca="1" ref="C14" ca="1">_xll.VoseSimMean(Total_Fwd)</f>
        <v>15.673428884087928</v>
      </c>
      <c r="D14" s="60" cm="1">
        <f t="array" aca="1" ref="D14" ca="1">_xll.VoseSimPercentile(Total_Fwd,0.9)</f>
        <v>15.972474074463753</v>
      </c>
      <c r="E14" s="60" cm="1">
        <f t="array" aca="1" ref="E14" ca="1">_xll.VoseSimPercentile(Total_Fwd,0.99)</f>
        <v>16.219563681333604</v>
      </c>
      <c r="F14" s="61">
        <f ca="1">IF(AND(ISNUMBER(C14),ISNUMBER(C13)),C14-C13,"–")</f>
        <v>0.21652939470045141</v>
      </c>
      <c r="G14" s="28"/>
    </row>
    <row r="15" spans="1:18" x14ac:dyDescent="0.45">
      <c r="B15" s="25" t="str">
        <f>"Форвард на "&amp;TEXT(HalfShare,"0%")&amp;" стали"</f>
        <v>Форвардный контракт на 50% стали</v>
      </c>
      <c r="C15" s="60" cm="1">
        <f t="array" aca="1" ref="C15" ca="1">_xll.VoseSimMean(Total_Half)</f>
        <v>15.565164186737672</v>
      </c>
      <c r="D15" s="60" cm="1">
        <f t="array" aca="1" ref="D15" ca="1">_xll.VoseSimPercentile(Total_Half,0.9)</f>
        <v>16.90154099630535</v>
      </c>
      <c r="E15" s="60" cm="1">
        <f t="array" aca="1" ref="E15" ca="1">_xll.VoseSimPercentile(Total_Half,0.99)</f>
        <v>18.317767038968853</v>
      </c>
      <c r="F15" s="61">
        <f ca="1">IF(AND(ISNUMBER(C15),ISNUMBER(C13)),C15-C13,"–")</f>
        <v>0.1082646973501955</v>
      </c>
      <c r="G15" s="28"/>
    </row>
    <row r="16" spans="1:18" x14ac:dyDescent="0.45">
      <c r="B16" s="25" t="s">
        <v>212</v>
      </c>
      <c r="C16" s="60" cm="1">
        <f t="array" aca="1" ref="C16" ca="1">_xll.VoseSimMean(Total_Cap)</f>
        <v>15.500365908858777</v>
      </c>
      <c r="D16" s="60" cm="1">
        <f t="array" aca="1" ref="D16" ca="1">_xll.VoseSimPercentile(Total_Cap,0.9)</f>
        <v>16.932145881988671</v>
      </c>
      <c r="E16" s="60" cm="1">
        <f t="array" aca="1" ref="E16" ca="1">_xll.VoseSimPercentile(Total_Cap,0.99)</f>
        <v>17.292786267268667</v>
      </c>
      <c r="F16" s="61">
        <f ca="1">IF(AND(ISNUMBER(C16),ISNUMBER(C13)),C16-C13,"–")</f>
        <v>4.346641947130081E-2</v>
      </c>
      <c r="G16" s="28"/>
    </row>
    <row r="17" spans="2:7" ht="8" customHeight="1" x14ac:dyDescent="0.45"/>
    <row r="18" spans="2:7" ht="22.05" customHeight="1" x14ac:dyDescent="0.5">
      <c r="B18" s="7" t="s">
        <v>213</v>
      </c>
      <c r="C18" s="8"/>
      <c r="D18" s="8"/>
      <c r="E18" s="8"/>
      <c r="F18" s="8"/>
      <c r="G18" s="8"/>
    </row>
    <row r="19" spans="2:7" ht="18" customHeight="1" x14ac:dyDescent="0.45">
      <c r="B19" s="13" t="s">
        <v>214</v>
      </c>
    </row>
    <row r="20" spans="2:7" ht="18" customHeight="1" x14ac:dyDescent="0.45">
      <c r="B20" s="56" t="s">
        <v>204</v>
      </c>
      <c r="C20" s="57" t="s">
        <v>215</v>
      </c>
      <c r="D20" s="57" t="s">
        <v>216</v>
      </c>
      <c r="E20" s="58"/>
      <c r="F20" s="58"/>
      <c r="G20" s="58"/>
    </row>
    <row r="21" spans="2:7" x14ac:dyDescent="0.45">
      <c r="B21" s="59"/>
      <c r="C21" s="59" t="s">
        <v>217</v>
      </c>
      <c r="D21" s="59" t="s">
        <v>217</v>
      </c>
      <c r="E21" s="59"/>
      <c r="F21" s="59"/>
      <c r="G21" s="59"/>
    </row>
    <row r="22" spans="2:7" x14ac:dyDescent="0.45">
      <c r="B22" s="25" t="s">
        <v>210</v>
      </c>
      <c r="C22" s="62" cm="1">
        <f t="array" aca="1" ref="C22" ca="1">_xll.VoseSimProbability(Total_Spot,Budget)</f>
        <v>0.58864113588641132</v>
      </c>
      <c r="D22" s="62" cm="1">
        <f t="array" aca="1" ref="D22" ca="1">_xll.VoseSimProbability(Steel_Spot,SteelBudget)</f>
        <v>0.60303969603039698</v>
      </c>
      <c r="E22" s="28"/>
      <c r="F22" s="28"/>
      <c r="G22" s="28"/>
    </row>
    <row r="23" spans="2:7" x14ac:dyDescent="0.45">
      <c r="B23" s="25" t="s">
        <v>211</v>
      </c>
      <c r="C23" s="62" cm="1">
        <f t="array" aca="1" ref="C23" ca="1">_xll.VoseSimProbability(Total_Fwd,Budget)</f>
        <v>0.62743725627437252</v>
      </c>
      <c r="D23" s="62" cm="1">
        <f t="array" aca="1" ref="D23" ca="1">_xll.VoseSimProbability(Steel_Fwd,SteelBudget)</f>
        <v>0.99990000999900008</v>
      </c>
      <c r="E23" s="28"/>
      <c r="F23" s="28"/>
      <c r="G23" s="28"/>
    </row>
    <row r="24" spans="2:7" x14ac:dyDescent="0.45">
      <c r="B24" s="25" t="str">
        <f>"Форвард на "&amp;TEXT(HalfShare,"0%")&amp;" стали"</f>
        <v>Форвардный контракт на 50% стали</v>
      </c>
      <c r="C24" s="62" cm="1">
        <f t="array" aca="1" ref="C24" ca="1">_xll.VoseSimProbability(Total_Half,Budget)</f>
        <v>0.60153984601539845</v>
      </c>
      <c r="D24" s="62" cm="1">
        <f t="array" aca="1" ref="D24" ca="1">_xll.VoseSimProbability(Steel_Half,SteelBudget)</f>
        <v>0.62563743625637436</v>
      </c>
      <c r="E24" s="28"/>
      <c r="F24" s="28"/>
      <c r="G24" s="28"/>
    </row>
    <row r="25" spans="2:7" x14ac:dyDescent="0.45">
      <c r="B25" s="25" t="s">
        <v>212</v>
      </c>
      <c r="C25" s="62" cm="1">
        <f t="array" aca="1" ref="C25" ca="1">_xll.VoseSimProbability(Total_Cap,Budget)</f>
        <v>0.49255074492550743</v>
      </c>
      <c r="D25" s="62" cm="1">
        <f t="array" aca="1" ref="D25" ca="1">_xll.VoseSimProbability(Steel_Cap,SteelBudget)</f>
        <v>0.5043495650434956</v>
      </c>
      <c r="E25" s="28"/>
      <c r="F25" s="28"/>
      <c r="G25" s="28"/>
    </row>
    <row r="26" spans="2:7" ht="18" customHeight="1" x14ac:dyDescent="0.45">
      <c r="B26" s="23" t="s">
        <v>218</v>
      </c>
      <c r="C26" s="23" t="s">
        <v>93</v>
      </c>
      <c r="D26" s="24" t="s">
        <v>152</v>
      </c>
      <c r="E26" s="5"/>
      <c r="F26" s="5"/>
      <c r="G26" s="5"/>
    </row>
    <row r="27" spans="2:7" x14ac:dyDescent="0.45">
      <c r="B27" s="63" t="s">
        <v>190</v>
      </c>
      <c r="C27" s="26" t="s">
        <v>169</v>
      </c>
      <c r="D27" s="48">
        <f>Budget</f>
        <v>15.744</v>
      </c>
      <c r="E27" s="28"/>
      <c r="F27" s="28"/>
      <c r="G27" s="28"/>
    </row>
    <row r="28" spans="2:7" x14ac:dyDescent="0.45">
      <c r="B28" s="63" t="s">
        <v>219</v>
      </c>
      <c r="C28" s="26" t="s">
        <v>169</v>
      </c>
      <c r="D28" s="48">
        <f>SteelBudget</f>
        <v>10.8</v>
      </c>
      <c r="E28" s="28"/>
      <c r="F28" s="28"/>
      <c r="G28" s="28"/>
    </row>
    <row r="29" spans="2:7" ht="8" customHeight="1" x14ac:dyDescent="0.45"/>
    <row r="30" spans="2:7" ht="22.05" customHeight="1" x14ac:dyDescent="0.5">
      <c r="B30" s="7" t="s">
        <v>220</v>
      </c>
      <c r="C30" s="8"/>
      <c r="D30" s="8"/>
      <c r="E30" s="8"/>
      <c r="F30" s="8"/>
      <c r="G30" s="8"/>
    </row>
    <row r="31" spans="2:7" ht="18" customHeight="1" x14ac:dyDescent="0.45">
      <c r="B31" s="13" t="s">
        <v>221</v>
      </c>
    </row>
    <row r="32" spans="2:7" ht="18" customHeight="1" x14ac:dyDescent="0.45">
      <c r="B32" s="23" t="s">
        <v>218</v>
      </c>
      <c r="C32" s="23" t="s">
        <v>93</v>
      </c>
      <c r="D32" s="24" t="s">
        <v>222</v>
      </c>
      <c r="E32" s="24" t="s">
        <v>223</v>
      </c>
      <c r="F32" s="24" t="s">
        <v>224</v>
      </c>
      <c r="G32" s="24" t="s">
        <v>205</v>
      </c>
    </row>
    <row r="33" spans="2:18" x14ac:dyDescent="0.45">
      <c r="B33" s="25" t="s">
        <v>193</v>
      </c>
      <c r="C33" s="26" t="s">
        <v>113</v>
      </c>
      <c r="D33" s="64" cm="1">
        <f t="array" aca="1" ref="D33" ca="1">_xll.VoseSimPercentile(AvgSteel,0.1)</f>
        <v>676.9441936167575</v>
      </c>
      <c r="E33" s="64" cm="1">
        <f t="array" aca="1" ref="E33" ca="1">_xll.VoseSimPercentile(AvgSteel,0.5)</f>
        <v>857.35503990159964</v>
      </c>
      <c r="F33" s="64" cm="1">
        <f t="array" aca="1" ref="F33" ca="1">_xll.VoseSimPercentile(AvgSteel,0.9)</f>
        <v>1087.4223892212988</v>
      </c>
      <c r="G33" s="64" cm="1">
        <f t="array" aca="1" ref="G33" ca="1">_xll.VoseSimMean(AvgSteel)</f>
        <v>871.9558837749729</v>
      </c>
    </row>
    <row r="34" spans="2:18" ht="8" customHeight="1" x14ac:dyDescent="0.45"/>
    <row r="35" spans="2:18" ht="22.05" customHeight="1" x14ac:dyDescent="0.5">
      <c r="B35" s="7" t="s">
        <v>225</v>
      </c>
      <c r="C35" s="8"/>
      <c r="D35" s="8"/>
      <c r="E35" s="8"/>
      <c r="F35" s="8"/>
      <c r="G35" s="8"/>
      <c r="I35" s="55" t="s">
        <v>226</v>
      </c>
      <c r="J35" s="8"/>
      <c r="K35" s="8"/>
      <c r="L35" s="8"/>
      <c r="M35" s="8"/>
      <c r="N35" s="8"/>
      <c r="O35" s="8"/>
      <c r="P35" s="8"/>
      <c r="Q35" s="8"/>
      <c r="R35" s="8"/>
    </row>
    <row r="36" spans="2:18" ht="32" customHeight="1" x14ac:dyDescent="0.45">
      <c r="B36" s="70" t="s">
        <v>227</v>
      </c>
      <c r="C36" s="69"/>
      <c r="D36" s="69"/>
      <c r="E36" s="69"/>
      <c r="F36" s="69"/>
      <c r="G36" s="69"/>
    </row>
    <row r="37" spans="2:18" ht="45" customHeight="1" x14ac:dyDescent="0.45">
      <c r="B37" s="70" t="s">
        <v>228</v>
      </c>
      <c r="C37" s="69"/>
      <c r="D37" s="69"/>
      <c r="E37" s="69"/>
      <c r="F37" s="69"/>
      <c r="G37" s="69"/>
    </row>
    <row r="38" spans="2:18" ht="45" customHeight="1" x14ac:dyDescent="0.45">
      <c r="B38" s="70" t="s">
        <v>229</v>
      </c>
      <c r="C38" s="69"/>
      <c r="D38" s="69"/>
      <c r="E38" s="69"/>
      <c r="F38" s="69"/>
      <c r="G38" s="69"/>
    </row>
    <row r="39" spans="2:18" ht="19.05" customHeight="1" x14ac:dyDescent="0.45">
      <c r="B39" s="70" t="s">
        <v>230</v>
      </c>
      <c r="C39" s="69"/>
      <c r="D39" s="69"/>
      <c r="E39" s="69"/>
      <c r="F39" s="69"/>
      <c r="G39" s="69"/>
    </row>
    <row r="40" spans="2:18" ht="14" customHeight="1" x14ac:dyDescent="0.45"/>
    <row r="51" spans="2:7" ht="14" customHeight="1" x14ac:dyDescent="0.45"/>
    <row r="52" spans="2:7" ht="22.05" customHeight="1" x14ac:dyDescent="0.5">
      <c r="B52" s="7" t="s">
        <v>231</v>
      </c>
      <c r="C52" s="8"/>
      <c r="D52" s="8"/>
      <c r="E52" s="8"/>
      <c r="F52" s="8"/>
      <c r="G52" s="8"/>
    </row>
    <row r="53" spans="2:7" ht="18" customHeight="1" x14ac:dyDescent="0.45">
      <c r="B53" s="13" t="s">
        <v>232</v>
      </c>
    </row>
    <row r="54" spans="2:7" ht="28.05" hidden="1" customHeight="1" outlineLevel="1" x14ac:dyDescent="0.45">
      <c r="B54" s="24" t="s">
        <v>233</v>
      </c>
      <c r="C54" s="24" t="s">
        <v>234</v>
      </c>
      <c r="D54" s="24" t="s">
        <v>235</v>
      </c>
      <c r="E54" s="24" t="s">
        <v>236</v>
      </c>
      <c r="F54" s="24" t="s">
        <v>237</v>
      </c>
      <c r="G54" s="24" t="s">
        <v>238</v>
      </c>
    </row>
    <row r="55" spans="2:7" hidden="1" outlineLevel="1" x14ac:dyDescent="0.45">
      <c r="B55" s="65">
        <v>0.01</v>
      </c>
      <c r="C55" s="65">
        <f t="shared" ref="C55:C86" si="0">1-B55</f>
        <v>0.99</v>
      </c>
      <c r="D55" s="66" cm="1">
        <f t="array" aca="1" ref="D55" ca="1">IF(ISNUMBER(_xll.VoseSimPercentile(Total_Spot,$B55)),_xll.VoseSimPercentile(Total_Spot,$B55),NA())</f>
        <v>11.590064004667706</v>
      </c>
      <c r="E55" s="66" cm="1">
        <f t="array" aca="1" ref="E55" ca="1">IF(ISNUMBER(_xll.VoseSimPercentile(Total_Fwd,$B55)),_xll.VoseSimPercentile(Total_Fwd,$B55),NA())</f>
        <v>15.171971572243699</v>
      </c>
      <c r="F55" s="66" cm="1">
        <f t="array" aca="1" ref="F55" ca="1">IF(ISNUMBER(_xll.VoseSimPercentile(Total_Half,$B55)),_xll.VoseSimPercentile(Total_Half,$B55),NA())</f>
        <v>13.575616354269219</v>
      </c>
      <c r="G55" s="66" cm="1">
        <f t="array" aca="1" ref="G55" ca="1">IF(ISNUMBER(_xll.VoseSimPercentile(Total_Cap,$B55)),_xll.VoseSimPercentile(Total_Cap,$B55),NA())</f>
        <v>12.130064004667709</v>
      </c>
    </row>
    <row r="56" spans="2:7" hidden="1" outlineLevel="1" x14ac:dyDescent="0.45">
      <c r="B56" s="65">
        <v>0.03</v>
      </c>
      <c r="C56" s="65">
        <f t="shared" si="0"/>
        <v>0.97</v>
      </c>
      <c r="D56" s="66" cm="1">
        <f t="array" aca="1" ref="D56" ca="1">IF(ISNUMBER(_xll.VoseSimPercentile(Total_Spot,$B56)),_xll.VoseSimPercentile(Total_Spot,$B56),NA())</f>
        <v>12.227485524897663</v>
      </c>
      <c r="E56" s="66" cm="1">
        <f t="array" aca="1" ref="E56" ca="1">IF(ISNUMBER(_xll.VoseSimPercentile(Total_Fwd,$B56)),_xll.VoseSimPercentile(Total_Fwd,$B56),NA())</f>
        <v>15.265289846348052</v>
      </c>
      <c r="F56" s="66" cm="1">
        <f t="array" aca="1" ref="F56" ca="1">IF(ISNUMBER(_xll.VoseSimPercentile(Total_Half,$B56)),_xll.VoseSimPercentile(Total_Half,$B56),NA())</f>
        <v>13.917147443585483</v>
      </c>
      <c r="G56" s="66" cm="1">
        <f t="array" aca="1" ref="G56" ca="1">IF(ISNUMBER(_xll.VoseSimPercentile(Total_Cap,$B56)),_xll.VoseSimPercentile(Total_Cap,$B56),NA())</f>
        <v>12.767485524897666</v>
      </c>
    </row>
    <row r="57" spans="2:7" hidden="1" outlineLevel="1" x14ac:dyDescent="0.45">
      <c r="B57" s="65">
        <v>0.05</v>
      </c>
      <c r="C57" s="65">
        <f t="shared" si="0"/>
        <v>0.95</v>
      </c>
      <c r="D57" s="66" cm="1">
        <f t="array" aca="1" ref="D57" ca="1">IF(ISNUMBER(_xll.VoseSimPercentile(Total_Spot,$B57)),_xll.VoseSimPercentile(Total_Spot,$B57),NA())</f>
        <v>12.542133400977932</v>
      </c>
      <c r="E57" s="66" cm="1">
        <f t="array" aca="1" ref="E57" ca="1">IF(ISNUMBER(_xll.VoseSimPercentile(Total_Fwd,$B57)),_xll.VoseSimPercentile(Total_Fwd,$B57),NA())</f>
        <v>15.310762515306223</v>
      </c>
      <c r="F57" s="66" cm="1">
        <f t="array" aca="1" ref="F57" ca="1">IF(ISNUMBER(_xll.VoseSimPercentile(Total_Half,$B57)),_xll.VoseSimPercentile(Total_Half,$B57),NA())</f>
        <v>14.07857012034628</v>
      </c>
      <c r="G57" s="66" cm="1">
        <f t="array" aca="1" ref="G57" ca="1">IF(ISNUMBER(_xll.VoseSimPercentile(Total_Cap,$B57)),_xll.VoseSimPercentile(Total_Cap,$B57),NA())</f>
        <v>13.082133400977932</v>
      </c>
    </row>
    <row r="58" spans="2:7" hidden="1" outlineLevel="1" x14ac:dyDescent="0.45">
      <c r="B58" s="65">
        <v>7.0000000000000007E-2</v>
      </c>
      <c r="C58" s="65">
        <f t="shared" si="0"/>
        <v>0.92999999999999994</v>
      </c>
      <c r="D58" s="66" cm="1">
        <f t="array" aca="1" ref="D58" ca="1">IF(ISNUMBER(_xll.VoseSimPercentile(Total_Spot,$B58)),_xll.VoseSimPercentile(Total_Spot,$B58),NA())</f>
        <v>12.788688416702742</v>
      </c>
      <c r="E58" s="66" cm="1">
        <f t="array" aca="1" ref="E58" ca="1">IF(ISNUMBER(_xll.VoseSimPercentile(Total_Fwd,$B58)),_xll.VoseSimPercentile(Total_Fwd,$B58),NA())</f>
        <v>15.343753971711877</v>
      </c>
      <c r="F58" s="66" cm="1">
        <f t="array" aca="1" ref="F58" ca="1">IF(ISNUMBER(_xll.VoseSimPercentile(Total_Half,$B58)),_xll.VoseSimPercentile(Total_Half,$B58),NA())</f>
        <v>14.201177399621216</v>
      </c>
      <c r="G58" s="66" cm="1">
        <f t="array" aca="1" ref="G58" ca="1">IF(ISNUMBER(_xll.VoseSimPercentile(Total_Cap,$B58)),_xll.VoseSimPercentile(Total_Cap,$B58),NA())</f>
        <v>13.328688416702741</v>
      </c>
    </row>
    <row r="59" spans="2:7" hidden="1" outlineLevel="1" x14ac:dyDescent="0.45">
      <c r="B59" s="65">
        <v>0.09</v>
      </c>
      <c r="C59" s="65">
        <f t="shared" si="0"/>
        <v>0.91</v>
      </c>
      <c r="D59" s="66" cm="1">
        <f t="array" aca="1" ref="D59" ca="1">IF(ISNUMBER(_xll.VoseSimPercentile(Total_Spot,$B59)),_xll.VoseSimPercentile(Total_Spot,$B59),NA())</f>
        <v>13.000178591993249</v>
      </c>
      <c r="E59" s="66" cm="1">
        <f t="array" aca="1" ref="E59" ca="1">IF(ISNUMBER(_xll.VoseSimPercentile(Total_Fwd,$B59)),_xll.VoseSimPercentile(Total_Fwd,$B59),NA())</f>
        <v>15.371706673166944</v>
      </c>
      <c r="F59" s="66" cm="1">
        <f t="array" aca="1" ref="F59" ca="1">IF(ISNUMBER(_xll.VoseSimPercentile(Total_Half,$B59)),_xll.VoseSimPercentile(Total_Half,$B59),NA())</f>
        <v>14.30844196405139</v>
      </c>
      <c r="G59" s="66" cm="1">
        <f t="array" aca="1" ref="G59" ca="1">IF(ISNUMBER(_xll.VoseSimPercentile(Total_Cap,$B59)),_xll.VoseSimPercentile(Total_Cap,$B59),NA())</f>
        <v>13.540178591993248</v>
      </c>
    </row>
    <row r="60" spans="2:7" hidden="1" outlineLevel="1" x14ac:dyDescent="0.45">
      <c r="B60" s="65">
        <v>0.11</v>
      </c>
      <c r="C60" s="65">
        <f t="shared" si="0"/>
        <v>0.89</v>
      </c>
      <c r="D60" s="66" cm="1">
        <f t="array" aca="1" ref="D60" ca="1">IF(ISNUMBER(_xll.VoseSimPercentile(Total_Spot,$B60)),_xll.VoseSimPercentile(Total_Spot,$B60),NA())</f>
        <v>13.162136743342995</v>
      </c>
      <c r="E60" s="66" cm="1">
        <f t="array" aca="1" ref="E60" ca="1">IF(ISNUMBER(_xll.VoseSimPercentile(Total_Fwd,$B60)),_xll.VoseSimPercentile(Total_Fwd,$B60),NA())</f>
        <v>15.39631238469784</v>
      </c>
      <c r="F60" s="66" cm="1">
        <f t="array" aca="1" ref="F60" ca="1">IF(ISNUMBER(_xll.VoseSimPercentile(Total_Half,$B60)),_xll.VoseSimPercentile(Total_Half,$B60),NA())</f>
        <v>14.396873593878812</v>
      </c>
      <c r="G60" s="66" cm="1">
        <f t="array" aca="1" ref="G60" ca="1">IF(ISNUMBER(_xll.VoseSimPercentile(Total_Cap,$B60)),_xll.VoseSimPercentile(Total_Cap,$B60),NA())</f>
        <v>13.701862700773859</v>
      </c>
    </row>
    <row r="61" spans="2:7" hidden="1" outlineLevel="1" x14ac:dyDescent="0.45">
      <c r="B61" s="65">
        <v>0.13</v>
      </c>
      <c r="C61" s="65">
        <f t="shared" si="0"/>
        <v>0.87</v>
      </c>
      <c r="D61" s="66" cm="1">
        <f t="array" aca="1" ref="D61" ca="1">IF(ISNUMBER(_xll.VoseSimPercentile(Total_Spot,$B61)),_xll.VoseSimPercentile(Total_Spot,$B61),NA())</f>
        <v>13.317103682737757</v>
      </c>
      <c r="E61" s="66" cm="1">
        <f t="array" aca="1" ref="E61" ca="1">IF(ISNUMBER(_xll.VoseSimPercentile(Total_Fwd,$B61)),_xll.VoseSimPercentile(Total_Fwd,$B61),NA())</f>
        <v>15.417524152317609</v>
      </c>
      <c r="F61" s="66" cm="1">
        <f t="array" aca="1" ref="F61" ca="1">IF(ISNUMBER(_xll.VoseSimPercentile(Total_Half,$B61)),_xll.VoseSimPercentile(Total_Half,$B61),NA())</f>
        <v>14.467481129248906</v>
      </c>
      <c r="G61" s="66" cm="1">
        <f t="array" aca="1" ref="G61" ca="1">IF(ISNUMBER(_xll.VoseSimPercentile(Total_Cap,$B61)),_xll.VoseSimPercentile(Total_Cap,$B61),NA())</f>
        <v>13.857103682737755</v>
      </c>
    </row>
    <row r="62" spans="2:7" hidden="1" outlineLevel="1" x14ac:dyDescent="0.45">
      <c r="B62" s="65">
        <v>0.15</v>
      </c>
      <c r="C62" s="65">
        <f t="shared" si="0"/>
        <v>0.85</v>
      </c>
      <c r="D62" s="66" cm="1">
        <f t="array" aca="1" ref="D62" ca="1">IF(ISNUMBER(_xll.VoseSimPercentile(Total_Spot,$B62)),_xll.VoseSimPercentile(Total_Spot,$B62),NA())</f>
        <v>13.461100392908447</v>
      </c>
      <c r="E62" s="66" cm="1">
        <f t="array" aca="1" ref="E62" ca="1">IF(ISNUMBER(_xll.VoseSimPercentile(Total_Fwd,$B62)),_xll.VoseSimPercentile(Total_Fwd,$B62),NA())</f>
        <v>15.436591319661193</v>
      </c>
      <c r="F62" s="66" cm="1">
        <f t="array" aca="1" ref="F62" ca="1">IF(ISNUMBER(_xll.VoseSimPercentile(Total_Half,$B62)),_xll.VoseSimPercentile(Total_Half,$B62),NA())</f>
        <v>14.543604560999331</v>
      </c>
      <c r="G62" s="66" cm="1">
        <f t="array" aca="1" ref="G62" ca="1">IF(ISNUMBER(_xll.VoseSimPercentile(Total_Cap,$B62)),_xll.VoseSimPercentile(Total_Cap,$B62),NA())</f>
        <v>14.001100392908446</v>
      </c>
    </row>
    <row r="63" spans="2:7" hidden="1" outlineLevel="1" x14ac:dyDescent="0.45">
      <c r="B63" s="65">
        <v>0.17</v>
      </c>
      <c r="C63" s="65">
        <f t="shared" si="0"/>
        <v>0.83</v>
      </c>
      <c r="D63" s="66" cm="1">
        <f t="array" aca="1" ref="D63" ca="1">IF(ISNUMBER(_xll.VoseSimPercentile(Total_Spot,$B63)),_xll.VoseSimPercentile(Total_Spot,$B63),NA())</f>
        <v>13.597252170117654</v>
      </c>
      <c r="E63" s="66" cm="1">
        <f t="array" aca="1" ref="E63" ca="1">IF(ISNUMBER(_xll.VoseSimPercentile(Total_Fwd,$B63)),_xll.VoseSimPercentile(Total_Fwd,$B63),NA())</f>
        <v>15.454125359341955</v>
      </c>
      <c r="F63" s="66" cm="1">
        <f t="array" aca="1" ref="F63" ca="1">IF(ISNUMBER(_xll.VoseSimPercentile(Total_Half,$B63)),_xll.VoseSimPercentile(Total_Half,$B63),NA())</f>
        <v>14.60810922770321</v>
      </c>
      <c r="G63" s="66" cm="1">
        <f t="array" aca="1" ref="G63" ca="1">IF(ISNUMBER(_xll.VoseSimPercentile(Total_Cap,$B63)),_xll.VoseSimPercentile(Total_Cap,$B63),NA())</f>
        <v>14.137252170117653</v>
      </c>
    </row>
    <row r="64" spans="2:7" hidden="1" outlineLevel="1" x14ac:dyDescent="0.45">
      <c r="B64" s="65">
        <v>0.19</v>
      </c>
      <c r="C64" s="65">
        <f t="shared" si="0"/>
        <v>0.81</v>
      </c>
      <c r="D64" s="66" cm="1">
        <f t="array" aca="1" ref="D64" ca="1">IF(ISNUMBER(_xll.VoseSimPercentile(Total_Spot,$B64)),_xll.VoseSimPercentile(Total_Spot,$B64),NA())</f>
        <v>13.708532644571211</v>
      </c>
      <c r="E64" s="66" cm="1">
        <f t="array" aca="1" ref="E64" ca="1">IF(ISNUMBER(_xll.VoseSimPercentile(Total_Fwd,$B64)),_xll.VoseSimPercentile(Total_Fwd,$B64),NA())</f>
        <v>15.470537849632926</v>
      </c>
      <c r="F64" s="66" cm="1">
        <f t="array" aca="1" ref="F64" ca="1">IF(ISNUMBER(_xll.VoseSimPercentile(Total_Half,$B64)),_xll.VoseSimPercentile(Total_Half,$B64),NA())</f>
        <v>14.668579744579903</v>
      </c>
      <c r="G64" s="66" cm="1">
        <f t="array" aca="1" ref="G64" ca="1">IF(ISNUMBER(_xll.VoseSimPercentile(Total_Cap,$B64)),_xll.VoseSimPercentile(Total_Cap,$B64),NA())</f>
        <v>14.248532644571213</v>
      </c>
    </row>
    <row r="65" spans="2:7" hidden="1" outlineLevel="1" x14ac:dyDescent="0.45">
      <c r="B65" s="65">
        <v>0.21</v>
      </c>
      <c r="C65" s="65">
        <f t="shared" si="0"/>
        <v>0.79</v>
      </c>
      <c r="D65" s="66" cm="1">
        <f t="array" aca="1" ref="D65" ca="1">IF(ISNUMBER(_xll.VoseSimPercentile(Total_Spot,$B65)),_xll.VoseSimPercentile(Total_Spot,$B65),NA())</f>
        <v>13.828154985154068</v>
      </c>
      <c r="E65" s="66" cm="1">
        <f t="array" aca="1" ref="E65" ca="1">IF(ISNUMBER(_xll.VoseSimPercentile(Total_Fwd,$B65)),_xll.VoseSimPercentile(Total_Fwd,$B65),NA())</f>
        <v>15.486295871113605</v>
      </c>
      <c r="F65" s="66" cm="1">
        <f t="array" aca="1" ref="F65" ca="1">IF(ISNUMBER(_xll.VoseSimPercentile(Total_Half,$B65)),_xll.VoseSimPercentile(Total_Half,$B65),NA())</f>
        <v>14.733876642615783</v>
      </c>
      <c r="G65" s="66" cm="1">
        <f t="array" aca="1" ref="G65" ca="1">IF(ISNUMBER(_xll.VoseSimPercentile(Total_Cap,$B65)),_xll.VoseSimPercentile(Total_Cap,$B65),NA())</f>
        <v>14.368154985154064</v>
      </c>
    </row>
    <row r="66" spans="2:7" hidden="1" outlineLevel="1" x14ac:dyDescent="0.45">
      <c r="B66" s="65">
        <v>0.23</v>
      </c>
      <c r="C66" s="65">
        <f t="shared" si="0"/>
        <v>0.77</v>
      </c>
      <c r="D66" s="66" cm="1">
        <f t="array" aca="1" ref="D66" ca="1">IF(ISNUMBER(_xll.VoseSimPercentile(Total_Spot,$B66)),_xll.VoseSimPercentile(Total_Spot,$B66),NA())</f>
        <v>13.940561564397154</v>
      </c>
      <c r="E66" s="66" cm="1">
        <f t="array" aca="1" ref="E66" ca="1">IF(ISNUMBER(_xll.VoseSimPercentile(Total_Fwd,$B66)),_xll.VoseSimPercentile(Total_Fwd,$B66),NA())</f>
        <v>15.500914684358705</v>
      </c>
      <c r="F66" s="66" cm="1">
        <f t="array" aca="1" ref="F66" ca="1">IF(ISNUMBER(_xll.VoseSimPercentile(Total_Half,$B66)),_xll.VoseSimPercentile(Total_Half,$B66),NA())</f>
        <v>14.790451509957443</v>
      </c>
      <c r="G66" s="66" cm="1">
        <f t="array" aca="1" ref="G66" ca="1">IF(ISNUMBER(_xll.VoseSimPercentile(Total_Cap,$B66)),_xll.VoseSimPercentile(Total_Cap,$B66),NA())</f>
        <v>14.480060563069143</v>
      </c>
    </row>
    <row r="67" spans="2:7" hidden="1" outlineLevel="1" x14ac:dyDescent="0.45">
      <c r="B67" s="65">
        <v>0.25</v>
      </c>
      <c r="C67" s="65">
        <f t="shared" si="0"/>
        <v>0.75</v>
      </c>
      <c r="D67" s="66" cm="1">
        <f t="array" aca="1" ref="D67" ca="1">IF(ISNUMBER(_xll.VoseSimPercentile(Total_Spot,$B67)),_xll.VoseSimPercentile(Total_Spot,$B67),NA())</f>
        <v>14.050397546140342</v>
      </c>
      <c r="E67" s="66" cm="1">
        <f t="array" aca="1" ref="E67" ca="1">IF(ISNUMBER(_xll.VoseSimPercentile(Total_Fwd,$B67)),_xll.VoseSimPercentile(Total_Fwd,$B67),NA())</f>
        <v>15.516026802874315</v>
      </c>
      <c r="F67" s="66" cm="1">
        <f t="array" aca="1" ref="F67" ca="1">IF(ISNUMBER(_xll.VoseSimPercentile(Total_Half,$B67)),_xll.VoseSimPercentile(Total_Half,$B67),NA())</f>
        <v>14.846244303002074</v>
      </c>
      <c r="G67" s="66" cm="1">
        <f t="array" aca="1" ref="G67" ca="1">IF(ISNUMBER(_xll.VoseSimPercentile(Total_Cap,$B67)),_xll.VoseSimPercentile(Total_Cap,$B67),NA())</f>
        <v>14.588843609581007</v>
      </c>
    </row>
    <row r="68" spans="2:7" hidden="1" outlineLevel="1" x14ac:dyDescent="0.45">
      <c r="B68" s="65">
        <v>0.27</v>
      </c>
      <c r="C68" s="65">
        <f t="shared" si="0"/>
        <v>0.73</v>
      </c>
      <c r="D68" s="66" cm="1">
        <f t="array" aca="1" ref="D68" ca="1">IF(ISNUMBER(_xll.VoseSimPercentile(Total_Spot,$B68)),_xll.VoseSimPercentile(Total_Spot,$B68),NA())</f>
        <v>14.157739905994822</v>
      </c>
      <c r="E68" s="66" cm="1">
        <f t="array" aca="1" ref="E68" ca="1">IF(ISNUMBER(_xll.VoseSimPercentile(Total_Fwd,$B68)),_xll.VoseSimPercentile(Total_Fwd,$B68),NA())</f>
        <v>15.529328974393598</v>
      </c>
      <c r="F68" s="66" cm="1">
        <f t="array" aca="1" ref="F68" ca="1">IF(ISNUMBER(_xll.VoseSimPercentile(Total_Half,$B68)),_xll.VoseSimPercentile(Total_Half,$B68),NA())</f>
        <v>14.901255506835543</v>
      </c>
      <c r="G68" s="66" cm="1">
        <f t="array" aca="1" ref="G68" ca="1">IF(ISNUMBER(_xll.VoseSimPercentile(Total_Cap,$B68)),_xll.VoseSimPercentile(Total_Cap,$B68),NA())</f>
        <v>14.69210782098396</v>
      </c>
    </row>
    <row r="69" spans="2:7" hidden="1" outlineLevel="1" x14ac:dyDescent="0.45">
      <c r="B69" s="65">
        <v>0.28999999999999998</v>
      </c>
      <c r="C69" s="65">
        <f t="shared" si="0"/>
        <v>0.71</v>
      </c>
      <c r="D69" s="66" cm="1">
        <f t="array" aca="1" ref="D69" ca="1">IF(ISNUMBER(_xll.VoseSimPercentile(Total_Spot,$B69)),_xll.VoseSimPercentile(Total_Spot,$B69),NA())</f>
        <v>14.261152517459266</v>
      </c>
      <c r="E69" s="66" cm="1">
        <f t="array" aca="1" ref="E69" ca="1">IF(ISNUMBER(_xll.VoseSimPercentile(Total_Fwd,$B69)),_xll.VoseSimPercentile(Total_Fwd,$B69),NA())</f>
        <v>15.541381419902537</v>
      </c>
      <c r="F69" s="66" cm="1">
        <f t="array" aca="1" ref="F69" ca="1">IF(ISNUMBER(_xll.VoseSimPercentile(Total_Half,$B69)),_xll.VoseSimPercentile(Total_Half,$B69),NA())</f>
        <v>14.947918436073206</v>
      </c>
      <c r="G69" s="66" cm="1">
        <f t="array" aca="1" ref="G69" ca="1">IF(ISNUMBER(_xll.VoseSimPercentile(Total_Cap,$B69)),_xll.VoseSimPercentile(Total_Cap,$B69),NA())</f>
        <v>14.798572852608645</v>
      </c>
    </row>
    <row r="70" spans="2:7" hidden="1" outlineLevel="1" x14ac:dyDescent="0.45">
      <c r="B70" s="65">
        <v>0.31</v>
      </c>
      <c r="C70" s="65">
        <f t="shared" si="0"/>
        <v>0.69</v>
      </c>
      <c r="D70" s="66" cm="1">
        <f t="array" aca="1" ref="D70" ca="1">IF(ISNUMBER(_xll.VoseSimPercentile(Total_Spot,$B70)),_xll.VoseSimPercentile(Total_Spot,$B70),NA())</f>
        <v>14.362548443362488</v>
      </c>
      <c r="E70" s="66" cm="1">
        <f t="array" aca="1" ref="E70" ca="1">IF(ISNUMBER(_xll.VoseSimPercentile(Total_Fwd,$B70)),_xll.VoseSimPercentile(Total_Fwd,$B70),NA())</f>
        <v>15.552971501846146</v>
      </c>
      <c r="F70" s="66" cm="1">
        <f t="array" aca="1" ref="F70" ca="1">IF(ISNUMBER(_xll.VoseSimPercentile(Total_Half,$B70)),_xll.VoseSimPercentile(Total_Half,$B70),NA())</f>
        <v>15.007052922728924</v>
      </c>
      <c r="G70" s="66" cm="1">
        <f t="array" aca="1" ref="G70" ca="1">IF(ISNUMBER(_xll.VoseSimPercentile(Total_Cap,$B70)),_xll.VoseSimPercentile(Total_Cap,$B70),NA())</f>
        <v>14.895691761326777</v>
      </c>
    </row>
    <row r="71" spans="2:7" hidden="1" outlineLevel="1" x14ac:dyDescent="0.45">
      <c r="B71" s="65">
        <v>0.33</v>
      </c>
      <c r="C71" s="65">
        <f t="shared" si="0"/>
        <v>0.66999999999999993</v>
      </c>
      <c r="D71" s="66" cm="1">
        <f t="array" aca="1" ref="D71" ca="1">IF(ISNUMBER(_xll.VoseSimPercentile(Total_Spot,$B71)),_xll.VoseSimPercentile(Total_Spot,$B71),NA())</f>
        <v>14.458931052376027</v>
      </c>
      <c r="E71" s="66" cm="1">
        <f t="array" aca="1" ref="E71" ca="1">IF(ISNUMBER(_xll.VoseSimPercentile(Total_Fwd,$B71)),_xll.VoseSimPercentile(Total_Fwd,$B71),NA())</f>
        <v>15.565512472616511</v>
      </c>
      <c r="F71" s="66" cm="1">
        <f t="array" aca="1" ref="F71" ca="1">IF(ISNUMBER(_xll.VoseSimPercentile(Total_Half,$B71)),_xll.VoseSimPercentile(Total_Half,$B71),NA())</f>
        <v>15.054960099883743</v>
      </c>
      <c r="G71" s="66" cm="1">
        <f t="array" aca="1" ref="G71" ca="1">IF(ISNUMBER(_xll.VoseSimPercentile(Total_Cap,$B71)),_xll.VoseSimPercentile(Total_Cap,$B71),NA())</f>
        <v>14.991899899270745</v>
      </c>
    </row>
    <row r="72" spans="2:7" hidden="1" outlineLevel="1" x14ac:dyDescent="0.45">
      <c r="B72" s="65">
        <v>0.35</v>
      </c>
      <c r="C72" s="65">
        <f t="shared" si="0"/>
        <v>0.65</v>
      </c>
      <c r="D72" s="66" cm="1">
        <f t="array" aca="1" ref="D72" ca="1">IF(ISNUMBER(_xll.VoseSimPercentile(Total_Spot,$B72)),_xll.VoseSimPercentile(Total_Spot,$B72),NA())</f>
        <v>14.553795133468252</v>
      </c>
      <c r="E72" s="66" cm="1">
        <f t="array" aca="1" ref="E72" ca="1">IF(ISNUMBER(_xll.VoseSimPercentile(Total_Fwd,$B72)),_xll.VoseSimPercentile(Total_Fwd,$B72),NA())</f>
        <v>15.578289323213157</v>
      </c>
      <c r="F72" s="66" cm="1">
        <f t="array" aca="1" ref="F72" ca="1">IF(ISNUMBER(_xll.VoseSimPercentile(Total_Half,$B72)),_xll.VoseSimPercentile(Total_Half,$B72),NA())</f>
        <v>15.107292183622087</v>
      </c>
      <c r="G72" s="66" cm="1">
        <f t="array" aca="1" ref="G72" ca="1">IF(ISNUMBER(_xll.VoseSimPercentile(Total_Cap,$B72)),_xll.VoseSimPercentile(Total_Cap,$B72),NA())</f>
        <v>15.085287641161543</v>
      </c>
    </row>
    <row r="73" spans="2:7" hidden="1" outlineLevel="1" x14ac:dyDescent="0.45">
      <c r="B73" s="65">
        <v>0.37</v>
      </c>
      <c r="C73" s="65">
        <f t="shared" si="0"/>
        <v>0.63</v>
      </c>
      <c r="D73" s="66" cm="1">
        <f t="array" aca="1" ref="D73" ca="1">IF(ISNUMBER(_xll.VoseSimPercentile(Total_Spot,$B73)),_xll.VoseSimPercentile(Total_Spot,$B73),NA())</f>
        <v>14.649666318538113</v>
      </c>
      <c r="E73" s="66" cm="1">
        <f t="array" aca="1" ref="E73" ca="1">IF(ISNUMBER(_xll.VoseSimPercentile(Total_Fwd,$B73)),_xll.VoseSimPercentile(Total_Fwd,$B73),NA())</f>
        <v>15.58998597206584</v>
      </c>
      <c r="F73" s="66" cm="1">
        <f t="array" aca="1" ref="F73" ca="1">IF(ISNUMBER(_xll.VoseSimPercentile(Total_Half,$B73)),_xll.VoseSimPercentile(Total_Half,$B73),NA())</f>
        <v>15.154876594588343</v>
      </c>
      <c r="G73" s="66" cm="1">
        <f t="array" aca="1" ref="G73" ca="1">IF(ISNUMBER(_xll.VoseSimPercentile(Total_Cap,$B73)),_xll.VoseSimPercentile(Total_Cap,$B73),NA())</f>
        <v>15.178558326080218</v>
      </c>
    </row>
    <row r="74" spans="2:7" hidden="1" outlineLevel="1" x14ac:dyDescent="0.45">
      <c r="B74" s="65">
        <v>0.39</v>
      </c>
      <c r="C74" s="65">
        <f t="shared" si="0"/>
        <v>0.61</v>
      </c>
      <c r="D74" s="66" cm="1">
        <f t="array" aca="1" ref="D74" ca="1">IF(ISNUMBER(_xll.VoseSimPercentile(Total_Spot,$B74)),_xll.VoseSimPercentile(Total_Spot,$B74),NA())</f>
        <v>14.73924144836932</v>
      </c>
      <c r="E74" s="66" cm="1">
        <f t="array" aca="1" ref="E74" ca="1">IF(ISNUMBER(_xll.VoseSimPercentile(Total_Fwd,$B74)),_xll.VoseSimPercentile(Total_Fwd,$B74),NA())</f>
        <v>15.601242745158221</v>
      </c>
      <c r="F74" s="66" cm="1">
        <f t="array" aca="1" ref="F74" ca="1">IF(ISNUMBER(_xll.VoseSimPercentile(Total_Half,$B74)),_xll.VoseSimPercentile(Total_Half,$B74),NA())</f>
        <v>15.208620130306128</v>
      </c>
      <c r="G74" s="66" cm="1">
        <f t="array" aca="1" ref="G74" ca="1">IF(ISNUMBER(_xll.VoseSimPercentile(Total_Cap,$B74)),_xll.VoseSimPercentile(Total_Cap,$B74),NA())</f>
        <v>15.263506972624953</v>
      </c>
    </row>
    <row r="75" spans="2:7" hidden="1" outlineLevel="1" x14ac:dyDescent="0.45">
      <c r="B75" s="65">
        <v>0.41</v>
      </c>
      <c r="C75" s="65">
        <f t="shared" si="0"/>
        <v>0.59000000000000008</v>
      </c>
      <c r="D75" s="66" cm="1">
        <f t="array" aca="1" ref="D75" ca="1">IF(ISNUMBER(_xll.VoseSimPercentile(Total_Spot,$B75)),_xll.VoseSimPercentile(Total_Spot,$B75),NA())</f>
        <v>14.825439997760094</v>
      </c>
      <c r="E75" s="66" cm="1">
        <f t="array" aca="1" ref="E75" ca="1">IF(ISNUMBER(_xll.VoseSimPercentile(Total_Fwd,$B75)),_xll.VoseSimPercentile(Total_Fwd,$B75),NA())</f>
        <v>15.61464117333766</v>
      </c>
      <c r="F75" s="66" cm="1">
        <f t="array" aca="1" ref="F75" ca="1">IF(ISNUMBER(_xll.VoseSimPercentile(Total_Half,$B75)),_xll.VoseSimPercentile(Total_Half,$B75),NA())</f>
        <v>15.257795755218522</v>
      </c>
      <c r="G75" s="66" cm="1">
        <f t="array" aca="1" ref="G75" ca="1">IF(ISNUMBER(_xll.VoseSimPercentile(Total_Cap,$B75)),_xll.VoseSimPercentile(Total_Cap,$B75),NA())</f>
        <v>15.349165239000328</v>
      </c>
    </row>
    <row r="76" spans="2:7" hidden="1" outlineLevel="1" x14ac:dyDescent="0.45">
      <c r="B76" s="65">
        <v>0.43</v>
      </c>
      <c r="C76" s="65">
        <f t="shared" si="0"/>
        <v>0.57000000000000006</v>
      </c>
      <c r="D76" s="66" cm="1">
        <f t="array" aca="1" ref="D76" ca="1">IF(ISNUMBER(_xll.VoseSimPercentile(Total_Spot,$B76)),_xll.VoseSimPercentile(Total_Spot,$B76),NA())</f>
        <v>14.941722648191787</v>
      </c>
      <c r="E76" s="66" cm="1">
        <f t="array" aca="1" ref="E76" ca="1">IF(ISNUMBER(_xll.VoseSimPercentile(Total_Fwd,$B76)),_xll.VoseSimPercentile(Total_Fwd,$B76),NA())</f>
        <v>15.62580385758922</v>
      </c>
      <c r="F76" s="66" cm="1">
        <f t="array" aca="1" ref="F76" ca="1">IF(ISNUMBER(_xll.VoseSimPercentile(Total_Half,$B76)),_xll.VoseSimPercentile(Total_Half,$B76),NA())</f>
        <v>15.30566910725393</v>
      </c>
      <c r="G76" s="66" cm="1">
        <f t="array" aca="1" ref="G76" ca="1">IF(ISNUMBER(_xll.VoseSimPercentile(Total_Cap,$B76)),_xll.VoseSimPercentile(Total_Cap,$B76),NA())</f>
        <v>15.45338181490296</v>
      </c>
    </row>
    <row r="77" spans="2:7" hidden="1" outlineLevel="1" x14ac:dyDescent="0.45">
      <c r="B77" s="65">
        <v>0.45</v>
      </c>
      <c r="C77" s="65">
        <f t="shared" si="0"/>
        <v>0.55000000000000004</v>
      </c>
      <c r="D77" s="66" cm="1">
        <f t="array" aca="1" ref="D77" ca="1">IF(ISNUMBER(_xll.VoseSimPercentile(Total_Spot,$B77)),_xll.VoseSimPercentile(Total_Spot,$B77),NA())</f>
        <v>15.036214114115426</v>
      </c>
      <c r="E77" s="66" cm="1">
        <f t="array" aca="1" ref="E77" ca="1">IF(ISNUMBER(_xll.VoseSimPercentile(Total_Fwd,$B77)),_xll.VoseSimPercentile(Total_Fwd,$B77),NA())</f>
        <v>15.637540976621034</v>
      </c>
      <c r="F77" s="66" cm="1">
        <f t="array" aca="1" ref="F77" ca="1">IF(ISNUMBER(_xll.VoseSimPercentile(Total_Half,$B77)),_xll.VoseSimPercentile(Total_Half,$B77),NA())</f>
        <v>15.353797928968728</v>
      </c>
      <c r="G77" s="66" cm="1">
        <f t="array" aca="1" ref="G77" ca="1">IF(ISNUMBER(_xll.VoseSimPercentile(Total_Cap,$B77)),_xll.VoseSimPercentile(Total_Cap,$B77),NA())</f>
        <v>15.545814206741664</v>
      </c>
    </row>
    <row r="78" spans="2:7" hidden="1" outlineLevel="1" x14ac:dyDescent="0.45">
      <c r="B78" s="65">
        <v>0.47</v>
      </c>
      <c r="C78" s="65">
        <f t="shared" si="0"/>
        <v>0.53</v>
      </c>
      <c r="D78" s="66" cm="1">
        <f t="array" aca="1" ref="D78" ca="1">IF(ISNUMBER(_xll.VoseSimPercentile(Total_Spot,$B78)),_xll.VoseSimPercentile(Total_Spot,$B78),NA())</f>
        <v>15.135388373912434</v>
      </c>
      <c r="E78" s="66" cm="1">
        <f t="array" aca="1" ref="E78" ca="1">IF(ISNUMBER(_xll.VoseSimPercentile(Total_Fwd,$B78)),_xll.VoseSimPercentile(Total_Fwd,$B78),NA())</f>
        <v>15.648840554146883</v>
      </c>
      <c r="F78" s="66" cm="1">
        <f t="array" aca="1" ref="F78" ca="1">IF(ISNUMBER(_xll.VoseSimPercentile(Total_Half,$B78)),_xll.VoseSimPercentile(Total_Half,$B78),NA())</f>
        <v>15.405449902132238</v>
      </c>
      <c r="G78" s="66" cm="1">
        <f t="array" aca="1" ref="G78" ca="1">IF(ISNUMBER(_xll.VoseSimPercentile(Total_Cap,$B78)),_xll.VoseSimPercentile(Total_Cap,$B78),NA())</f>
        <v>15.641783044683088</v>
      </c>
    </row>
    <row r="79" spans="2:7" hidden="1" outlineLevel="1" x14ac:dyDescent="0.45">
      <c r="B79" s="65">
        <v>0.49</v>
      </c>
      <c r="C79" s="65">
        <f t="shared" si="0"/>
        <v>0.51</v>
      </c>
      <c r="D79" s="66" cm="1">
        <f t="array" aca="1" ref="D79" ca="1">IF(ISNUMBER(_xll.VoseSimPercentile(Total_Spot,$B79)),_xll.VoseSimPercentile(Total_Spot,$B79),NA())</f>
        <v>15.236485067056467</v>
      </c>
      <c r="E79" s="66" cm="1">
        <f t="array" aca="1" ref="E79" ca="1">IF(ISNUMBER(_xll.VoseSimPercentile(Total_Fwd,$B79)),_xll.VoseSimPercentile(Total_Fwd,$B79),NA())</f>
        <v>15.662024015281105</v>
      </c>
      <c r="F79" s="66" cm="1">
        <f t="array" aca="1" ref="F79" ca="1">IF(ISNUMBER(_xll.VoseSimPercentile(Total_Half,$B79)),_xll.VoseSimPercentile(Total_Half,$B79),NA())</f>
        <v>15.457162987445447</v>
      </c>
      <c r="G79" s="66" cm="1">
        <f t="array" aca="1" ref="G79" ca="1">IF(ISNUMBER(_xll.VoseSimPercentile(Total_Cap,$B79)),_xll.VoseSimPercentile(Total_Cap,$B79),NA())</f>
        <v>15.728556193058825</v>
      </c>
    </row>
    <row r="80" spans="2:7" hidden="1" outlineLevel="1" x14ac:dyDescent="0.45">
      <c r="B80" s="65">
        <v>0.51</v>
      </c>
      <c r="C80" s="65">
        <f t="shared" si="0"/>
        <v>0.49</v>
      </c>
      <c r="D80" s="66" cm="1">
        <f t="array" aca="1" ref="D80" ca="1">IF(ISNUMBER(_xll.VoseSimPercentile(Total_Spot,$B80)),_xll.VoseSimPercentile(Total_Spot,$B80),NA())</f>
        <v>15.336141974017174</v>
      </c>
      <c r="E80" s="66" cm="1">
        <f t="array" aca="1" ref="E80" ca="1">IF(ISNUMBER(_xll.VoseSimPercentile(Total_Fwd,$B80)),_xll.VoseSimPercentile(Total_Fwd,$B80),NA())</f>
        <v>15.672966801047634</v>
      </c>
      <c r="F80" s="66" cm="1">
        <f t="array" aca="1" ref="F80" ca="1">IF(ISNUMBER(_xll.VoseSimPercentile(Total_Half,$B80)),_xll.VoseSimPercentile(Total_Half,$B80),NA())</f>
        <v>15.509979094400421</v>
      </c>
      <c r="G80" s="66" cm="1">
        <f t="array" aca="1" ref="G80" ca="1">IF(ISNUMBER(_xll.VoseSimPercentile(Total_Cap,$B80)),_xll.VoseSimPercentile(Total_Cap,$B80),NA())</f>
        <v>15.816258975906745</v>
      </c>
    </row>
    <row r="81" spans="2:7" hidden="1" outlineLevel="1" x14ac:dyDescent="0.45">
      <c r="B81" s="65">
        <v>0.53</v>
      </c>
      <c r="C81" s="65">
        <f t="shared" si="0"/>
        <v>0.47</v>
      </c>
      <c r="D81" s="66" cm="1">
        <f t="array" aca="1" ref="D81" ca="1">IF(ISNUMBER(_xll.VoseSimPercentile(Total_Spot,$B81)),_xll.VoseSimPercentile(Total_Spot,$B81),NA())</f>
        <v>15.435189475309926</v>
      </c>
      <c r="E81" s="66" cm="1">
        <f t="array" aca="1" ref="E81" ca="1">IF(ISNUMBER(_xll.VoseSimPercentile(Total_Fwd,$B81)),_xll.VoseSimPercentile(Total_Fwd,$B81),NA())</f>
        <v>15.685528901542481</v>
      </c>
      <c r="F81" s="66" cm="1">
        <f t="array" aca="1" ref="F81" ca="1">IF(ISNUMBER(_xll.VoseSimPercentile(Total_Half,$B81)),_xll.VoseSimPercentile(Total_Half,$B81),NA())</f>
        <v>15.561040863296173</v>
      </c>
      <c r="G81" s="66" cm="1">
        <f t="array" aca="1" ref="G81" ca="1">IF(ISNUMBER(_xll.VoseSimPercentile(Total_Cap,$B81)),_xll.VoseSimPercentile(Total_Cap,$B81),NA())</f>
        <v>15.892444542417813</v>
      </c>
    </row>
    <row r="82" spans="2:7" hidden="1" outlineLevel="1" x14ac:dyDescent="0.45">
      <c r="B82" s="65">
        <v>0.55000000000000004</v>
      </c>
      <c r="C82" s="65">
        <f t="shared" si="0"/>
        <v>0.44999999999999996</v>
      </c>
      <c r="D82" s="66" cm="1">
        <f t="array" aca="1" ref="D82" ca="1">IF(ISNUMBER(_xll.VoseSimPercentile(Total_Spot,$B82)),_xll.VoseSimPercentile(Total_Spot,$B82),NA())</f>
        <v>15.53756633965453</v>
      </c>
      <c r="E82" s="66" cm="1">
        <f t="array" aca="1" ref="E82" ca="1">IF(ISNUMBER(_xll.VoseSimPercentile(Total_Fwd,$B82)),_xll.VoseSimPercentile(Total_Fwd,$B82),NA())</f>
        <v>15.697876442250131</v>
      </c>
      <c r="F82" s="66" cm="1">
        <f t="array" aca="1" ref="F82" ca="1">IF(ISNUMBER(_xll.VoseSimPercentile(Total_Half,$B82)),_xll.VoseSimPercentile(Total_Half,$B82),NA())</f>
        <v>15.611132925706379</v>
      </c>
      <c r="G82" s="66" cm="1">
        <f t="array" aca="1" ref="G82" ca="1">IF(ISNUMBER(_xll.VoseSimPercentile(Total_Cap,$B82)),_xll.VoseSimPercentile(Total_Cap,$B82),NA())</f>
        <v>15.971082603116018</v>
      </c>
    </row>
    <row r="83" spans="2:7" hidden="1" outlineLevel="1" x14ac:dyDescent="0.45">
      <c r="B83" s="65">
        <v>0.56999999999999995</v>
      </c>
      <c r="C83" s="65">
        <f t="shared" si="0"/>
        <v>0.43000000000000005</v>
      </c>
      <c r="D83" s="66" cm="1">
        <f t="array" aca="1" ref="D83" ca="1">IF(ISNUMBER(_xll.VoseSimPercentile(Total_Spot,$B83)),_xll.VoseSimPercentile(Total_Spot,$B83),NA())</f>
        <v>15.642912361064333</v>
      </c>
      <c r="E83" s="66" cm="1">
        <f t="array" aca="1" ref="E83" ca="1">IF(ISNUMBER(_xll.VoseSimPercentile(Total_Fwd,$B83)),_xll.VoseSimPercentile(Total_Fwd,$B83),NA())</f>
        <v>15.708187650441053</v>
      </c>
      <c r="F83" s="66" cm="1">
        <f t="array" aca="1" ref="F83" ca="1">IF(ISNUMBER(_xll.VoseSimPercentile(Total_Half,$B83)),_xll.VoseSimPercentile(Total_Half,$B83),NA())</f>
        <v>15.661885491194639</v>
      </c>
      <c r="G83" s="66" cm="1">
        <f t="array" aca="1" ref="G83" ca="1">IF(ISNUMBER(_xll.VoseSimPercentile(Total_Cap,$B83)),_xll.VoseSimPercentile(Total_Cap,$B83),NA())</f>
        <v>16.061533533021496</v>
      </c>
    </row>
    <row r="84" spans="2:7" hidden="1" outlineLevel="1" x14ac:dyDescent="0.45">
      <c r="B84" s="65">
        <v>0.59</v>
      </c>
      <c r="C84" s="65">
        <f t="shared" si="0"/>
        <v>0.41000000000000003</v>
      </c>
      <c r="D84" s="66" cm="1">
        <f t="array" aca="1" ref="D84" ca="1">IF(ISNUMBER(_xll.VoseSimPercentile(Total_Spot,$B84)),_xll.VoseSimPercentile(Total_Spot,$B84),NA())</f>
        <v>15.74592495617582</v>
      </c>
      <c r="E84" s="66" cm="1">
        <f t="array" aca="1" ref="E84" ca="1">IF(ISNUMBER(_xll.VoseSimPercentile(Total_Fwd,$B84)),_xll.VoseSimPercentile(Total_Fwd,$B84),NA())</f>
        <v>15.72072917444665</v>
      </c>
      <c r="F84" s="66" cm="1">
        <f t="array" aca="1" ref="F84" ca="1">IF(ISNUMBER(_xll.VoseSimPercentile(Total_Half,$B84)),_xll.VoseSimPercentile(Total_Half,$B84),NA())</f>
        <v>15.715413814196943</v>
      </c>
      <c r="G84" s="66" cm="1">
        <f t="array" aca="1" ref="G84" ca="1">IF(ISNUMBER(_xll.VoseSimPercentile(Total_Cap,$B84)),_xll.VoseSimPercentile(Total_Cap,$B84),NA())</f>
        <v>16.139015269891559</v>
      </c>
    </row>
    <row r="85" spans="2:7" hidden="1" outlineLevel="1" x14ac:dyDescent="0.45">
      <c r="B85" s="65">
        <v>0.61</v>
      </c>
      <c r="C85" s="65">
        <f t="shared" si="0"/>
        <v>0.39</v>
      </c>
      <c r="D85" s="66" cm="1">
        <f t="array" aca="1" ref="D85" ca="1">IF(ISNUMBER(_xll.VoseSimPercentile(Total_Spot,$B85)),_xll.VoseSimPercentile(Total_Spot,$B85),NA())</f>
        <v>15.843599281480657</v>
      </c>
      <c r="E85" s="66" cm="1">
        <f t="array" aca="1" ref="E85" ca="1">IF(ISNUMBER(_xll.VoseSimPercentile(Total_Fwd,$B85)),_xll.VoseSimPercentile(Total_Fwd,$B85),NA())</f>
        <v>15.731796344273139</v>
      </c>
      <c r="F85" s="66" cm="1">
        <f t="array" aca="1" ref="F85" ca="1">IF(ISNUMBER(_xll.VoseSimPercentile(Total_Half,$B85)),_xll.VoseSimPercentile(Total_Half,$B85),NA())</f>
        <v>15.76964028267833</v>
      </c>
      <c r="G85" s="66" cm="1">
        <f t="array" aca="1" ref="G85" ca="1">IF(ISNUMBER(_xll.VoseSimPercentile(Total_Cap,$B85)),_xll.VoseSimPercentile(Total_Cap,$B85),NA())</f>
        <v>16.208221462156356</v>
      </c>
    </row>
    <row r="86" spans="2:7" hidden="1" outlineLevel="1" x14ac:dyDescent="0.45">
      <c r="B86" s="65">
        <v>0.63</v>
      </c>
      <c r="C86" s="65">
        <f t="shared" si="0"/>
        <v>0.37</v>
      </c>
      <c r="D86" s="66" cm="1">
        <f t="array" aca="1" ref="D86" ca="1">IF(ISNUMBER(_xll.VoseSimPercentile(Total_Spot,$B86)),_xll.VoseSimPercentile(Total_Spot,$B86),NA())</f>
        <v>15.949901374761696</v>
      </c>
      <c r="E86" s="66" cm="1">
        <f t="array" aca="1" ref="E86" ca="1">IF(ISNUMBER(_xll.VoseSimPercentile(Total_Fwd,$B86)),_xll.VoseSimPercentile(Total_Fwd,$B86),NA())</f>
        <v>15.745158052855269</v>
      </c>
      <c r="F86" s="66" cm="1">
        <f t="array" aca="1" ref="F86" ca="1">IF(ISNUMBER(_xll.VoseSimPercentile(Total_Half,$B86)),_xll.VoseSimPercentile(Total_Half,$B86),NA())</f>
        <v>15.823905049076775</v>
      </c>
      <c r="G86" s="66" cm="1">
        <f t="array" aca="1" ref="G86" ca="1">IF(ISNUMBER(_xll.VoseSimPercentile(Total_Cap,$B86)),_xll.VoseSimPercentile(Total_Cap,$B86),NA())</f>
        <v>16.275059938552939</v>
      </c>
    </row>
    <row r="87" spans="2:7" hidden="1" outlineLevel="1" x14ac:dyDescent="0.45">
      <c r="B87" s="65">
        <v>0.65</v>
      </c>
      <c r="C87" s="65">
        <f t="shared" ref="C87:C118" si="1">1-B87</f>
        <v>0.35</v>
      </c>
      <c r="D87" s="66" cm="1">
        <f t="array" aca="1" ref="D87" ca="1">IF(ISNUMBER(_xll.VoseSimPercentile(Total_Spot,$B87)),_xll.VoseSimPercentile(Total_Spot,$B87),NA())</f>
        <v>16.050763048519087</v>
      </c>
      <c r="E87" s="66" cm="1">
        <f t="array" aca="1" ref="E87" ca="1">IF(ISNUMBER(_xll.VoseSimPercentile(Total_Fwd,$B87)),_xll.VoseSimPercentile(Total_Fwd,$B87),NA())</f>
        <v>15.75809888209697</v>
      </c>
      <c r="F87" s="66" cm="1">
        <f t="array" aca="1" ref="F87" ca="1">IF(ISNUMBER(_xll.VoseSimPercentile(Total_Half,$B87)),_xll.VoseSimPercentile(Total_Half,$B87),NA())</f>
        <v>15.877257445054045</v>
      </c>
      <c r="G87" s="66" cm="1">
        <f t="array" aca="1" ref="G87" ca="1">IF(ISNUMBER(_xll.VoseSimPercentile(Total_Cap,$B87)),_xll.VoseSimPercentile(Total_Cap,$B87),NA())</f>
        <v>16.33043964143021</v>
      </c>
    </row>
    <row r="88" spans="2:7" hidden="1" outlineLevel="1" x14ac:dyDescent="0.45">
      <c r="B88" s="65">
        <v>0.67</v>
      </c>
      <c r="C88" s="65">
        <f t="shared" si="1"/>
        <v>0.32999999999999996</v>
      </c>
      <c r="D88" s="66" cm="1">
        <f t="array" aca="1" ref="D88" ca="1">IF(ISNUMBER(_xll.VoseSimPercentile(Total_Spot,$B88)),_xll.VoseSimPercentile(Total_Spot,$B88),NA())</f>
        <v>16.159441311064406</v>
      </c>
      <c r="E88" s="66" cm="1">
        <f t="array" aca="1" ref="E88" ca="1">IF(ISNUMBER(_xll.VoseSimPercentile(Total_Fwd,$B88)),_xll.VoseSimPercentile(Total_Fwd,$B88),NA())</f>
        <v>15.770852297270881</v>
      </c>
      <c r="F88" s="66" cm="1">
        <f t="array" aca="1" ref="F88" ca="1">IF(ISNUMBER(_xll.VoseSimPercentile(Total_Half,$B88)),_xll.VoseSimPercentile(Total_Half,$B88),NA())</f>
        <v>15.930221630913303</v>
      </c>
      <c r="G88" s="66" cm="1">
        <f t="array" aca="1" ref="G88" ca="1">IF(ISNUMBER(_xll.VoseSimPercentile(Total_Cap,$B88)),_xll.VoseSimPercentile(Total_Cap,$B88),NA())</f>
        <v>16.391964865327079</v>
      </c>
    </row>
    <row r="89" spans="2:7" hidden="1" outlineLevel="1" x14ac:dyDescent="0.45">
      <c r="B89" s="65">
        <v>0.69</v>
      </c>
      <c r="C89" s="65">
        <f t="shared" si="1"/>
        <v>0.31000000000000005</v>
      </c>
      <c r="D89" s="66" cm="1">
        <f t="array" aca="1" ref="D89" ca="1">IF(ISNUMBER(_xll.VoseSimPercentile(Total_Spot,$B89)),_xll.VoseSimPercentile(Total_Spot,$B89),NA())</f>
        <v>16.26385668623875</v>
      </c>
      <c r="E89" s="66" cm="1">
        <f t="array" aca="1" ref="E89" ca="1">IF(ISNUMBER(_xll.VoseSimPercentile(Total_Fwd,$B89)),_xll.VoseSimPercentile(Total_Fwd,$B89),NA())</f>
        <v>15.783693920053008</v>
      </c>
      <c r="F89" s="66" cm="1">
        <f t="array" aca="1" ref="F89" ca="1">IF(ISNUMBER(_xll.VoseSimPercentile(Total_Half,$B89)),_xll.VoseSimPercentile(Total_Half,$B89),NA())</f>
        <v>15.98004790476892</v>
      </c>
      <c r="G89" s="66" cm="1">
        <f t="array" aca="1" ref="G89" ca="1">IF(ISNUMBER(_xll.VoseSimPercentile(Total_Cap,$B89)),_xll.VoseSimPercentile(Total_Cap,$B89),NA())</f>
        <v>16.447901776908886</v>
      </c>
    </row>
    <row r="90" spans="2:7" hidden="1" outlineLevel="1" x14ac:dyDescent="0.45">
      <c r="B90" s="65">
        <v>0.71</v>
      </c>
      <c r="C90" s="65">
        <f t="shared" si="1"/>
        <v>0.29000000000000004</v>
      </c>
      <c r="D90" s="66" cm="1">
        <f t="array" aca="1" ref="D90" ca="1">IF(ISNUMBER(_xll.VoseSimPercentile(Total_Spot,$B90)),_xll.VoseSimPercentile(Total_Spot,$B90),NA())</f>
        <v>16.369838074679965</v>
      </c>
      <c r="E90" s="66" cm="1">
        <f t="array" aca="1" ref="E90" ca="1">IF(ISNUMBER(_xll.VoseSimPercentile(Total_Fwd,$B90)),_xll.VoseSimPercentile(Total_Fwd,$B90),NA())</f>
        <v>15.79674848932234</v>
      </c>
      <c r="F90" s="66" cm="1">
        <f t="array" aca="1" ref="F90" ca="1">IF(ISNUMBER(_xll.VoseSimPercentile(Total_Half,$B90)),_xll.VoseSimPercentile(Total_Half,$B90),NA())</f>
        <v>16.050718496992765</v>
      </c>
      <c r="G90" s="66" cm="1">
        <f t="array" aca="1" ref="G90" ca="1">IF(ISNUMBER(_xll.VoseSimPercentile(Total_Cap,$B90)),_xll.VoseSimPercentile(Total_Cap,$B90),NA())</f>
        <v>16.502774631665076</v>
      </c>
    </row>
    <row r="91" spans="2:7" hidden="1" outlineLevel="1" x14ac:dyDescent="0.45">
      <c r="B91" s="65">
        <v>0.73</v>
      </c>
      <c r="C91" s="65">
        <f t="shared" si="1"/>
        <v>0.27</v>
      </c>
      <c r="D91" s="66" cm="1">
        <f t="array" aca="1" ref="D91" ca="1">IF(ISNUMBER(_xll.VoseSimPercentile(Total_Spot,$B91)),_xll.VoseSimPercentile(Total_Spot,$B91),NA())</f>
        <v>16.495578884372787</v>
      </c>
      <c r="E91" s="66" cm="1">
        <f t="array" aca="1" ref="E91" ca="1">IF(ISNUMBER(_xll.VoseSimPercentile(Total_Fwd,$B91)),_xll.VoseSimPercentile(Total_Fwd,$B91),NA())</f>
        <v>15.811509096322951</v>
      </c>
      <c r="F91" s="66" cm="1">
        <f t="array" aca="1" ref="F91" ca="1">IF(ISNUMBER(_xll.VoseSimPercentile(Total_Half,$B91)),_xll.VoseSimPercentile(Total_Half,$B91),NA())</f>
        <v>16.110272323434586</v>
      </c>
      <c r="G91" s="66" cm="1">
        <f t="array" aca="1" ref="G91" ca="1">IF(ISNUMBER(_xll.VoseSimPercentile(Total_Cap,$B91)),_xll.VoseSimPercentile(Total_Cap,$B91),NA())</f>
        <v>16.552316593253131</v>
      </c>
    </row>
    <row r="92" spans="2:7" hidden="1" outlineLevel="1" x14ac:dyDescent="0.45">
      <c r="B92" s="65">
        <v>0.75</v>
      </c>
      <c r="C92" s="65">
        <f t="shared" si="1"/>
        <v>0.25</v>
      </c>
      <c r="D92" s="66" cm="1">
        <f t="array" aca="1" ref="D92" ca="1">IF(ISNUMBER(_xll.VoseSimPercentile(Total_Spot,$B92)),_xll.VoseSimPercentile(Total_Spot,$B92),NA())</f>
        <v>16.644508965136648</v>
      </c>
      <c r="E92" s="66" cm="1">
        <f t="array" aca="1" ref="E92" ca="1">IF(ISNUMBER(_xll.VoseSimPercentile(Total_Fwd,$B92)),_xll.VoseSimPercentile(Total_Fwd,$B92),NA())</f>
        <v>15.826341405957915</v>
      </c>
      <c r="F92" s="66" cm="1">
        <f t="array" aca="1" ref="F92" ca="1">IF(ISNUMBER(_xll.VoseSimPercentile(Total_Half,$B92)),_xll.VoseSimPercentile(Total_Half,$B92),NA())</f>
        <v>16.175533224550442</v>
      </c>
      <c r="G92" s="66" cm="1">
        <f t="array" aca="1" ref="G92" ca="1">IF(ISNUMBER(_xll.VoseSimPercentile(Total_Cap,$B92)),_xll.VoseSimPercentile(Total_Cap,$B92),NA())</f>
        <v>16.603639484825379</v>
      </c>
    </row>
    <row r="93" spans="2:7" hidden="1" outlineLevel="1" x14ac:dyDescent="0.45">
      <c r="B93" s="65">
        <v>0.77</v>
      </c>
      <c r="C93" s="65">
        <f t="shared" si="1"/>
        <v>0.22999999999999998</v>
      </c>
      <c r="D93" s="66" cm="1">
        <f t="array" aca="1" ref="D93" ca="1">IF(ISNUMBER(_xll.VoseSimPercentile(Total_Spot,$B93)),_xll.VoseSimPercentile(Total_Spot,$B93),NA())</f>
        <v>16.782979375474657</v>
      </c>
      <c r="E93" s="66" cm="1">
        <f t="array" aca="1" ref="E93" ca="1">IF(ISNUMBER(_xll.VoseSimPercentile(Total_Fwd,$B93)),_xll.VoseSimPercentile(Total_Fwd,$B93),NA())</f>
        <v>15.841270044993944</v>
      </c>
      <c r="F93" s="66" cm="1">
        <f t="array" aca="1" ref="F93" ca="1">IF(ISNUMBER(_xll.VoseSimPercentile(Total_Half,$B93)),_xll.VoseSimPercentile(Total_Half,$B93),NA())</f>
        <v>16.24171705197076</v>
      </c>
      <c r="G93" s="66" cm="1">
        <f t="array" aca="1" ref="G93" ca="1">IF(ISNUMBER(_xll.VoseSimPercentile(Total_Cap,$B93)),_xll.VoseSimPercentile(Total_Cap,$B93),NA())</f>
        <v>16.651814450336285</v>
      </c>
    </row>
    <row r="94" spans="2:7" hidden="1" outlineLevel="1" x14ac:dyDescent="0.45">
      <c r="B94" s="65">
        <v>0.79</v>
      </c>
      <c r="C94" s="65">
        <f t="shared" si="1"/>
        <v>0.20999999999999996</v>
      </c>
      <c r="D94" s="66" cm="1">
        <f t="array" aca="1" ref="D94" ca="1">IF(ISNUMBER(_xll.VoseSimPercentile(Total_Spot,$B94)),_xll.VoseSimPercentile(Total_Spot,$B94),NA())</f>
        <v>16.920048256464415</v>
      </c>
      <c r="E94" s="66" cm="1">
        <f t="array" aca="1" ref="E94" ca="1">IF(ISNUMBER(_xll.VoseSimPercentile(Total_Fwd,$B94)),_xll.VoseSimPercentile(Total_Fwd,$B94),NA())</f>
        <v>15.857283995602003</v>
      </c>
      <c r="F94" s="66" cm="1">
        <f t="array" aca="1" ref="F94" ca="1">IF(ISNUMBER(_xll.VoseSimPercentile(Total_Half,$B94)),_xll.VoseSimPercentile(Total_Half,$B94),NA())</f>
        <v>16.324591323947026</v>
      </c>
      <c r="G94" s="66" cm="1">
        <f t="array" aca="1" ref="G94" ca="1">IF(ISNUMBER(_xll.VoseSimPercentile(Total_Cap,$B94)),_xll.VoseSimPercentile(Total_Cap,$B94),NA())</f>
        <v>16.69456597953814</v>
      </c>
    </row>
    <row r="95" spans="2:7" hidden="1" outlineLevel="1" x14ac:dyDescent="0.45">
      <c r="B95" s="65">
        <v>0.81</v>
      </c>
      <c r="C95" s="65">
        <f t="shared" si="1"/>
        <v>0.18999999999999995</v>
      </c>
      <c r="D95" s="66" cm="1">
        <f t="array" aca="1" ref="D95" ca="1">IF(ISNUMBER(_xll.VoseSimPercentile(Total_Spot,$B95)),_xll.VoseSimPercentile(Total_Spot,$B95),NA())</f>
        <v>17.086290645173865</v>
      </c>
      <c r="E95" s="66" cm="1">
        <f t="array" aca="1" ref="E95" ca="1">IF(ISNUMBER(_xll.VoseSimPercentile(Total_Fwd,$B95)),_xll.VoseSimPercentile(Total_Fwd,$B95),NA())</f>
        <v>15.87380649571308</v>
      </c>
      <c r="F95" s="66" cm="1">
        <f t="array" aca="1" ref="F95" ca="1">IF(ISNUMBER(_xll.VoseSimPercentile(Total_Half,$B95)),_xll.VoseSimPercentile(Total_Half,$B95),NA())</f>
        <v>16.400398955812356</v>
      </c>
      <c r="G95" s="66" cm="1">
        <f t="array" aca="1" ref="G95" ca="1">IF(ISNUMBER(_xll.VoseSimPercentile(Total_Cap,$B95)),_xll.VoseSimPercentile(Total_Cap,$B95),NA())</f>
        <v>16.740347860770111</v>
      </c>
    </row>
    <row r="96" spans="2:7" hidden="1" outlineLevel="1" x14ac:dyDescent="0.45">
      <c r="B96" s="65">
        <v>0.83</v>
      </c>
      <c r="C96" s="65">
        <f t="shared" si="1"/>
        <v>0.17000000000000004</v>
      </c>
      <c r="D96" s="66" cm="1">
        <f t="array" aca="1" ref="D96" ca="1">IF(ISNUMBER(_xll.VoseSimPercentile(Total_Spot,$B96)),_xll.VoseSimPercentile(Total_Spot,$B96),NA())</f>
        <v>17.283296569448961</v>
      </c>
      <c r="E96" s="66" cm="1">
        <f t="array" aca="1" ref="E96" ca="1">IF(ISNUMBER(_xll.VoseSimPercentile(Total_Fwd,$B96)),_xll.VoseSimPercentile(Total_Fwd,$B96),NA())</f>
        <v>15.891639850961399</v>
      </c>
      <c r="F96" s="66" cm="1">
        <f t="array" aca="1" ref="F96" ca="1">IF(ISNUMBER(_xll.VoseSimPercentile(Total_Half,$B96)),_xll.VoseSimPercentile(Total_Half,$B96),NA())</f>
        <v>16.49921122285118</v>
      </c>
      <c r="G96" s="66" cm="1">
        <f t="array" aca="1" ref="G96" ca="1">IF(ISNUMBER(_xll.VoseSimPercentile(Total_Cap,$B96)),_xll.VoseSimPercentile(Total_Cap,$B96),NA())</f>
        <v>16.781600580734981</v>
      </c>
    </row>
    <row r="97" spans="2:7" hidden="1" outlineLevel="1" x14ac:dyDescent="0.45">
      <c r="B97" s="65">
        <v>0.85</v>
      </c>
      <c r="C97" s="65">
        <f t="shared" si="1"/>
        <v>0.15000000000000002</v>
      </c>
      <c r="D97" s="66" cm="1">
        <f t="array" aca="1" ref="D97" ca="1">IF(ISNUMBER(_xll.VoseSimPercentile(Total_Spot,$B97)),_xll.VoseSimPercentile(Total_Spot,$B97),NA())</f>
        <v>17.516063949669775</v>
      </c>
      <c r="E97" s="66" cm="1">
        <f t="array" aca="1" ref="E97" ca="1">IF(ISNUMBER(_xll.VoseSimPercentile(Total_Fwd,$B97)),_xll.VoseSimPercentile(Total_Fwd,$B97),NA())</f>
        <v>15.91173019009188</v>
      </c>
      <c r="F97" s="66" cm="1">
        <f t="array" aca="1" ref="F97" ca="1">IF(ISNUMBER(_xll.VoseSimPercentile(Total_Half,$B97)),_xll.VoseSimPercentile(Total_Half,$B97),NA())</f>
        <v>16.599277536867206</v>
      </c>
      <c r="G97" s="66" cm="1">
        <f t="array" aca="1" ref="G97" ca="1">IF(ISNUMBER(_xll.VoseSimPercentile(Total_Cap,$B97)),_xll.VoseSimPercentile(Total_Cap,$B97),NA())</f>
        <v>16.824167552669373</v>
      </c>
    </row>
    <row r="98" spans="2:7" hidden="1" outlineLevel="1" x14ac:dyDescent="0.45">
      <c r="B98" s="65">
        <v>0.87</v>
      </c>
      <c r="C98" s="65">
        <f t="shared" si="1"/>
        <v>0.13</v>
      </c>
      <c r="D98" s="66" cm="1">
        <f t="array" aca="1" ref="D98" ca="1">IF(ISNUMBER(_xll.VoseSimPercentile(Total_Spot,$B98)),_xll.VoseSimPercentile(Total_Spot,$B98),NA())</f>
        <v>17.718989646501367</v>
      </c>
      <c r="E98" s="66" cm="1">
        <f t="array" aca="1" ref="E98" ca="1">IF(ISNUMBER(_xll.VoseSimPercentile(Total_Fwd,$B98)),_xll.VoseSimPercentile(Total_Fwd,$B98),NA())</f>
        <v>15.935857913388119</v>
      </c>
      <c r="F98" s="66" cm="1">
        <f t="array" aca="1" ref="F98" ca="1">IF(ISNUMBER(_xll.VoseSimPercentile(Total_Half,$B98)),_xll.VoseSimPercentile(Total_Half,$B98),NA())</f>
        <v>16.712426004674409</v>
      </c>
      <c r="G98" s="66" cm="1">
        <f t="array" aca="1" ref="G98" ca="1">IF(ISNUMBER(_xll.VoseSimPercentile(Total_Cap,$B98)),_xll.VoseSimPercentile(Total_Cap,$B98),NA())</f>
        <v>16.864208867818032</v>
      </c>
    </row>
    <row r="99" spans="2:7" hidden="1" outlineLevel="1" x14ac:dyDescent="0.45">
      <c r="B99" s="65">
        <v>0.89</v>
      </c>
      <c r="C99" s="65">
        <f t="shared" si="1"/>
        <v>0.10999999999999999</v>
      </c>
      <c r="D99" s="66" cm="1">
        <f t="array" aca="1" ref="D99" ca="1">IF(ISNUMBER(_xll.VoseSimPercentile(Total_Spot,$B99)),_xll.VoseSimPercentile(Total_Spot,$B99),NA())</f>
        <v>17.928920738663201</v>
      </c>
      <c r="E99" s="66" cm="1">
        <f t="array" aca="1" ref="E99" ca="1">IF(ISNUMBER(_xll.VoseSimPercentile(Total_Fwd,$B99)),_xll.VoseSimPercentile(Total_Fwd,$B99),NA())</f>
        <v>15.96043002089594</v>
      </c>
      <c r="F99" s="66" cm="1">
        <f t="array" aca="1" ref="F99" ca="1">IF(ISNUMBER(_xll.VoseSimPercentile(Total_Half,$B99)),_xll.VoseSimPercentile(Total_Half,$B99),NA())</f>
        <v>16.831782034579216</v>
      </c>
      <c r="G99" s="66" cm="1">
        <f t="array" aca="1" ref="G99" ca="1">IF(ISNUMBER(_xll.VoseSimPercentile(Total_Cap,$B99)),_xll.VoseSimPercentile(Total_Cap,$B99),NA())</f>
        <v>16.908199272750995</v>
      </c>
    </row>
    <row r="100" spans="2:7" hidden="1" outlineLevel="1" x14ac:dyDescent="0.45">
      <c r="B100" s="65">
        <v>0.91</v>
      </c>
      <c r="C100" s="65">
        <f t="shared" si="1"/>
        <v>8.9999999999999969E-2</v>
      </c>
      <c r="D100" s="66" cm="1">
        <f t="array" aca="1" ref="D100" ca="1">IF(ISNUMBER(_xll.VoseSimPercentile(Total_Spot,$B100)),_xll.VoseSimPercentile(Total_Spot,$B100),NA())</f>
        <v>18.20501778544606</v>
      </c>
      <c r="E100" s="66" cm="1">
        <f t="array" aca="1" ref="E100" ca="1">IF(ISNUMBER(_xll.VoseSimPercentile(Total_Fwd,$B100)),_xll.VoseSimPercentile(Total_Fwd,$B100),NA())</f>
        <v>15.984023378117131</v>
      </c>
      <c r="F100" s="66" cm="1">
        <f t="array" aca="1" ref="F100" ca="1">IF(ISNUMBER(_xll.VoseSimPercentile(Total_Half,$B100)),_xll.VoseSimPercentile(Total_Half,$B100),NA())</f>
        <v>16.974199695830844</v>
      </c>
      <c r="G100" s="66" cm="1">
        <f t="array" aca="1" ref="G100" ca="1">IF(ISNUMBER(_xll.VoseSimPercentile(Total_Cap,$B100)),_xll.VoseSimPercentile(Total_Cap,$B100),NA())</f>
        <v>16.955369407357992</v>
      </c>
    </row>
    <row r="101" spans="2:7" hidden="1" outlineLevel="1" x14ac:dyDescent="0.45">
      <c r="B101" s="65">
        <v>0.93</v>
      </c>
      <c r="C101" s="65">
        <f t="shared" si="1"/>
        <v>6.9999999999999951E-2</v>
      </c>
      <c r="D101" s="66" cm="1">
        <f t="array" aca="1" ref="D101" ca="1">IF(ISNUMBER(_xll.VoseSimPercentile(Total_Spot,$B101)),_xll.VoseSimPercentile(Total_Spot,$B101),NA())</f>
        <v>18.533644536399088</v>
      </c>
      <c r="E101" s="66" cm="1">
        <f t="array" aca="1" ref="E101" ca="1">IF(ISNUMBER(_xll.VoseSimPercentile(Total_Fwd,$B101)),_xll.VoseSimPercentile(Total_Fwd,$B101),NA())</f>
        <v>16.016205528335497</v>
      </c>
      <c r="F101" s="66" cm="1">
        <f t="array" aca="1" ref="F101" ca="1">IF(ISNUMBER(_xll.VoseSimPercentile(Total_Half,$B101)),_xll.VoseSimPercentile(Total_Half,$B101),NA())</f>
        <v>17.129829786778938</v>
      </c>
      <c r="G101" s="66" cm="1">
        <f t="array" aca="1" ref="G101" ca="1">IF(ISNUMBER(_xll.VoseSimPercentile(Total_Cap,$B101)),_xll.VoseSimPercentile(Total_Cap,$B101),NA())</f>
        <v>17.017277872164435</v>
      </c>
    </row>
    <row r="102" spans="2:7" hidden="1" outlineLevel="1" x14ac:dyDescent="0.45">
      <c r="B102" s="65">
        <v>0.95</v>
      </c>
      <c r="C102" s="65">
        <f t="shared" si="1"/>
        <v>5.0000000000000044E-2</v>
      </c>
      <c r="D102" s="66" cm="1">
        <f t="array" aca="1" ref="D102" ca="1">IF(ISNUMBER(_xll.VoseSimPercentile(Total_Spot,$B102)),_xll.VoseSimPercentile(Total_Spot,$B102),NA())</f>
        <v>18.956765510863328</v>
      </c>
      <c r="E102" s="66" cm="1">
        <f t="array" aca="1" ref="E102" ca="1">IF(ISNUMBER(_xll.VoseSimPercentile(Total_Fwd,$B102)),_xll.VoseSimPercentile(Total_Fwd,$B102),NA())</f>
        <v>16.060461852495298</v>
      </c>
      <c r="F102" s="66" cm="1">
        <f t="array" aca="1" ref="F102" ca="1">IF(ISNUMBER(_xll.VoseSimPercentile(Total_Half,$B102)),_xll.VoseSimPercentile(Total_Half,$B102),NA())</f>
        <v>17.360435346212086</v>
      </c>
      <c r="G102" s="66" cm="1">
        <f t="array" aca="1" ref="G102" ca="1">IF(ISNUMBER(_xll.VoseSimPercentile(Total_Cap,$B102)),_xll.VoseSimPercentile(Total_Cap,$B102),NA())</f>
        <v>17.083787485218323</v>
      </c>
    </row>
    <row r="103" spans="2:7" hidden="1" outlineLevel="1" x14ac:dyDescent="0.45">
      <c r="B103" s="65">
        <v>0.97</v>
      </c>
      <c r="C103" s="65">
        <f t="shared" si="1"/>
        <v>3.0000000000000027E-2</v>
      </c>
      <c r="D103" s="66" cm="1">
        <f t="array" aca="1" ref="D103" ca="1">IF(ISNUMBER(_xll.VoseSimPercentile(Total_Spot,$B103)),_xll.VoseSimPercentile(Total_Spot,$B103),NA())</f>
        <v>19.630555078573391</v>
      </c>
      <c r="E103" s="66" cm="1">
        <f t="array" aca="1" ref="E103" ca="1">IF(ISNUMBER(_xll.VoseSimPercentile(Total_Fwd,$B103)),_xll.VoseSimPercentile(Total_Fwd,$B103),NA())</f>
        <v>16.113862925371571</v>
      </c>
      <c r="F103" s="66" cm="1">
        <f t="array" aca="1" ref="F103" ca="1">IF(ISNUMBER(_xll.VoseSimPercentile(Total_Half,$B103)),_xll.VoseSimPercentile(Total_Half,$B103),NA())</f>
        <v>17.694914037157208</v>
      </c>
      <c r="G103" s="66" cm="1">
        <f t="array" aca="1" ref="G103" ca="1">IF(ISNUMBER(_xll.VoseSimPercentile(Total_Cap,$B103)),_xll.VoseSimPercentile(Total_Cap,$B103),NA())</f>
        <v>17.161863398605462</v>
      </c>
    </row>
    <row r="104" spans="2:7" hidden="1" outlineLevel="1" x14ac:dyDescent="0.45">
      <c r="B104" s="65">
        <v>0.99</v>
      </c>
      <c r="C104" s="65">
        <f t="shared" si="1"/>
        <v>1.0000000000000009E-2</v>
      </c>
      <c r="D104" s="66" cm="1">
        <f t="array" aca="1" ref="D104" ca="1">IF(ISNUMBER(_xll.VoseSimPercentile(Total_Spot,$B104)),_xll.VoseSimPercentile(Total_Spot,$B104),NA())</f>
        <v>20.862601898724744</v>
      </c>
      <c r="E104" s="66" cm="1">
        <f t="array" aca="1" ref="E104" ca="1">IF(ISNUMBER(_xll.VoseSimPercentile(Total_Fwd,$B104)),_xll.VoseSimPercentile(Total_Fwd,$B104),NA())</f>
        <v>16.219563681333604</v>
      </c>
      <c r="F104" s="66" cm="1">
        <f t="array" aca="1" ref="F104" ca="1">IF(ISNUMBER(_xll.VoseSimPercentile(Total_Half,$B104)),_xll.VoseSimPercentile(Total_Half,$B104),NA())</f>
        <v>18.317767038968853</v>
      </c>
      <c r="G104" s="66" cm="1">
        <f t="array" aca="1" ref="G104" ca="1">IF(ISNUMBER(_xll.VoseSimPercentile(Total_Cap,$B104)),_xll.VoseSimPercentile(Total_Cap,$B104),NA())</f>
        <v>17.292786267268667</v>
      </c>
    </row>
    <row r="105" spans="2:7" hidden="1" outlineLevel="1" x14ac:dyDescent="0.45"/>
    <row r="106" spans="2:7" ht="28.05" hidden="1" customHeight="1" outlineLevel="1" x14ac:dyDescent="0.45">
      <c r="B106" s="23" t="s">
        <v>239</v>
      </c>
      <c r="C106" s="24" t="s">
        <v>240</v>
      </c>
      <c r="D106" s="24" t="s">
        <v>223</v>
      </c>
      <c r="E106" s="24" t="s">
        <v>241</v>
      </c>
      <c r="F106" s="24" t="s">
        <v>205</v>
      </c>
      <c r="G106" s="5"/>
    </row>
    <row r="107" spans="2:7" hidden="1" outlineLevel="1" x14ac:dyDescent="0.45">
      <c r="B107" s="67">
        <f>'Закупки'!F6</f>
        <v>1</v>
      </c>
      <c r="C107" s="66" cm="1">
        <f t="array" aca="1" ref="C107" ca="1">IF(ISNUMBER(_xll.VoseSimPercentile('Закупки'!F34,0.1)),_xll.VoseSimPercentile('Закупки'!F34,0.1),NA())</f>
        <v>775.55982662380677</v>
      </c>
      <c r="D107" s="66" cm="1">
        <f t="array" aca="1" ref="D107" ca="1">IF(ISNUMBER(_xll.VoseSimPercentile('Закупки'!F34,0.5)),_xll.VoseSimPercentile('Закупки'!F34,0.5),NA())</f>
        <v>850.62143755303896</v>
      </c>
      <c r="E107" s="66" cm="1">
        <f t="array" aca="1" ref="E107" ca="1">IF(ISNUMBER(_xll.VoseSimPercentile('Закупки'!F34,0.9)),_xll.VoseSimPercentile('Закупки'!F34,0.9),NA())</f>
        <v>933.27668053632544</v>
      </c>
      <c r="F107" s="66" cm="1">
        <f t="array" aca="1" ref="F107" ca="1">IF(ISNUMBER(_xll.VoseSimMean('Закупки'!F34)),_xll.VoseSimMean('Закупки'!F34),NA())</f>
        <v>853.17509855557807</v>
      </c>
    </row>
    <row r="108" spans="2:7" hidden="1" outlineLevel="1" x14ac:dyDescent="0.45">
      <c r="B108" s="67">
        <f>'Закупки'!G6</f>
        <v>2</v>
      </c>
      <c r="C108" s="66" cm="1">
        <f t="array" aca="1" ref="C108" ca="1">IF(ISNUMBER(_xll.VoseSimPercentile('Закупки'!G34,0.1)),_xll.VoseSimPercentile('Закупки'!G34,0.1),NA())</f>
        <v>746.25607858840863</v>
      </c>
      <c r="D108" s="66" cm="1">
        <f t="array" aca="1" ref="D108" ca="1">IF(ISNUMBER(_xll.VoseSimPercentile('Закупки'!G34,0.5)),_xll.VoseSimPercentile('Закупки'!G34,0.5),NA())</f>
        <v>850.3302485710376</v>
      </c>
      <c r="E108" s="66" cm="1">
        <f t="array" aca="1" ref="E108" ca="1">IF(ISNUMBER(_xll.VoseSimPercentile('Закупки'!G34,0.9)),_xll.VoseSimPercentile('Закупки'!G34,0.9),NA())</f>
        <v>970.16987126770596</v>
      </c>
      <c r="F108" s="66" cm="1">
        <f t="array" aca="1" ref="F108" ca="1">IF(ISNUMBER(_xll.VoseSimMean('Закупки'!G34)),_xll.VoseSimMean('Закупки'!G34),NA())</f>
        <v>855.35113962849175</v>
      </c>
    </row>
    <row r="109" spans="2:7" hidden="1" outlineLevel="1" x14ac:dyDescent="0.45">
      <c r="B109" s="67">
        <f>'Закупки'!H6</f>
        <v>3</v>
      </c>
      <c r="C109" s="66" cm="1">
        <f t="array" aca="1" ref="C109" ca="1">IF(ISNUMBER(_xll.VoseSimPercentile('Закупки'!H34,0.1)),_xll.VoseSimPercentile('Закупки'!H34,0.1),NA())</f>
        <v>725.0353258040094</v>
      </c>
      <c r="D109" s="66" cm="1">
        <f t="array" aca="1" ref="D109" ca="1">IF(ISNUMBER(_xll.VoseSimPercentile('Закупки'!H34,0.5)),_xll.VoseSimPercentile('Закупки'!H34,0.5),NA())</f>
        <v>853.34351177468909</v>
      </c>
      <c r="E109" s="66" cm="1">
        <f t="array" aca="1" ref="E109" ca="1">IF(ISNUMBER(_xll.VoseSimPercentile('Закупки'!H34,0.9)),_xll.VoseSimPercentile('Закупки'!H34,0.9),NA())</f>
        <v>1003.681098779843</v>
      </c>
      <c r="F109" s="66" cm="1">
        <f t="array" aca="1" ref="F109" ca="1">IF(ISNUMBER(_xll.VoseSimMean('Закупки'!H34)),_xll.VoseSimMean('Закупки'!H34),NA())</f>
        <v>859.83697789296832</v>
      </c>
    </row>
    <row r="110" spans="2:7" hidden="1" outlineLevel="1" x14ac:dyDescent="0.45">
      <c r="B110" s="67">
        <f>'Закупки'!I6</f>
        <v>4</v>
      </c>
      <c r="C110" s="66" cm="1">
        <f t="array" aca="1" ref="C110" ca="1">IF(ISNUMBER(_xll.VoseSimPercentile('Закупки'!I34,0.1)),_xll.VoseSimPercentile('Закупки'!I34,0.1),NA())</f>
        <v>704.32341574084865</v>
      </c>
      <c r="D110" s="66" cm="1">
        <f t="array" aca="1" ref="D110" ca="1">IF(ISNUMBER(_xll.VoseSimPercentile('Закупки'!I34,0.5)),_xll.VoseSimPercentile('Закупки'!I34,0.5),NA())</f>
        <v>853.44542962852358</v>
      </c>
      <c r="E110" s="66" cm="1">
        <f t="array" aca="1" ref="E110" ca="1">IF(ISNUMBER(_xll.VoseSimPercentile('Закупки'!I34,0.9)),_xll.VoseSimPercentile('Закупки'!I34,0.9),NA())</f>
        <v>1031.3615356451871</v>
      </c>
      <c r="F110" s="66" cm="1">
        <f t="array" aca="1" ref="F110" ca="1">IF(ISNUMBER(_xll.VoseSimMean('Закупки'!I34)),_xll.VoseSimMean('Закупки'!I34),NA())</f>
        <v>861.83306022143859</v>
      </c>
    </row>
    <row r="111" spans="2:7" hidden="1" outlineLevel="1" x14ac:dyDescent="0.45">
      <c r="B111" s="67">
        <f>'Закупки'!J6</f>
        <v>5</v>
      </c>
      <c r="C111" s="66" cm="1">
        <f t="array" aca="1" ref="C111" ca="1">IF(ISNUMBER(_xll.VoseSimPercentile('Закупки'!J34,0.1)),_xll.VoseSimPercentile('Закупки'!J34,0.1),NA())</f>
        <v>690.26723839963483</v>
      </c>
      <c r="D111" s="66" cm="1">
        <f t="array" aca="1" ref="D111" ca="1">IF(ISNUMBER(_xll.VoseSimPercentile('Закупки'!J34,0.5)),_xll.VoseSimPercentile('Закупки'!J34,0.5),NA())</f>
        <v>852.49854732061806</v>
      </c>
      <c r="E111" s="66" cm="1">
        <f t="array" aca="1" ref="E111" ca="1">IF(ISNUMBER(_xll.VoseSimPercentile('Закупки'!J34,0.9)),_xll.VoseSimPercentile('Закупки'!J34,0.9),NA())</f>
        <v>1050.9279910586329</v>
      </c>
      <c r="F111" s="66" cm="1">
        <f t="array" aca="1" ref="F111" ca="1">IF(ISNUMBER(_xll.VoseSimMean('Закупки'!J34)),_xll.VoseSimMean('Закупки'!J34),NA())</f>
        <v>863.24319165683858</v>
      </c>
    </row>
    <row r="112" spans="2:7" hidden="1" outlineLevel="1" x14ac:dyDescent="0.45">
      <c r="B112" s="67">
        <f>'Закупки'!K6</f>
        <v>6</v>
      </c>
      <c r="C112" s="66" cm="1">
        <f t="array" aca="1" ref="C112" ca="1">IF(ISNUMBER(_xll.VoseSimPercentile('Закупки'!K34,0.1)),_xll.VoseSimPercentile('Закупки'!K34,0.1),NA())</f>
        <v>680.58268681545781</v>
      </c>
      <c r="D112" s="66" cm="1">
        <f t="array" aca="1" ref="D112" ca="1">IF(ISNUMBER(_xll.VoseSimPercentile('Закупки'!K34,0.5)),_xll.VoseSimPercentile('Закупки'!K34,0.5),NA())</f>
        <v>852.42691002902632</v>
      </c>
      <c r="E112" s="66" cm="1">
        <f t="array" aca="1" ref="E112" ca="1">IF(ISNUMBER(_xll.VoseSimPercentile('Закупки'!K34,0.9)),_xll.VoseSimPercentile('Закупки'!K34,0.9),NA())</f>
        <v>1068.9003198864123</v>
      </c>
      <c r="F112" s="66" cm="1">
        <f t="array" aca="1" ref="F112" ca="1">IF(ISNUMBER(_xll.VoseSimMean('Закупки'!K34)),_xll.VoseSimMean('Закупки'!K34),NA())</f>
        <v>866.04456597693741</v>
      </c>
    </row>
    <row r="113" spans="2:6" hidden="1" outlineLevel="1" x14ac:dyDescent="0.45">
      <c r="B113" s="67">
        <f>'Закупки'!L6</f>
        <v>7</v>
      </c>
      <c r="C113" s="66" cm="1">
        <f t="array" aca="1" ref="C113" ca="1">IF(ISNUMBER(_xll.VoseSimPercentile('Закупки'!L34,0.1)),_xll.VoseSimPercentile('Закупки'!L34,0.1),NA())</f>
        <v>667.69590206564806</v>
      </c>
      <c r="D113" s="66" cm="1">
        <f t="array" aca="1" ref="D113" ca="1">IF(ISNUMBER(_xll.VoseSimPercentile('Закупки'!L34,0.5)),_xll.VoseSimPercentile('Закупки'!L34,0.5),NA())</f>
        <v>854.75366203084002</v>
      </c>
      <c r="E113" s="66" cm="1">
        <f t="array" aca="1" ref="E113" ca="1">IF(ISNUMBER(_xll.VoseSimPercentile('Закупки'!L34,0.9)),_xll.VoseSimPercentile('Закупки'!L34,0.9),NA())</f>
        <v>1089.6298231645665</v>
      </c>
      <c r="F113" s="66" cm="1">
        <f t="array" aca="1" ref="F113" ca="1">IF(ISNUMBER(_xll.VoseSimMean('Закупки'!L34)),_xll.VoseSimMean('Закупки'!L34),NA())</f>
        <v>868.67868933149111</v>
      </c>
    </row>
    <row r="114" spans="2:6" hidden="1" outlineLevel="1" x14ac:dyDescent="0.45">
      <c r="B114" s="67">
        <f>'Закупки'!M6</f>
        <v>8</v>
      </c>
      <c r="C114" s="66" cm="1">
        <f t="array" aca="1" ref="C114" ca="1">IF(ISNUMBER(_xll.VoseSimPercentile('Закупки'!M34,0.1)),_xll.VoseSimPercentile('Закупки'!M34,0.1),NA())</f>
        <v>655.29429225909587</v>
      </c>
      <c r="D114" s="66" cm="1">
        <f t="array" aca="1" ref="D114" ca="1">IF(ISNUMBER(_xll.VoseSimPercentile('Закупки'!M34,0.5)),_xll.VoseSimPercentile('Закупки'!M34,0.5),NA())</f>
        <v>853.96493961212923</v>
      </c>
      <c r="E114" s="66" cm="1">
        <f t="array" aca="1" ref="E114" ca="1">IF(ISNUMBER(_xll.VoseSimPercentile('Закупки'!M34,0.9)),_xll.VoseSimPercentile('Закупки'!M34,0.9),NA())</f>
        <v>1107.9587833815574</v>
      </c>
      <c r="F114" s="66" cm="1">
        <f t="array" aca="1" ref="F114" ca="1">IF(ISNUMBER(_xll.VoseSimMean('Закупки'!M34)),_xll.VoseSimMean('Закупки'!M34),NA())</f>
        <v>870.29315807895841</v>
      </c>
    </row>
    <row r="115" spans="2:6" hidden="1" outlineLevel="1" x14ac:dyDescent="0.45">
      <c r="B115" s="67">
        <f>'Закупки'!N6</f>
        <v>9</v>
      </c>
      <c r="C115" s="66" cm="1">
        <f t="array" aca="1" ref="C115" ca="1">IF(ISNUMBER(_xll.VoseSimPercentile('Закупки'!N34,0.1)),_xll.VoseSimPercentile('Закупки'!N34,0.1),NA())</f>
        <v>646.75519696850029</v>
      </c>
      <c r="D115" s="66" cm="1">
        <f t="array" aca="1" ref="D115" ca="1">IF(ISNUMBER(_xll.VoseSimPercentile('Закупки'!N34,0.5)),_xll.VoseSimPercentile('Закупки'!N34,0.5),NA())</f>
        <v>853.20411964624236</v>
      </c>
      <c r="E115" s="66" cm="1">
        <f t="array" aca="1" ref="E115" ca="1">IF(ISNUMBER(_xll.VoseSimPercentile('Закупки'!N34,0.9)),_xll.VoseSimPercentile('Закупки'!N34,0.9),NA())</f>
        <v>1127.0238496832199</v>
      </c>
      <c r="F115" s="66" cm="1">
        <f t="array" aca="1" ref="F115" ca="1">IF(ISNUMBER(_xll.VoseSimMean('Закупки'!N34)),_xll.VoseSimMean('Закупки'!N34),NA())</f>
        <v>874.07180479759791</v>
      </c>
    </row>
    <row r="116" spans="2:6" hidden="1" outlineLevel="1" x14ac:dyDescent="0.45">
      <c r="B116" s="67">
        <f>'Закупки'!O6</f>
        <v>10</v>
      </c>
      <c r="C116" s="66" cm="1">
        <f t="array" aca="1" ref="C116" ca="1">IF(ISNUMBER(_xll.VoseSimPercentile('Закупки'!O34,0.1)),_xll.VoseSimPercentile('Закупки'!O34,0.1),NA())</f>
        <v>638.56229668257902</v>
      </c>
      <c r="D116" s="66" cm="1">
        <f t="array" aca="1" ref="D116" ca="1">IF(ISNUMBER(_xll.VoseSimPercentile('Закупки'!O34,0.5)),_xll.VoseSimPercentile('Закупки'!O34,0.5),NA())</f>
        <v>853.69256754353489</v>
      </c>
      <c r="E116" s="66" cm="1">
        <f t="array" aca="1" ref="E116" ca="1">IF(ISNUMBER(_xll.VoseSimPercentile('Закупки'!O34,0.9)),_xll.VoseSimPercentile('Закупки'!O34,0.9),NA())</f>
        <v>1149.3297026849821</v>
      </c>
      <c r="F116" s="66" cm="1">
        <f t="array" aca="1" ref="F116" ca="1">IF(ISNUMBER(_xll.VoseSimMean('Закупки'!O34)),_xll.VoseSimMean('Закупки'!O34),NA())</f>
        <v>877.3422939997364</v>
      </c>
    </row>
    <row r="117" spans="2:6" hidden="1" outlineLevel="1" x14ac:dyDescent="0.45">
      <c r="B117" s="67">
        <f>'Закупки'!P6</f>
        <v>11</v>
      </c>
      <c r="C117" s="66" cm="1">
        <f t="array" aca="1" ref="C117" ca="1">IF(ISNUMBER(_xll.VoseSimPercentile('Закупки'!P34,0.1)),_xll.VoseSimPercentile('Закупки'!P34,0.1),NA())</f>
        <v>629.58108286850677</v>
      </c>
      <c r="D117" s="66" cm="1">
        <f t="array" aca="1" ref="D117" ca="1">IF(ISNUMBER(_xll.VoseSimPercentile('Закупки'!P34,0.5)),_xll.VoseSimPercentile('Закупки'!P34,0.5),NA())</f>
        <v>853.88865836883849</v>
      </c>
      <c r="E117" s="66" cm="1">
        <f t="array" aca="1" ref="E117" ca="1">IF(ISNUMBER(_xll.VoseSimPercentile('Закупки'!P34,0.9)),_xll.VoseSimPercentile('Закупки'!P34,0.9),NA())</f>
        <v>1168.0681377927413</v>
      </c>
      <c r="F117" s="66" cm="1">
        <f t="array" aca="1" ref="F117" ca="1">IF(ISNUMBER(_xll.VoseSimMean('Закупки'!P34)),_xll.VoseSimMean('Закупки'!P34),NA())</f>
        <v>880.9960429596905</v>
      </c>
    </row>
    <row r="118" spans="2:6" hidden="1" outlineLevel="1" x14ac:dyDescent="0.45">
      <c r="B118" s="67">
        <f>'Закупки'!Q6</f>
        <v>12</v>
      </c>
      <c r="C118" s="66" cm="1">
        <f t="array" aca="1" ref="C118" ca="1">IF(ISNUMBER(_xll.VoseSimPercentile('Закупки'!Q34,0.1)),_xll.VoseSimPercentile('Закупки'!Q34,0.1),NA())</f>
        <v>621.76925084372385</v>
      </c>
      <c r="D118" s="66" cm="1">
        <f t="array" aca="1" ref="D118" ca="1">IF(ISNUMBER(_xll.VoseSimPercentile('Закупки'!Q34,0.5)),_xll.VoseSimPercentile('Закупки'!Q34,0.5),NA())</f>
        <v>856.37284720570642</v>
      </c>
      <c r="E118" s="66" cm="1">
        <f t="array" aca="1" ref="E118" ca="1">IF(ISNUMBER(_xll.VoseSimPercentile('Закупки'!Q34,0.9)),_xll.VoseSimPercentile('Закупки'!Q34,0.9),NA())</f>
        <v>1185.2410516156745</v>
      </c>
      <c r="F118" s="66" cm="1">
        <f t="array" aca="1" ref="F118" ca="1">IF(ISNUMBER(_xll.VoseSimMean('Закупки'!Q34)),_xll.VoseSimMean('Закупки'!Q34),NA())</f>
        <v>885.02636014505674</v>
      </c>
    </row>
    <row r="119" spans="2:6" hidden="1" outlineLevel="1" x14ac:dyDescent="0.45">
      <c r="B119" s="67">
        <f>'Закупки'!R6</f>
        <v>13</v>
      </c>
      <c r="C119" s="66" cm="1">
        <f t="array" aca="1" ref="C119" ca="1">IF(ISNUMBER(_xll.VoseSimPercentile('Закупки'!R34,0.1)),_xll.VoseSimPercentile('Закупки'!R34,0.1),NA())</f>
        <v>613.18275876260634</v>
      </c>
      <c r="D119" s="66" cm="1">
        <f t="array" aca="1" ref="D119" ca="1">IF(ISNUMBER(_xll.VoseSimPercentile('Закупки'!R34,0.5)),_xll.VoseSimPercentile('Закупки'!R34,0.5),NA())</f>
        <v>856.46496258642708</v>
      </c>
      <c r="E119" s="66" cm="1">
        <f t="array" aca="1" ref="E119" ca="1">IF(ISNUMBER(_xll.VoseSimPercentile('Закупки'!R34,0.9)),_xll.VoseSimPercentile('Закупки'!R34,0.9),NA())</f>
        <v>1197.9751237391283</v>
      </c>
      <c r="F119" s="66" cm="1">
        <f t="array" aca="1" ref="F119" ca="1">IF(ISNUMBER(_xll.VoseSimMean('Закупки'!R34)),_xll.VoseSimMean('Закупки'!R34),NA())</f>
        <v>887.82183230415308</v>
      </c>
    </row>
    <row r="120" spans="2:6" hidden="1" outlineLevel="1" x14ac:dyDescent="0.45">
      <c r="B120" s="67">
        <f>'Закупки'!S6</f>
        <v>14</v>
      </c>
      <c r="C120" s="66" cm="1">
        <f t="array" aca="1" ref="C120" ca="1">IF(ISNUMBER(_xll.VoseSimPercentile('Закупки'!S34,0.1)),_xll.VoseSimPercentile('Закупки'!S34,0.1),NA())</f>
        <v>604.73424977392096</v>
      </c>
      <c r="D120" s="66" cm="1">
        <f t="array" aca="1" ref="D120" ca="1">IF(ISNUMBER(_xll.VoseSimPercentile('Закупки'!S34,0.5)),_xll.VoseSimPercentile('Закупки'!S34,0.5),NA())</f>
        <v>858.81013015637927</v>
      </c>
      <c r="E120" s="66" cm="1">
        <f t="array" aca="1" ref="E120" ca="1">IF(ISNUMBER(_xll.VoseSimPercentile('Закупки'!S34,0.9)),_xll.VoseSimPercentile('Закупки'!S34,0.9),NA())</f>
        <v>1219.2204002607014</v>
      </c>
      <c r="F120" s="66" cm="1">
        <f t="array" aca="1" ref="F120" ca="1">IF(ISNUMBER(_xll.VoseSimMean('Закупки'!S34)),_xll.VoseSimMean('Закупки'!S34),NA())</f>
        <v>891.039019925812</v>
      </c>
    </row>
    <row r="121" spans="2:6" hidden="1" outlineLevel="1" x14ac:dyDescent="0.45">
      <c r="B121" s="67">
        <f>'Закупки'!T6</f>
        <v>15</v>
      </c>
      <c r="C121" s="66" cm="1">
        <f t="array" aca="1" ref="C121" ca="1">IF(ISNUMBER(_xll.VoseSimPercentile('Закупки'!T34,0.1)),_xll.VoseSimPercentile('Закупки'!T34,0.1),NA())</f>
        <v>599.91336605320441</v>
      </c>
      <c r="D121" s="66" cm="1">
        <f t="array" aca="1" ref="D121" ca="1">IF(ISNUMBER(_xll.VoseSimPercentile('Закупки'!T34,0.5)),_xll.VoseSimPercentile('Закупки'!T34,0.5),NA())</f>
        <v>858.4105118251847</v>
      </c>
      <c r="E121" s="66" cm="1">
        <f t="array" aca="1" ref="E121" ca="1">IF(ISNUMBER(_xll.VoseSimPercentile('Закупки'!T34,0.9)),_xll.VoseSimPercentile('Закупки'!T34,0.9),NA())</f>
        <v>1229.7092056051843</v>
      </c>
      <c r="F121" s="66" cm="1">
        <f t="array" aca="1" ref="F121" ca="1">IF(ISNUMBER(_xll.VoseSimMean('Закупки'!T34)),_xll.VoseSimMean('Закупки'!T34),NA())</f>
        <v>894.25017615318518</v>
      </c>
    </row>
    <row r="122" spans="2:6" hidden="1" outlineLevel="1" x14ac:dyDescent="0.45">
      <c r="B122" s="67">
        <f>'Закупки'!U6</f>
        <v>16</v>
      </c>
      <c r="C122" s="66" cm="1">
        <f t="array" aca="1" ref="C122" ca="1">IF(ISNUMBER(_xll.VoseSimPercentile('Закупки'!U34,0.1)),_xll.VoseSimPercentile('Закупки'!U34,0.1),NA())</f>
        <v>592.7772521343943</v>
      </c>
      <c r="D122" s="66" cm="1">
        <f t="array" aca="1" ref="D122" ca="1">IF(ISNUMBER(_xll.VoseSimPercentile('Закупки'!U34,0.5)),_xll.VoseSimPercentile('Закупки'!U34,0.5),NA())</f>
        <v>860.28647415552098</v>
      </c>
      <c r="E122" s="66" cm="1">
        <f t="array" aca="1" ref="E122" ca="1">IF(ISNUMBER(_xll.VoseSimPercentile('Закупки'!U34,0.9)),_xll.VoseSimPercentile('Закупки'!U34,0.9),NA())</f>
        <v>1252.7479793449472</v>
      </c>
      <c r="F122" s="66" cm="1">
        <f t="array" aca="1" ref="F122" ca="1">IF(ISNUMBER(_xll.VoseSimMean('Закупки'!U34)),_xll.VoseSimMean('Закупки'!U34),NA())</f>
        <v>896.87560859517635</v>
      </c>
    </row>
    <row r="123" spans="2:6" hidden="1" outlineLevel="1" x14ac:dyDescent="0.45">
      <c r="B123" s="67">
        <f>'Закупки'!V6</f>
        <v>17</v>
      </c>
      <c r="C123" s="66" cm="1">
        <f t="array" aca="1" ref="C123" ca="1">IF(ISNUMBER(_xll.VoseSimPercentile('Закупки'!V34,0.1)),_xll.VoseSimPercentile('Закупки'!V34,0.1),NA())</f>
        <v>586.79108231605562</v>
      </c>
      <c r="D123" s="66" cm="1">
        <f t="array" aca="1" ref="D123" ca="1">IF(ISNUMBER(_xll.VoseSimPercentile('Закупки'!V34,0.5)),_xll.VoseSimPercentile('Закупки'!V34,0.5),NA())</f>
        <v>859.19053042309724</v>
      </c>
      <c r="E123" s="66" cm="1">
        <f t="array" aca="1" ref="E123" ca="1">IF(ISNUMBER(_xll.VoseSimPercentile('Закупки'!V34,0.9)),_xll.VoseSimPercentile('Закупки'!V34,0.9),NA())</f>
        <v>1264.8638141846611</v>
      </c>
      <c r="F123" s="66" cm="1">
        <f t="array" aca="1" ref="F123" ca="1">IF(ISNUMBER(_xll.VoseSimMean('Закупки'!V34)),_xll.VoseSimMean('Закупки'!V34),NA())</f>
        <v>900.25571804959066</v>
      </c>
    </row>
    <row r="124" spans="2:6" hidden="1" outlineLevel="1" x14ac:dyDescent="0.45">
      <c r="B124" s="67">
        <f>'Закупки'!W6</f>
        <v>18</v>
      </c>
      <c r="C124" s="66" cm="1">
        <f t="array" aca="1" ref="C124" ca="1">IF(ISNUMBER(_xll.VoseSimPercentile('Закупки'!W34,0.1)),_xll.VoseSimPercentile('Закупки'!W34,0.1),NA())</f>
        <v>579.23264466359728</v>
      </c>
      <c r="D124" s="66" cm="1">
        <f t="array" aca="1" ref="D124" ca="1">IF(ISNUMBER(_xll.VoseSimPercentile('Закупки'!W34,0.5)),_xll.VoseSimPercentile('Закупки'!W34,0.5),NA())</f>
        <v>859.9080116763347</v>
      </c>
      <c r="E124" s="66" cm="1">
        <f t="array" aca="1" ref="E124" ca="1">IF(ISNUMBER(_xll.VoseSimPercentile('Закупки'!W34,0.9)),_xll.VoseSimPercentile('Закупки'!W34,0.9),NA())</f>
        <v>1280.851159694583</v>
      </c>
      <c r="F124" s="66" cm="1">
        <f t="array" aca="1" ref="F124" ca="1">IF(ISNUMBER(_xll.VoseSimMean('Закупки'!W34)),_xll.VoseSimMean('Закупки'!W34),NA())</f>
        <v>903.46544699130664</v>
      </c>
    </row>
  </sheetData>
  <mergeCells count="4">
    <mergeCell ref="B36:G36"/>
    <mergeCell ref="B37:G37"/>
    <mergeCell ref="B38:G38"/>
    <mergeCell ref="B39:G39"/>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107:F124">
    <cfRule type="expression" dxfId="1" priority="4">
      <formula>ISNA(C107)</formula>
    </cfRule>
  </conditionalFormatting>
  <conditionalFormatting sqref="D55:G104">
    <cfRule type="expression" dxfId="0" priority="3">
      <formula>ISNA(D55)</formula>
    </cfRule>
  </conditionalFormatting>
  <hyperlinks>
    <hyperlink ref="B4" location="'Закупки'!A1" display="◂  Закупки"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F8672-7651-4D9D-9447-927E83708E4E}">
  <dimension ref="A1:B1"/>
  <sheetViews>
    <sheetView workbookViewId="0"/>
  </sheetViews>
  <sheetFormatPr defaultRowHeight="14.25" x14ac:dyDescent="0.45"/>
  <sheetData>
    <row r="1" spans="1:2" x14ac:dyDescent="0.45">
      <c r="A1" s="72" t="s">
        <v>242</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B8750-8B6F-4442-B335-E9CBBD170B65}">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18EDE-BA5E-44E6-9584-9A9DEAE2E240}">
  <dimension ref="B3:B272"/>
  <sheetViews>
    <sheetView workbookViewId="0"/>
  </sheetViews>
  <sheetFormatPr defaultRowHeight="14.25" x14ac:dyDescent="0.45"/>
  <sheetData>
    <row r="3" spans="2:2" x14ac:dyDescent="0.45">
      <c r="B3">
        <v>7</v>
      </c>
    </row>
    <row r="4" spans="2:2" x14ac:dyDescent="0.45">
      <c r="B4">
        <v>40</v>
      </c>
    </row>
    <row r="5" spans="2:2" x14ac:dyDescent="0.45">
      <c r="B5">
        <v>183</v>
      </c>
    </row>
    <row r="6" spans="2:2" x14ac:dyDescent="0.45">
      <c r="B6">
        <v>432</v>
      </c>
    </row>
    <row r="7" spans="2:2" x14ac:dyDescent="0.45">
      <c r="B7">
        <v>552</v>
      </c>
    </row>
    <row r="8" spans="2:2" x14ac:dyDescent="0.45">
      <c r="B8">
        <v>451</v>
      </c>
    </row>
    <row r="9" spans="2:2" x14ac:dyDescent="0.45">
      <c r="B9">
        <v>224</v>
      </c>
    </row>
    <row r="10" spans="2:2" x14ac:dyDescent="0.45">
      <c r="B10">
        <v>79</v>
      </c>
    </row>
    <row r="11" spans="2:2" x14ac:dyDescent="0.45">
      <c r="B11">
        <v>24</v>
      </c>
    </row>
    <row r="12" spans="2:2" x14ac:dyDescent="0.45">
      <c r="B12">
        <v>8</v>
      </c>
    </row>
    <row r="13" spans="2:2" x14ac:dyDescent="0.45">
      <c r="B13">
        <v>35</v>
      </c>
    </row>
    <row r="14" spans="2:2" x14ac:dyDescent="0.45">
      <c r="B14">
        <v>155</v>
      </c>
    </row>
    <row r="15" spans="2:2" x14ac:dyDescent="0.45">
      <c r="B15">
        <v>334</v>
      </c>
    </row>
    <row r="16" spans="2:2" x14ac:dyDescent="0.45">
      <c r="B16">
        <v>499</v>
      </c>
    </row>
    <row r="17" spans="2:2" x14ac:dyDescent="0.45">
      <c r="B17">
        <v>467</v>
      </c>
    </row>
    <row r="18" spans="2:2" x14ac:dyDescent="0.45">
      <c r="B18">
        <v>278</v>
      </c>
    </row>
    <row r="19" spans="2:2" x14ac:dyDescent="0.45">
      <c r="B19">
        <v>157</v>
      </c>
    </row>
    <row r="20" spans="2:2" x14ac:dyDescent="0.45">
      <c r="B20">
        <v>48</v>
      </c>
    </row>
    <row r="21" spans="2:2" x14ac:dyDescent="0.45">
      <c r="B21">
        <v>21</v>
      </c>
    </row>
    <row r="22" spans="2:2" x14ac:dyDescent="0.45">
      <c r="B22">
        <v>6</v>
      </c>
    </row>
    <row r="23" spans="2:2" x14ac:dyDescent="0.45">
      <c r="B23">
        <v>23</v>
      </c>
    </row>
    <row r="24" spans="2:2" x14ac:dyDescent="0.45">
      <c r="B24">
        <v>133</v>
      </c>
    </row>
    <row r="25" spans="2:2" x14ac:dyDescent="0.45">
      <c r="B25">
        <v>350</v>
      </c>
    </row>
    <row r="26" spans="2:2" x14ac:dyDescent="0.45">
      <c r="B26">
        <v>545</v>
      </c>
    </row>
    <row r="27" spans="2:2" x14ac:dyDescent="0.45">
      <c r="B27">
        <v>486</v>
      </c>
    </row>
    <row r="28" spans="2:2" x14ac:dyDescent="0.45">
      <c r="B28">
        <v>290</v>
      </c>
    </row>
    <row r="29" spans="2:2" x14ac:dyDescent="0.45">
      <c r="B29">
        <v>121</v>
      </c>
    </row>
    <row r="30" spans="2:2" x14ac:dyDescent="0.45">
      <c r="B30">
        <v>40</v>
      </c>
    </row>
    <row r="31" spans="2:2" x14ac:dyDescent="0.45">
      <c r="B31">
        <v>11</v>
      </c>
    </row>
    <row r="32" spans="2:2" x14ac:dyDescent="0.45">
      <c r="B32">
        <v>1</v>
      </c>
    </row>
    <row r="33" spans="2:2" x14ac:dyDescent="0.45">
      <c r="B33">
        <v>10</v>
      </c>
    </row>
    <row r="34" spans="2:2" x14ac:dyDescent="0.45">
      <c r="B34">
        <v>67</v>
      </c>
    </row>
    <row r="35" spans="2:2" x14ac:dyDescent="0.45">
      <c r="B35">
        <v>273</v>
      </c>
    </row>
    <row r="36" spans="2:2" x14ac:dyDescent="0.45">
      <c r="B36">
        <v>444</v>
      </c>
    </row>
    <row r="37" spans="2:2" x14ac:dyDescent="0.45">
      <c r="B37">
        <v>510</v>
      </c>
    </row>
    <row r="38" spans="2:2" x14ac:dyDescent="0.45">
      <c r="B38">
        <v>365</v>
      </c>
    </row>
    <row r="39" spans="2:2" x14ac:dyDescent="0.45">
      <c r="B39">
        <v>189</v>
      </c>
    </row>
    <row r="40" spans="2:2" x14ac:dyDescent="0.45">
      <c r="B40">
        <v>100</v>
      </c>
    </row>
    <row r="41" spans="2:2" x14ac:dyDescent="0.45">
      <c r="B41">
        <v>28</v>
      </c>
    </row>
    <row r="42" spans="2:2" x14ac:dyDescent="0.45">
      <c r="B42">
        <v>14</v>
      </c>
    </row>
    <row r="43" spans="2:2" x14ac:dyDescent="0.45">
      <c r="B43">
        <v>27</v>
      </c>
    </row>
    <row r="44" spans="2:2" x14ac:dyDescent="0.45">
      <c r="B44">
        <v>169</v>
      </c>
    </row>
    <row r="45" spans="2:2" x14ac:dyDescent="0.45">
      <c r="B45">
        <v>412</v>
      </c>
    </row>
    <row r="46" spans="2:2" x14ac:dyDescent="0.45">
      <c r="B46">
        <v>528</v>
      </c>
    </row>
    <row r="47" spans="2:2" x14ac:dyDescent="0.45">
      <c r="B47">
        <v>435</v>
      </c>
    </row>
    <row r="48" spans="2:2" x14ac:dyDescent="0.45">
      <c r="B48">
        <v>238</v>
      </c>
    </row>
    <row r="49" spans="2:2" x14ac:dyDescent="0.45">
      <c r="B49">
        <v>124</v>
      </c>
    </row>
    <row r="50" spans="2:2" x14ac:dyDescent="0.45">
      <c r="B50">
        <v>46</v>
      </c>
    </row>
    <row r="51" spans="2:2" x14ac:dyDescent="0.45">
      <c r="B51">
        <v>15</v>
      </c>
    </row>
    <row r="52" spans="2:2" x14ac:dyDescent="0.45">
      <c r="B52">
        <v>6</v>
      </c>
    </row>
    <row r="53" spans="2:2" x14ac:dyDescent="0.45">
      <c r="B53">
        <v>17</v>
      </c>
    </row>
    <row r="54" spans="2:2" x14ac:dyDescent="0.45">
      <c r="B54">
        <v>162</v>
      </c>
    </row>
    <row r="55" spans="2:2" x14ac:dyDescent="0.45">
      <c r="B55">
        <v>469</v>
      </c>
    </row>
    <row r="56" spans="2:2" x14ac:dyDescent="0.45">
      <c r="B56">
        <v>577</v>
      </c>
    </row>
    <row r="57" spans="2:2" x14ac:dyDescent="0.45">
      <c r="B57">
        <v>455</v>
      </c>
    </row>
    <row r="58" spans="2:2" x14ac:dyDescent="0.45">
      <c r="B58">
        <v>206</v>
      </c>
    </row>
    <row r="59" spans="2:2" x14ac:dyDescent="0.45">
      <c r="B59">
        <v>75</v>
      </c>
    </row>
    <row r="60" spans="2:2" x14ac:dyDescent="0.45">
      <c r="B60">
        <v>27</v>
      </c>
    </row>
    <row r="61" spans="2:2" x14ac:dyDescent="0.45">
      <c r="B61">
        <v>10</v>
      </c>
    </row>
    <row r="62" spans="2:2" x14ac:dyDescent="0.45">
      <c r="B62">
        <v>2</v>
      </c>
    </row>
    <row r="63" spans="2:2" x14ac:dyDescent="0.45">
      <c r="B63">
        <v>49</v>
      </c>
    </row>
    <row r="64" spans="2:2" x14ac:dyDescent="0.45">
      <c r="B64">
        <v>247</v>
      </c>
    </row>
    <row r="65" spans="2:2" x14ac:dyDescent="0.45">
      <c r="B65">
        <v>545</v>
      </c>
    </row>
    <row r="66" spans="2:2" x14ac:dyDescent="0.45">
      <c r="B66">
        <v>598</v>
      </c>
    </row>
    <row r="67" spans="2:2" x14ac:dyDescent="0.45">
      <c r="B67">
        <v>327</v>
      </c>
    </row>
    <row r="68" spans="2:2" x14ac:dyDescent="0.45">
      <c r="B68">
        <v>156</v>
      </c>
    </row>
    <row r="69" spans="2:2" x14ac:dyDescent="0.45">
      <c r="B69">
        <v>56</v>
      </c>
    </row>
    <row r="70" spans="2:2" x14ac:dyDescent="0.45">
      <c r="B70">
        <v>15</v>
      </c>
    </row>
    <row r="71" spans="2:2" x14ac:dyDescent="0.45">
      <c r="B71">
        <v>6</v>
      </c>
    </row>
    <row r="72" spans="2:2" x14ac:dyDescent="0.45">
      <c r="B72">
        <v>1</v>
      </c>
    </row>
    <row r="73" spans="2:2" x14ac:dyDescent="0.45">
      <c r="B73">
        <v>49</v>
      </c>
    </row>
    <row r="74" spans="2:2" x14ac:dyDescent="0.45">
      <c r="B74">
        <v>257</v>
      </c>
    </row>
    <row r="75" spans="2:2" x14ac:dyDescent="0.45">
      <c r="B75">
        <v>562</v>
      </c>
    </row>
    <row r="76" spans="2:2" x14ac:dyDescent="0.45">
      <c r="B76">
        <v>533</v>
      </c>
    </row>
    <row r="77" spans="2:2" x14ac:dyDescent="0.45">
      <c r="B77">
        <v>358</v>
      </c>
    </row>
    <row r="78" spans="2:2" x14ac:dyDescent="0.45">
      <c r="B78">
        <v>151</v>
      </c>
    </row>
    <row r="79" spans="2:2" x14ac:dyDescent="0.45">
      <c r="B79">
        <v>59</v>
      </c>
    </row>
    <row r="80" spans="2:2" x14ac:dyDescent="0.45">
      <c r="B80">
        <v>20</v>
      </c>
    </row>
    <row r="81" spans="2:2" x14ac:dyDescent="0.45">
      <c r="B81">
        <v>5</v>
      </c>
    </row>
    <row r="82" spans="2:2" x14ac:dyDescent="0.45">
      <c r="B82">
        <v>6</v>
      </c>
    </row>
    <row r="83" spans="2:2" x14ac:dyDescent="0.45">
      <c r="B83">
        <v>20</v>
      </c>
    </row>
    <row r="84" spans="2:2" x14ac:dyDescent="0.45">
      <c r="B84">
        <v>220</v>
      </c>
    </row>
    <row r="85" spans="2:2" x14ac:dyDescent="0.45">
      <c r="B85">
        <v>608</v>
      </c>
    </row>
    <row r="86" spans="2:2" x14ac:dyDescent="0.45">
      <c r="B86">
        <v>599</v>
      </c>
    </row>
    <row r="87" spans="2:2" x14ac:dyDescent="0.45">
      <c r="B87">
        <v>334</v>
      </c>
    </row>
    <row r="88" spans="2:2" x14ac:dyDescent="0.45">
      <c r="B88">
        <v>144</v>
      </c>
    </row>
    <row r="89" spans="2:2" x14ac:dyDescent="0.45">
      <c r="B89">
        <v>57</v>
      </c>
    </row>
    <row r="90" spans="2:2" x14ac:dyDescent="0.45">
      <c r="B90">
        <v>11</v>
      </c>
    </row>
    <row r="91" spans="2:2" x14ac:dyDescent="0.45">
      <c r="B91">
        <v>5</v>
      </c>
    </row>
    <row r="92" spans="2:2" x14ac:dyDescent="0.45">
      <c r="B92">
        <v>2</v>
      </c>
    </row>
    <row r="93" spans="2:2" x14ac:dyDescent="0.45">
      <c r="B93">
        <v>24</v>
      </c>
    </row>
    <row r="94" spans="2:2" x14ac:dyDescent="0.45">
      <c r="B94">
        <v>236</v>
      </c>
    </row>
    <row r="95" spans="2:2" x14ac:dyDescent="0.45">
      <c r="B95">
        <v>634</v>
      </c>
    </row>
    <row r="96" spans="2:2" x14ac:dyDescent="0.45">
      <c r="B96">
        <v>572</v>
      </c>
    </row>
    <row r="97" spans="2:2" x14ac:dyDescent="0.45">
      <c r="B97">
        <v>336</v>
      </c>
    </row>
    <row r="98" spans="2:2" x14ac:dyDescent="0.45">
      <c r="B98">
        <v>131</v>
      </c>
    </row>
    <row r="99" spans="2:2" x14ac:dyDescent="0.45">
      <c r="B99">
        <v>49</v>
      </c>
    </row>
    <row r="100" spans="2:2" x14ac:dyDescent="0.45">
      <c r="B100">
        <v>14</v>
      </c>
    </row>
    <row r="101" spans="2:2" x14ac:dyDescent="0.45">
      <c r="B101">
        <v>3</v>
      </c>
    </row>
    <row r="102" spans="2:2" x14ac:dyDescent="0.45">
      <c r="B102">
        <v>1</v>
      </c>
    </row>
    <row r="103" spans="2:2" x14ac:dyDescent="0.45">
      <c r="B103">
        <v>31</v>
      </c>
    </row>
    <row r="104" spans="2:2" x14ac:dyDescent="0.45">
      <c r="B104">
        <v>346</v>
      </c>
    </row>
    <row r="105" spans="2:2" x14ac:dyDescent="0.45">
      <c r="B105">
        <v>693</v>
      </c>
    </row>
    <row r="106" spans="2:2" x14ac:dyDescent="0.45">
      <c r="B106">
        <v>524</v>
      </c>
    </row>
    <row r="107" spans="2:2" x14ac:dyDescent="0.45">
      <c r="B107">
        <v>267</v>
      </c>
    </row>
    <row r="108" spans="2:2" x14ac:dyDescent="0.45">
      <c r="B108">
        <v>99</v>
      </c>
    </row>
    <row r="109" spans="2:2" x14ac:dyDescent="0.45">
      <c r="B109">
        <v>31</v>
      </c>
    </row>
    <row r="110" spans="2:2" x14ac:dyDescent="0.45">
      <c r="B110">
        <v>7</v>
      </c>
    </row>
    <row r="111" spans="2:2" x14ac:dyDescent="0.45">
      <c r="B111">
        <v>1</v>
      </c>
    </row>
    <row r="112" spans="2:2" x14ac:dyDescent="0.45">
      <c r="B112">
        <v>1</v>
      </c>
    </row>
    <row r="113" spans="2:2" x14ac:dyDescent="0.45">
      <c r="B113">
        <v>36</v>
      </c>
    </row>
    <row r="114" spans="2:2" x14ac:dyDescent="0.45">
      <c r="B114">
        <v>268</v>
      </c>
    </row>
    <row r="115" spans="2:2" x14ac:dyDescent="0.45">
      <c r="B115">
        <v>541</v>
      </c>
    </row>
    <row r="116" spans="2:2" x14ac:dyDescent="0.45">
      <c r="B116">
        <v>548</v>
      </c>
    </row>
    <row r="117" spans="2:2" x14ac:dyDescent="0.45">
      <c r="B117">
        <v>295</v>
      </c>
    </row>
    <row r="118" spans="2:2" x14ac:dyDescent="0.45">
      <c r="B118">
        <v>194</v>
      </c>
    </row>
    <row r="119" spans="2:2" x14ac:dyDescent="0.45">
      <c r="B119">
        <v>70</v>
      </c>
    </row>
    <row r="120" spans="2:2" x14ac:dyDescent="0.45">
      <c r="B120">
        <v>28</v>
      </c>
    </row>
    <row r="121" spans="2:2" x14ac:dyDescent="0.45">
      <c r="B121">
        <v>13</v>
      </c>
    </row>
    <row r="122" spans="2:2" x14ac:dyDescent="0.45">
      <c r="B122">
        <v>7</v>
      </c>
    </row>
    <row r="123" spans="2:2" x14ac:dyDescent="0.45">
      <c r="B123">
        <v>66</v>
      </c>
    </row>
    <row r="124" spans="2:2" x14ac:dyDescent="0.45">
      <c r="B124">
        <v>366</v>
      </c>
    </row>
    <row r="125" spans="2:2" x14ac:dyDescent="0.45">
      <c r="B125">
        <v>616</v>
      </c>
    </row>
    <row r="126" spans="2:2" x14ac:dyDescent="0.45">
      <c r="B126">
        <v>497</v>
      </c>
    </row>
    <row r="127" spans="2:2" x14ac:dyDescent="0.45">
      <c r="B127">
        <v>270</v>
      </c>
    </row>
    <row r="128" spans="2:2" x14ac:dyDescent="0.45">
      <c r="B128">
        <v>112</v>
      </c>
    </row>
    <row r="129" spans="2:2" x14ac:dyDescent="0.45">
      <c r="B129">
        <v>41</v>
      </c>
    </row>
    <row r="130" spans="2:2" x14ac:dyDescent="0.45">
      <c r="B130">
        <v>23</v>
      </c>
    </row>
    <row r="131" spans="2:2" x14ac:dyDescent="0.45">
      <c r="B131">
        <v>6</v>
      </c>
    </row>
    <row r="132" spans="2:2" x14ac:dyDescent="0.45">
      <c r="B132">
        <v>3</v>
      </c>
    </row>
    <row r="133" spans="2:2" x14ac:dyDescent="0.45">
      <c r="B133">
        <v>116</v>
      </c>
    </row>
    <row r="134" spans="2:2" x14ac:dyDescent="0.45">
      <c r="B134">
        <v>496</v>
      </c>
    </row>
    <row r="135" spans="2:2" x14ac:dyDescent="0.45">
      <c r="B135">
        <v>649</v>
      </c>
    </row>
    <row r="136" spans="2:2" x14ac:dyDescent="0.45">
      <c r="B136">
        <v>430</v>
      </c>
    </row>
    <row r="137" spans="2:2" x14ac:dyDescent="0.45">
      <c r="B137">
        <v>191</v>
      </c>
    </row>
    <row r="138" spans="2:2" x14ac:dyDescent="0.45">
      <c r="B138">
        <v>79</v>
      </c>
    </row>
    <row r="139" spans="2:2" x14ac:dyDescent="0.45">
      <c r="B139">
        <v>24</v>
      </c>
    </row>
    <row r="140" spans="2:2" x14ac:dyDescent="0.45">
      <c r="B140">
        <v>12</v>
      </c>
    </row>
    <row r="141" spans="2:2" x14ac:dyDescent="0.45">
      <c r="B141">
        <v>2</v>
      </c>
    </row>
    <row r="142" spans="2:2" x14ac:dyDescent="0.45">
      <c r="B142">
        <v>1</v>
      </c>
    </row>
    <row r="143" spans="2:2" x14ac:dyDescent="0.45">
      <c r="B143">
        <v>78</v>
      </c>
    </row>
    <row r="144" spans="2:2" x14ac:dyDescent="0.45">
      <c r="B144">
        <v>471</v>
      </c>
    </row>
    <row r="145" spans="2:2" x14ac:dyDescent="0.45">
      <c r="B145">
        <v>718</v>
      </c>
    </row>
    <row r="146" spans="2:2" x14ac:dyDescent="0.45">
      <c r="B146">
        <v>440</v>
      </c>
    </row>
    <row r="147" spans="2:2" x14ac:dyDescent="0.45">
      <c r="B147">
        <v>175</v>
      </c>
    </row>
    <row r="148" spans="2:2" x14ac:dyDescent="0.45">
      <c r="B148">
        <v>79</v>
      </c>
    </row>
    <row r="149" spans="2:2" x14ac:dyDescent="0.45">
      <c r="B149">
        <v>28</v>
      </c>
    </row>
    <row r="150" spans="2:2" x14ac:dyDescent="0.45">
      <c r="B150">
        <v>10</v>
      </c>
    </row>
    <row r="151" spans="2:2" x14ac:dyDescent="0.45">
      <c r="B151">
        <v>0</v>
      </c>
    </row>
    <row r="152" spans="2:2" x14ac:dyDescent="0.45">
      <c r="B152">
        <v>1</v>
      </c>
    </row>
    <row r="153" spans="2:2" x14ac:dyDescent="0.45">
      <c r="B153">
        <v>60</v>
      </c>
    </row>
    <row r="154" spans="2:2" x14ac:dyDescent="0.45">
      <c r="B154">
        <v>505</v>
      </c>
    </row>
    <row r="155" spans="2:2" x14ac:dyDescent="0.45">
      <c r="B155">
        <v>731</v>
      </c>
    </row>
    <row r="156" spans="2:2" x14ac:dyDescent="0.45">
      <c r="B156">
        <v>437</v>
      </c>
    </row>
    <row r="157" spans="2:2" x14ac:dyDescent="0.45">
      <c r="B157">
        <v>165</v>
      </c>
    </row>
    <row r="158" spans="2:2" x14ac:dyDescent="0.45">
      <c r="B158">
        <v>65</v>
      </c>
    </row>
    <row r="159" spans="2:2" x14ac:dyDescent="0.45">
      <c r="B159">
        <v>27</v>
      </c>
    </row>
    <row r="160" spans="2:2" x14ac:dyDescent="0.45">
      <c r="B160">
        <v>8</v>
      </c>
    </row>
    <row r="161" spans="2:2" x14ac:dyDescent="0.45">
      <c r="B161">
        <v>1</v>
      </c>
    </row>
    <row r="162" spans="2:2" x14ac:dyDescent="0.45">
      <c r="B162">
        <v>1</v>
      </c>
    </row>
    <row r="163" spans="2:2" x14ac:dyDescent="0.45">
      <c r="B163">
        <v>83</v>
      </c>
    </row>
    <row r="164" spans="2:2" x14ac:dyDescent="0.45">
      <c r="B164">
        <v>564</v>
      </c>
    </row>
    <row r="165" spans="2:2" x14ac:dyDescent="0.45">
      <c r="B165">
        <v>745</v>
      </c>
    </row>
    <row r="166" spans="2:2" x14ac:dyDescent="0.45">
      <c r="B166">
        <v>384</v>
      </c>
    </row>
    <row r="167" spans="2:2" x14ac:dyDescent="0.45">
      <c r="B167">
        <v>142</v>
      </c>
    </row>
    <row r="168" spans="2:2" x14ac:dyDescent="0.45">
      <c r="B168">
        <v>50</v>
      </c>
    </row>
    <row r="169" spans="2:2" x14ac:dyDescent="0.45">
      <c r="B169">
        <v>27</v>
      </c>
    </row>
    <row r="170" spans="2:2" x14ac:dyDescent="0.45">
      <c r="B170">
        <v>2</v>
      </c>
    </row>
    <row r="171" spans="2:2" x14ac:dyDescent="0.45">
      <c r="B171">
        <v>2</v>
      </c>
    </row>
    <row r="172" spans="2:2" x14ac:dyDescent="0.45">
      <c r="B172">
        <v>1</v>
      </c>
    </row>
    <row r="173" spans="2:2" x14ac:dyDescent="0.45">
      <c r="B173">
        <v>147</v>
      </c>
    </row>
    <row r="174" spans="2:2" x14ac:dyDescent="0.45">
      <c r="B174">
        <v>758</v>
      </c>
    </row>
    <row r="175" spans="2:2" x14ac:dyDescent="0.45">
      <c r="B175">
        <v>678</v>
      </c>
    </row>
    <row r="176" spans="2:2" x14ac:dyDescent="0.45">
      <c r="B176">
        <v>286</v>
      </c>
    </row>
    <row r="177" spans="2:2" x14ac:dyDescent="0.45">
      <c r="B177">
        <v>88</v>
      </c>
    </row>
    <row r="178" spans="2:2" x14ac:dyDescent="0.45">
      <c r="B178">
        <v>28</v>
      </c>
    </row>
    <row r="179" spans="2:2" x14ac:dyDescent="0.45">
      <c r="B179">
        <v>13</v>
      </c>
    </row>
    <row r="180" spans="2:2" x14ac:dyDescent="0.45">
      <c r="B180">
        <v>0</v>
      </c>
    </row>
    <row r="181" spans="2:2" x14ac:dyDescent="0.45">
      <c r="B181">
        <v>1</v>
      </c>
    </row>
    <row r="182" spans="2:2" x14ac:dyDescent="0.45">
      <c r="B182">
        <v>1</v>
      </c>
    </row>
    <row r="183" spans="2:2" x14ac:dyDescent="0.45">
      <c r="B183">
        <v>40</v>
      </c>
    </row>
    <row r="184" spans="2:2" x14ac:dyDescent="0.45">
      <c r="B184">
        <v>243</v>
      </c>
    </row>
    <row r="185" spans="2:2" x14ac:dyDescent="0.45">
      <c r="B185">
        <v>569</v>
      </c>
    </row>
    <row r="186" spans="2:2" x14ac:dyDescent="0.45">
      <c r="B186">
        <v>557</v>
      </c>
    </row>
    <row r="187" spans="2:2" x14ac:dyDescent="0.45">
      <c r="B187">
        <v>342</v>
      </c>
    </row>
    <row r="188" spans="2:2" x14ac:dyDescent="0.45">
      <c r="B188">
        <v>163</v>
      </c>
    </row>
    <row r="189" spans="2:2" x14ac:dyDescent="0.45">
      <c r="B189">
        <v>62</v>
      </c>
    </row>
    <row r="190" spans="2:2" x14ac:dyDescent="0.45">
      <c r="B190">
        <v>14</v>
      </c>
    </row>
    <row r="191" spans="2:2" x14ac:dyDescent="0.45">
      <c r="B191">
        <v>7</v>
      </c>
    </row>
    <row r="192" spans="2:2" x14ac:dyDescent="0.45">
      <c r="B192">
        <v>3</v>
      </c>
    </row>
    <row r="193" spans="2:2" x14ac:dyDescent="0.45">
      <c r="B193">
        <v>7</v>
      </c>
    </row>
    <row r="194" spans="2:2" x14ac:dyDescent="0.45">
      <c r="B194">
        <v>25</v>
      </c>
    </row>
    <row r="195" spans="2:2" x14ac:dyDescent="0.45">
      <c r="B195">
        <v>113</v>
      </c>
    </row>
    <row r="196" spans="2:2" x14ac:dyDescent="0.45">
      <c r="B196">
        <v>317</v>
      </c>
    </row>
    <row r="197" spans="2:2" x14ac:dyDescent="0.45">
      <c r="B197">
        <v>528</v>
      </c>
    </row>
    <row r="198" spans="2:2" x14ac:dyDescent="0.45">
      <c r="B198">
        <v>488</v>
      </c>
    </row>
    <row r="199" spans="2:2" x14ac:dyDescent="0.45">
      <c r="B199">
        <v>329</v>
      </c>
    </row>
    <row r="200" spans="2:2" x14ac:dyDescent="0.45">
      <c r="B200">
        <v>151</v>
      </c>
    </row>
    <row r="201" spans="2:2" x14ac:dyDescent="0.45">
      <c r="B201">
        <v>37</v>
      </c>
    </row>
    <row r="202" spans="2:2" x14ac:dyDescent="0.45">
      <c r="B202">
        <v>5</v>
      </c>
    </row>
    <row r="203" spans="2:2" x14ac:dyDescent="0.45">
      <c r="B203">
        <v>34</v>
      </c>
    </row>
    <row r="204" spans="2:2" x14ac:dyDescent="0.45">
      <c r="B204">
        <v>189</v>
      </c>
    </row>
    <row r="205" spans="2:2" x14ac:dyDescent="0.45">
      <c r="B205">
        <v>508</v>
      </c>
    </row>
    <row r="206" spans="2:2" x14ac:dyDescent="0.45">
      <c r="B206">
        <v>575</v>
      </c>
    </row>
    <row r="207" spans="2:2" x14ac:dyDescent="0.45">
      <c r="B207">
        <v>381</v>
      </c>
    </row>
    <row r="208" spans="2:2" x14ac:dyDescent="0.45">
      <c r="B208">
        <v>198</v>
      </c>
    </row>
    <row r="209" spans="2:2" x14ac:dyDescent="0.45">
      <c r="B209">
        <v>87</v>
      </c>
    </row>
    <row r="210" spans="2:2" x14ac:dyDescent="0.45">
      <c r="B210">
        <v>16</v>
      </c>
    </row>
    <row r="211" spans="2:2" x14ac:dyDescent="0.45">
      <c r="B211">
        <v>9</v>
      </c>
    </row>
    <row r="212" spans="2:2" x14ac:dyDescent="0.45">
      <c r="B212">
        <v>3</v>
      </c>
    </row>
    <row r="213" spans="2:2" x14ac:dyDescent="0.45">
      <c r="B213">
        <v>12</v>
      </c>
    </row>
    <row r="214" spans="2:2" x14ac:dyDescent="0.45">
      <c r="B214">
        <v>22</v>
      </c>
    </row>
    <row r="215" spans="2:2" x14ac:dyDescent="0.45">
      <c r="B215">
        <v>61</v>
      </c>
    </row>
    <row r="216" spans="2:2" x14ac:dyDescent="0.45">
      <c r="B216">
        <v>122</v>
      </c>
    </row>
    <row r="217" spans="2:2" x14ac:dyDescent="0.45">
      <c r="B217">
        <v>220</v>
      </c>
    </row>
    <row r="218" spans="2:2" x14ac:dyDescent="0.45">
      <c r="B218">
        <v>260</v>
      </c>
    </row>
    <row r="219" spans="2:2" x14ac:dyDescent="0.45">
      <c r="B219">
        <v>295</v>
      </c>
    </row>
    <row r="220" spans="2:2" x14ac:dyDescent="0.45">
      <c r="B220">
        <v>346</v>
      </c>
    </row>
    <row r="221" spans="2:2" x14ac:dyDescent="0.45">
      <c r="B221">
        <v>541</v>
      </c>
    </row>
    <row r="222" spans="2:2" x14ac:dyDescent="0.45">
      <c r="B222">
        <v>121</v>
      </c>
    </row>
    <row r="223" spans="2:2" x14ac:dyDescent="0.45">
      <c r="B223">
        <v>31</v>
      </c>
    </row>
    <row r="224" spans="2:2" x14ac:dyDescent="0.45">
      <c r="B224">
        <v>246</v>
      </c>
    </row>
    <row r="225" spans="2:2" x14ac:dyDescent="0.45">
      <c r="B225">
        <v>572</v>
      </c>
    </row>
    <row r="226" spans="2:2" x14ac:dyDescent="0.45">
      <c r="B226">
        <v>574</v>
      </c>
    </row>
    <row r="227" spans="2:2" x14ac:dyDescent="0.45">
      <c r="B227">
        <v>335</v>
      </c>
    </row>
    <row r="228" spans="2:2" x14ac:dyDescent="0.45">
      <c r="B228">
        <v>171</v>
      </c>
    </row>
    <row r="229" spans="2:2" x14ac:dyDescent="0.45">
      <c r="B229">
        <v>51</v>
      </c>
    </row>
    <row r="230" spans="2:2" x14ac:dyDescent="0.45">
      <c r="B230">
        <v>11</v>
      </c>
    </row>
    <row r="231" spans="2:2" x14ac:dyDescent="0.45">
      <c r="B231">
        <v>6</v>
      </c>
    </row>
    <row r="232" spans="2:2" x14ac:dyDescent="0.45">
      <c r="B232">
        <v>3</v>
      </c>
    </row>
    <row r="233" spans="2:2" x14ac:dyDescent="0.45">
      <c r="B233">
        <v>0</v>
      </c>
    </row>
    <row r="234" spans="2:2" x14ac:dyDescent="0.45">
      <c r="B234">
        <v>0</v>
      </c>
    </row>
    <row r="235" spans="2:2" x14ac:dyDescent="0.45">
      <c r="B235">
        <v>0</v>
      </c>
    </row>
    <row r="236" spans="2:2" x14ac:dyDescent="0.45">
      <c r="B236">
        <v>0</v>
      </c>
    </row>
    <row r="237" spans="2:2" x14ac:dyDescent="0.45">
      <c r="B237">
        <v>0</v>
      </c>
    </row>
    <row r="238" spans="2:2" x14ac:dyDescent="0.45">
      <c r="B238">
        <v>2000</v>
      </c>
    </row>
    <row r="239" spans="2:2" x14ac:dyDescent="0.45">
      <c r="B239">
        <v>0</v>
      </c>
    </row>
    <row r="240" spans="2:2" x14ac:dyDescent="0.45">
      <c r="B240">
        <v>0</v>
      </c>
    </row>
    <row r="241" spans="2:2" x14ac:dyDescent="0.45">
      <c r="B241">
        <v>0</v>
      </c>
    </row>
    <row r="242" spans="2:2" x14ac:dyDescent="0.45">
      <c r="B242">
        <v>0</v>
      </c>
    </row>
    <row r="243" spans="2:2" x14ac:dyDescent="0.45">
      <c r="B243">
        <v>31</v>
      </c>
    </row>
    <row r="244" spans="2:2" x14ac:dyDescent="0.45">
      <c r="B244">
        <v>246</v>
      </c>
    </row>
    <row r="245" spans="2:2" x14ac:dyDescent="0.45">
      <c r="B245">
        <v>572</v>
      </c>
    </row>
    <row r="246" spans="2:2" x14ac:dyDescent="0.45">
      <c r="B246">
        <v>574</v>
      </c>
    </row>
    <row r="247" spans="2:2" x14ac:dyDescent="0.45">
      <c r="B247">
        <v>335</v>
      </c>
    </row>
    <row r="248" spans="2:2" x14ac:dyDescent="0.45">
      <c r="B248">
        <v>171</v>
      </c>
    </row>
    <row r="249" spans="2:2" x14ac:dyDescent="0.45">
      <c r="B249">
        <v>51</v>
      </c>
    </row>
    <row r="250" spans="2:2" x14ac:dyDescent="0.45">
      <c r="B250">
        <v>11</v>
      </c>
    </row>
    <row r="251" spans="2:2" x14ac:dyDescent="0.45">
      <c r="B251">
        <v>6</v>
      </c>
    </row>
    <row r="252" spans="2:2" x14ac:dyDescent="0.45">
      <c r="B252">
        <v>3</v>
      </c>
    </row>
    <row r="253" spans="2:2" x14ac:dyDescent="0.45">
      <c r="B253">
        <v>7</v>
      </c>
    </row>
    <row r="254" spans="2:2" x14ac:dyDescent="0.45">
      <c r="B254">
        <v>14</v>
      </c>
    </row>
    <row r="255" spans="2:2" x14ac:dyDescent="0.45">
      <c r="B255">
        <v>38</v>
      </c>
    </row>
    <row r="256" spans="2:2" x14ac:dyDescent="0.45">
      <c r="B256">
        <v>84</v>
      </c>
    </row>
    <row r="257" spans="2:2" x14ac:dyDescent="0.45">
      <c r="B257">
        <v>144</v>
      </c>
    </row>
    <row r="258" spans="2:2" x14ac:dyDescent="0.45">
      <c r="B258">
        <v>195</v>
      </c>
    </row>
    <row r="259" spans="2:2" x14ac:dyDescent="0.45">
      <c r="B259">
        <v>270</v>
      </c>
    </row>
    <row r="260" spans="2:2" x14ac:dyDescent="0.45">
      <c r="B260">
        <v>273</v>
      </c>
    </row>
    <row r="261" spans="2:2" x14ac:dyDescent="0.45">
      <c r="B261">
        <v>290</v>
      </c>
    </row>
    <row r="262" spans="2:2" x14ac:dyDescent="0.45">
      <c r="B262">
        <v>685</v>
      </c>
    </row>
    <row r="263" spans="2:2" x14ac:dyDescent="0.45">
      <c r="B263">
        <v>31</v>
      </c>
    </row>
    <row r="264" spans="2:2" x14ac:dyDescent="0.45">
      <c r="B264">
        <v>246</v>
      </c>
    </row>
    <row r="265" spans="2:2" x14ac:dyDescent="0.45">
      <c r="B265">
        <v>572</v>
      </c>
    </row>
    <row r="266" spans="2:2" x14ac:dyDescent="0.45">
      <c r="B266">
        <v>574</v>
      </c>
    </row>
    <row r="267" spans="2:2" x14ac:dyDescent="0.45">
      <c r="B267">
        <v>335</v>
      </c>
    </row>
    <row r="268" spans="2:2" x14ac:dyDescent="0.45">
      <c r="B268">
        <v>171</v>
      </c>
    </row>
    <row r="269" spans="2:2" x14ac:dyDescent="0.45">
      <c r="B269">
        <v>51</v>
      </c>
    </row>
    <row r="270" spans="2:2" x14ac:dyDescent="0.45">
      <c r="B270">
        <v>11</v>
      </c>
    </row>
    <row r="271" spans="2:2" x14ac:dyDescent="0.45">
      <c r="B271">
        <v>6</v>
      </c>
    </row>
    <row r="272" spans="2:2" x14ac:dyDescent="0.45">
      <c r="B272">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4D773790-8D73-47C2-8E37-7DD567134B9A}">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39</vt:i4>
      </vt:variant>
    </vt:vector>
  </HeadingPairs>
  <TitlesOfParts>
    <vt:vector size="46" baseType="lpstr">
      <vt:lpstr>Описание</vt:lpstr>
      <vt:lpstr>Исходные данные</vt:lpstr>
      <vt:lpstr>Закупки</vt:lpstr>
      <vt:lpstr>Результаты</vt:lpstr>
      <vt:lpstr>ModelRiskDSN</vt:lpstr>
      <vt:lpstr>ModelRiskSYS1</vt:lpstr>
      <vt:lpstr>ModelRiskCharts</vt:lpstr>
      <vt:lpstr>AvgSteel</vt:lpstr>
      <vt:lpstr>Budget</vt:lpstr>
      <vt:lpstr>CapPremium</vt:lpstr>
      <vt:lpstr>CapPrice</vt:lpstr>
      <vt:lpstr>Checks</vt:lpstr>
      <vt:lpstr>ConcAllow</vt:lpstr>
      <vt:lpstr>ConcAllowEsc</vt:lpstr>
      <vt:lpstr>ConcEsc</vt:lpstr>
      <vt:lpstr>ConcFirst</vt:lpstr>
      <vt:lpstr>ConcLast</vt:lpstr>
      <vt:lpstr>ConcMu</vt:lpstr>
      <vt:lpstr>ConcNow</vt:lpstr>
      <vt:lpstr>ConcreteM3</vt:lpstr>
      <vt:lpstr>ConcSigma</vt:lpstr>
      <vt:lpstr>ConcVol</vt:lpstr>
      <vt:lpstr>ForwardPrice</vt:lpstr>
      <vt:lpstr>HalfShare</vt:lpstr>
      <vt:lpstr>Results!Print_Area</vt:lpstr>
      <vt:lpstr>Inputs!Print_Titles</vt:lpstr>
      <vt:lpstr>Purchases!Print_Titles</vt:lpstr>
      <vt:lpstr>Results!Print_Titles</vt:lpstr>
      <vt:lpstr>Steel_Cap</vt:lpstr>
      <vt:lpstr>Steel_Fwd</vt:lpstr>
      <vt:lpstr>Steel_Half</vt:lpstr>
      <vt:lpstr>Steel_Spot</vt:lpstr>
      <vt:lpstr>SteelAllow</vt:lpstr>
      <vt:lpstr>SteelBudget</vt:lpstr>
      <vt:lpstr>SteelEsc</vt:lpstr>
      <vt:lpstr>SteelFirst</vt:lpstr>
      <vt:lpstr>SteelLast</vt:lpstr>
      <vt:lpstr>SteelMu</vt:lpstr>
      <vt:lpstr>SteelNow</vt:lpstr>
      <vt:lpstr>SteelSigma</vt:lpstr>
      <vt:lpstr>SteelTonnes</vt:lpstr>
      <vt:lpstr>SteelVol</vt:lpstr>
      <vt:lpstr>Total_Cap</vt:lpstr>
      <vt:lpstr>Total_Fwd</vt:lpstr>
      <vt:lpstr>Total_Half</vt:lpstr>
      <vt:lpstr>Total_Spot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PC-07 Рост цен на материалы и стратегия закупок</dc:title>
  <dc:subject>Отраслевые примеры моделей МоделРиск — Проекты и строительство</dc:subject>
  <dc:creator>ООО «Стратегия Риска»</dc:creator>
  <cp:keywords>МоделРиск; Монте-Карло; проекты и строительство</cp:keywords>
  <dc:description>Удорожание стали и бетона за 18 месяцев на объекте с твердой ценой и сравнение четырех стратегий закупки стали.</dc:description>
  <cp:lastModifiedBy>ООО «Стратегия Риска»</cp:lastModifiedBy>
  <cp:lastPrinted>2026-10-05T20:19:05Z</cp:lastPrinted>
  <dcterms:created xsi:type="dcterms:W3CDTF">2026-10-05T20:15:03Z</dcterms:created>
  <dcterms:modified xsi:type="dcterms:W3CDTF">2026-10-05T20:19:07Z</dcterms:modified>
</cp:coreProperties>
</file>