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0AB22C6D-BBE2-4A69-ACF4-09AC3275029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Изменения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llowance">'Изменения'!$D$23</definedName>
    <definedName name="AllowancePct">'Исходные данные'!$D$13</definedName>
    <definedName name="Checks">'Изменения'!$D$29:$D$30</definedName>
    <definedName name="Client_Cost">'Изменения'!$D$13</definedName>
    <definedName name="Client_Mean">'Исходные данные'!$D$20</definedName>
    <definedName name="Client_N">'Изменения'!$D$12</definedName>
    <definedName name="Client_Rate">'Исходные данные'!$D$18</definedName>
    <definedName name="Client_RateCV">'Исходные данные'!$D$19</definedName>
    <definedName name="Client_RateDrawn">'Изменения'!$D$11</definedName>
    <definedName name="Client_Scale">'Изменения'!$D$10</definedName>
    <definedName name="Client_SD">'Исходные данные'!$D$21</definedName>
    <definedName name="Client_Shape">'Изменения'!$D$9</definedName>
    <definedName name="ContractSum">'Исходные данные'!$D$11</definedName>
    <definedName name="Design_Cost">'Изменения'!$D$15</definedName>
    <definedName name="Design_Mean">'Исходные данные'!$D$27</definedName>
    <definedName name="Design_N">'Изменения'!$D$14</definedName>
    <definedName name="Design_Rate">'Исходные данные'!$D$26</definedName>
    <definedName name="Design_SD">'Исходные данные'!$D$28</definedName>
    <definedName name="Exceeds">'Изменения'!$D$24</definedName>
    <definedName name="Expected">'Изменения'!$D$25</definedName>
    <definedName name="Months">'Исходные данные'!$D$12</definedName>
    <definedName name="_xlnm.Print_Area" localSheetId="3">'Результаты'!$A$1:$R$51</definedName>
    <definedName name="_xlnm.Print_Titles" localSheetId="1">'Исходные данные'!$1:$4</definedName>
    <definedName name="_xlnm.Print_Titles" localSheetId="3">'Результаты'!$1:$4</definedName>
    <definedName name="Rework_Cost">'Изменения'!$D$17</definedName>
    <definedName name="Rework_Mean">'Исходные данные'!$D$34</definedName>
    <definedName name="Rework_N">'Изменения'!$D$16</definedName>
    <definedName name="Rework_Rate">'Исходные данные'!$D$33</definedName>
    <definedName name="Rework_SD">'Исходные данные'!$D$35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otalChange">'Изменения'!$D$22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6" i="4" l="1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D30" i="3"/>
  <c r="D29" i="3"/>
  <c r="B7" i="4"/>
  <c r="D25" i="3"/>
  <c r="D17" i="4" s="1"/>
  <c r="D23" i="3"/>
  <c r="D12" i="4" s="1"/>
  <c r="D9" i="3"/>
  <c r="D10" i="3"/>
  <c r="D11" i="3" a="1"/>
  <c r="D16" i="3" a="1"/>
  <c r="D14" i="3" a="1"/>
  <c r="D14" i="3" l="1"/>
  <c r="D16" i="3"/>
  <c r="D11" i="3"/>
  <c r="F31" i="4" a="1"/>
  <c r="D31" i="4" a="1"/>
  <c r="E31" i="4" a="1"/>
  <c r="G31" i="4" a="1"/>
  <c r="D32" i="4" a="1"/>
  <c r="E32" i="4" a="1"/>
  <c r="G32" i="4" a="1"/>
  <c r="F32" i="4" a="1"/>
  <c r="D15" i="3" a="1"/>
  <c r="D17" i="3" a="1"/>
  <c r="D12" i="3" a="1"/>
  <c r="F32" i="4" l="1"/>
  <c r="G32" i="4"/>
  <c r="E32" i="4"/>
  <c r="D32" i="4"/>
  <c r="G31" i="4"/>
  <c r="E31" i="4"/>
  <c r="D31" i="4"/>
  <c r="F31" i="4"/>
  <c r="D12" i="3"/>
  <c r="D17" i="3"/>
  <c r="D15" i="3"/>
  <c r="F30" i="4" a="1"/>
  <c r="G30" i="4" a="1"/>
  <c r="D30" i="4" a="1"/>
  <c r="E30" i="4" a="1"/>
  <c r="F24" i="4" a="1"/>
  <c r="D24" i="4" a="1"/>
  <c r="G24" i="4" a="1"/>
  <c r="E24" i="4" a="1"/>
  <c r="D23" i="4" a="1"/>
  <c r="G23" i="4" a="1"/>
  <c r="E23" i="4" a="1"/>
  <c r="F23" i="4" a="1"/>
  <c r="D13" i="3" a="1"/>
  <c r="F23" i="4" l="1"/>
  <c r="E23" i="4"/>
  <c r="G23" i="4"/>
  <c r="D23" i="4"/>
  <c r="E24" i="4"/>
  <c r="G24" i="4"/>
  <c r="D24" i="4"/>
  <c r="F24" i="4"/>
  <c r="E30" i="4"/>
  <c r="D30" i="4"/>
  <c r="G30" i="4"/>
  <c r="F30" i="4"/>
  <c r="D13" i="3"/>
  <c r="F22" i="4" a="1"/>
  <c r="E22" i="4" a="1"/>
  <c r="G22" i="4" a="1"/>
  <c r="D22" i="4" a="1"/>
  <c r="D22" i="4" l="1"/>
  <c r="G22" i="4"/>
  <c r="E22" i="4"/>
  <c r="F22" i="4"/>
  <c r="D22" i="3" a="1"/>
  <c r="D22" i="3" s="1"/>
  <c r="D67" i="4" a="1"/>
  <c r="D76" i="4" a="1"/>
  <c r="D95" i="4" a="1"/>
  <c r="B6" i="4" a="1"/>
  <c r="D94" i="4" a="1"/>
  <c r="D91" i="4" a="1"/>
  <c r="D106" i="4" a="1"/>
  <c r="D90" i="4" a="1"/>
  <c r="D85" i="4" a="1"/>
  <c r="D65" i="4" a="1"/>
  <c r="D63" i="4" a="1"/>
  <c r="D58" i="4" a="1"/>
  <c r="D98" i="4" a="1"/>
  <c r="D61" i="4" a="1"/>
  <c r="D59" i="4" a="1"/>
  <c r="D104" i="4" a="1"/>
  <c r="D87" i="4" a="1"/>
  <c r="D105" i="4" a="1"/>
  <c r="D64" i="4" a="1"/>
  <c r="D14" i="4" a="1"/>
  <c r="D92" i="4" a="1"/>
  <c r="D60" i="4" a="1"/>
  <c r="D79" i="4" a="1"/>
  <c r="D77" i="4" a="1"/>
  <c r="D88" i="4" a="1"/>
  <c r="D74" i="4" a="1"/>
  <c r="D108" i="4" a="1"/>
  <c r="D75" i="4" a="1"/>
  <c r="D82" i="4" a="1"/>
  <c r="D73" i="4" a="1"/>
  <c r="D93" i="4" a="1"/>
  <c r="D84" i="4" a="1"/>
  <c r="D16" i="4" a="1"/>
  <c r="D70" i="4" a="1"/>
  <c r="D99" i="4" a="1"/>
  <c r="D25" i="4" a="1"/>
  <c r="E25" i="4" a="1"/>
  <c r="D72" i="4" a="1"/>
  <c r="D89" i="4" a="1"/>
  <c r="D68" i="4" a="1"/>
  <c r="F25" i="4" a="1"/>
  <c r="D100" i="4" a="1"/>
  <c r="D86" i="4" a="1"/>
  <c r="D83" i="4" a="1"/>
  <c r="D81" i="4" a="1"/>
  <c r="D101" i="4" a="1"/>
  <c r="D78" i="4" a="1"/>
  <c r="B36" i="4" a="1"/>
  <c r="D102" i="4" a="1"/>
  <c r="D97" i="4" a="1"/>
  <c r="G25" i="4" a="1"/>
  <c r="D103" i="4" a="1"/>
  <c r="D71" i="4" a="1"/>
  <c r="D66" i="4" a="1"/>
  <c r="D69" i="4" a="1"/>
  <c r="D57" i="4" a="1"/>
  <c r="D80" i="4" a="1"/>
  <c r="D96" i="4" a="1"/>
  <c r="D62" i="4" a="1"/>
  <c r="D62" i="4" l="1"/>
  <c r="D96" i="4"/>
  <c r="D80" i="4"/>
  <c r="D57" i="4"/>
  <c r="D69" i="4"/>
  <c r="D66" i="4"/>
  <c r="D71" i="4"/>
  <c r="D103" i="4"/>
  <c r="G25" i="4"/>
  <c r="D97" i="4"/>
  <c r="D102" i="4"/>
  <c r="B36" i="4"/>
  <c r="B110" i="4" s="1"/>
  <c r="B37" i="4"/>
  <c r="B111" i="4" s="1"/>
  <c r="D39" i="4"/>
  <c r="C37" i="4"/>
  <c r="E39" i="4"/>
  <c r="E38" i="4"/>
  <c r="D38" i="4"/>
  <c r="D37" i="4"/>
  <c r="D36" i="4"/>
  <c r="C38" i="4"/>
  <c r="C36" i="4"/>
  <c r="B39" i="4"/>
  <c r="B113" i="4" s="1"/>
  <c r="E36" i="4"/>
  <c r="B38" i="4"/>
  <c r="B112" i="4" s="1"/>
  <c r="C39" i="4"/>
  <c r="E37" i="4"/>
  <c r="D78" i="4"/>
  <c r="D101" i="4"/>
  <c r="D81" i="4"/>
  <c r="D83" i="4"/>
  <c r="D86" i="4"/>
  <c r="D100" i="4"/>
  <c r="F25" i="4"/>
  <c r="D68" i="4"/>
  <c r="D89" i="4"/>
  <c r="D72" i="4"/>
  <c r="E25" i="4"/>
  <c r="D25" i="4"/>
  <c r="D99" i="4"/>
  <c r="D70" i="4"/>
  <c r="D16" i="4"/>
  <c r="D84" i="4"/>
  <c r="D93" i="4"/>
  <c r="D73" i="4"/>
  <c r="D82" i="4"/>
  <c r="D75" i="4"/>
  <c r="D108" i="4"/>
  <c r="D74" i="4"/>
  <c r="D88" i="4"/>
  <c r="D77" i="4"/>
  <c r="D79" i="4"/>
  <c r="D60" i="4"/>
  <c r="D92" i="4"/>
  <c r="D14" i="4"/>
  <c r="D15" i="4" s="1"/>
  <c r="D64" i="4"/>
  <c r="D105" i="4"/>
  <c r="D87" i="4"/>
  <c r="D104" i="4"/>
  <c r="D59" i="4"/>
  <c r="D61" i="4"/>
  <c r="D98" i="4"/>
  <c r="D58" i="4"/>
  <c r="D63" i="4"/>
  <c r="D65" i="4"/>
  <c r="D85" i="4"/>
  <c r="D90" i="4"/>
  <c r="D106" i="4"/>
  <c r="D91" i="4"/>
  <c r="D94" i="4"/>
  <c r="B6" i="4"/>
  <c r="D95" i="4"/>
  <c r="D76" i="4"/>
  <c r="D67" i="4"/>
  <c r="D24" i="3" a="1"/>
  <c r="D24" i="3" s="1"/>
  <c r="D13" i="4" a="1"/>
  <c r="F110" i="4" l="1"/>
  <c r="G113" i="4"/>
  <c r="F112" i="4"/>
  <c r="D13" i="4"/>
  <c r="G111" i="4"/>
  <c r="G110" i="4"/>
  <c r="F113" i="4"/>
  <c r="G112" i="4"/>
  <c r="F111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<sst xmlns="http://schemas.openxmlformats.org/spreadsheetml/2006/main" count="305" uniqueCount="225">
  <si>
    <t xml:space="preserve">Изменения и переделки</t>
  </si>
  <si>
    <t xml:space="preserve">Пример МоделРиск  ·  Проекты и строительство  ·  PC-06</t>
  </si>
  <si>
    <t xml:space="preserve">Хватит ли резерва на изменения в 5%?  Изменения и переделки как случайное число событий случайного размера.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</si>
  <si>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</si>
  <si>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</si>
  <si>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</si>
  <si>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Проекты и строительство</t>
  </si>
  <si>
    <t xml:space="preserve">Сложность</t>
  </si>
  <si>
    <t xml:space="preserve">★★☆☆☆   Три вида изменений, у каждого случайное число событий со случайной стоимостью, суммированных функцией VoseAggregateMC.</t>
  </si>
  <si>
    <t xml:space="preserve">Вопрос бизнеса</t>
  </si>
  <si>
    <t xml:space="preserve">Строительный контракт стоимостью 60 млн долл. на 24 месяца: изменения заказчика, ошибки проекта и переделки добавят затрат. Сколько именно, насколько вероятно превышение резерва на изменения в 5% и какой резерв дал бы надежность 80%?</t>
  </si>
  <si>
    <t xml:space="preserve">Для кого</t>
  </si>
  <si>
    <t xml:space="preserve">Специалистам по стоимости, сметчикам, администраторам контрактов и заказчикам, которые задают резерв на изменения.</t>
  </si>
  <si>
    <t xml:space="preserve">Основные результаты</t>
  </si>
  <si>
    <t xml:space="preserve">Общая стоимость изменений и переделок: среднее, P50 / P80 / P90 · вероятность превысить резерв · резерв, нужный для надежности 80% · число изменений заказчика и его диапазон · вклад каждого вида.</t>
  </si>
  <si>
    <t xml:space="preserve">Приемы МоделРиск</t>
  </si>
  <si>
    <t xml:space="preserve">Частота × тяжесть: число событий каждого вида по Пуассону, у каждого логнормальная стоимость, сумма через VoseAggregateMC · неопределенная частота событий (гамма), из-за которой число событий колеблется сильнее, чем по Пуассону (смесь Пуассона и гамма-распределения) · резерв P80.</t>
  </si>
  <si>
    <t xml:space="preserve">Файл</t>
  </si>
  <si>
    <t xml:space="preserve">PC-06 Изменения и переделки  ·  Версия 1.0  ·  Ноябрь 2026  ·  создано в МоделРиск</t>
  </si>
  <si>
    <t xml:space="preserve">Вопрос бизнеса</t>
  </si>
  <si>
    <t xml:space="preserve">Строительство школы стоимостью 60 млн долл. займет 24 месяца. В смете заложен обычный резерв на изменения — 5%. Изменения приходят из трех источников. Заказчик будет вносить изменения — по несколько в месяц, но никто не знает, как часто это делает именно этот заказчик, поэтому неопределенна и сама частота. В проекте будут ошибки и упущения, за исправление которых подрядчику положена оплата. А часть работ с дефектами придется переделывать. Каждое изменение по отдельности невелико, но некоторые обходятся дорого, и их число заранее неизвестно. Модель считает число событий каждого вида, назначает каждому стоимость, суммирует их и проверяет, хватит ли резерва в 5% — и какой резерв понадобился бы.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</si>
  <si>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</si>
  <si>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</si>
  <si>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</si>
  <si>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Сумма контракта, его срок и резерв; для каждого вида — ожидаемое число событий в месяц, среднее и разброс стоимости события. У частоты изменений заказчика своя неопределенность.</t>
  </si>
  <si>
    <t xml:space="preserve">2  Изменения</t>
  </si>
  <si>
    <t xml:space="preserve">Число событий каждого вида распределено по Пуассону со средним = частота × число месяцев (для изменений заказчика частота сначала разыгрывается из гамма-распределения). Затем VoseAggregateMC суммирует столько же логнормальных стоимостей.</t>
  </si>
  <si>
    <t xml:space="preserve">3  Результаты</t>
  </si>
  <si>
    <t xml:space="preserve">Общая стоимость изменений в сравнении с резервом, резерв, который покрыл бы ее с надежностью 80%, число изменений заказчика и вклад каждого вида.</t>
  </si>
  <si>
    <t xml:space="preserve">Как пользоваться моделью</t>
  </si>
  <si>
    <t xml:space="preserve">Шаг 1</t>
  </si>
  <si>
    <t xml:space="preserve">Откалибруйте частоты и стоимости по журналам изменений похожих проектов (число в месяц, среднее и разброс стоимости).</t>
  </si>
  <si>
    <t xml:space="preserve">Шаг 2</t>
  </si>
  <si>
    <t xml:space="preserve">Задайте сумму контракта, срок и резерв на листе «Исходные данные».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</si>
  <si>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</si>
  <si>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</si>
  <si>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</si>
  <si>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Сравните резерв с P80 стоимости изменений; ключевые факторы покажут, каким видом изменений управлять.</t>
  </si>
  <si>
    <t xml:space="preserve">Структура модели</t>
  </si>
  <si>
    <t xml:space="preserve">Исходные данные</t>
  </si>
  <si>
    <t xml:space="preserve">Контракт, срок и резерв; частоты и стоимости трех видов изменений.</t>
  </si>
  <si>
    <t xml:space="preserve">Изменения</t>
  </si>
  <si>
    <t xml:space="preserve">Числа событий и стоимости в этой итерации; выходы и проверки.</t>
  </si>
  <si>
    <t xml:space="preserve">Результаты</t>
  </si>
  <si>
    <t xml:space="preserve">Стоимость изменений и резерв, диапазоны по видам, число изменений заказчика, ключевые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</si>
  <si>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</si>
  <si>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</si>
  <si>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</si>
  <si>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</si>
  <si>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</si>
  <si>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</si>
  <si>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</si>
  <si>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</si>
  <si>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</si>
  <si>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</si>
  <si>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</si>
  <si>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</si>
  <si>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</si>
  <si>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стоимость событий вводится в млн долл. (0,045 = 45 000 долл.).</t>
  </si>
  <si>
    <t xml:space="preserve">Частоты</t>
  </si>
  <si>
    <t xml:space="preserve">Ожидаемое число событий в месяц срока контракта.</t>
  </si>
  <si>
    <t xml:space="preserve">Резерв</t>
  </si>
  <si>
    <t xml:space="preserve">Доля суммы контракта, отложенная на изменения.</t>
  </si>
  <si>
    <t>P80</t>
  </si>
  <si>
    <t xml:space="preserve">Стоимость, которая не будет превышена с вероятностью 80%.</t>
  </si>
  <si>
    <t xml:space="preserve">Основные допущения и ограничения</t>
  </si>
  <si>
    <t xml:space="preserve">События</t>
  </si>
  <si>
    <t xml:space="preserve">События происходят в случайные моменты в течение контракта (Пуассон); стоимости не зависят друг от друга и от их числа.</t>
  </si>
  <si>
    <t xml:space="preserve">Частота заказчика</t>
  </si>
  <si>
    <t xml:space="preserve">Средняя частота у заказчика неопределенна (гамма-распределение, коэффициент вариации 30%): некоторые заказчики меняют проект гораздо чаще.</t>
  </si>
  <si>
    <t xml:space="preserve">Границы модели</t>
  </si>
  <si>
    <t xml:space="preserve">Только стоимость изменений и переделок; их влияние на сроки не моделируется (см. PC-02 и PC-04).</t>
  </si>
  <si>
    <t xml:space="preserve">Данные</t>
  </si>
  <si>
    <t xml:space="preserve">Проект, частоты и стоимости придуманы для этого примера.</t>
  </si>
  <si>
    <t xml:space="preserve">Функции МоделРиск в модели</t>
  </si>
  <si>
    <t>VosePoisson, VoseGamma</t>
  </si>
  <si>
    <t xml:space="preserve">Число событий каждого вида; неопределенная частота изменений заказчика.</t>
  </si>
  <si>
    <t>VoseAggregateMC, VoseLognormalObject</t>
  </si>
  <si>
    <t xml:space="preserve">Общая стоимость случайного числа логнормальных событий.</t>
  </si>
  <si>
    <t>VoseInput, VoseOutput</t>
  </si>
  <si>
    <t xml:space="preserve">Задают имена неопределенных величин и результатов.</t>
  </si>
  <si>
    <t>VoseSimMean, VoseSimPercentile, VoseSimProbability</t>
  </si>
  <si>
    <t xml:space="preserve">Статистика моделирования для таблиц и графиков на листе «Результаты».</t>
  </si>
  <si>
    <t>VoseSimSensitivityMean</t>
  </si>
  <si>
    <t xml:space="preserve">Диаграмма «торнадо»: все VoseInput ранжированы по тому, насколько меняется среднее итога на их диапазоне.</t>
  </si>
  <si>
    <t xml:space="preserve">Что почитать</t>
  </si>
  <si>
    <t xml:space="preserve">Изменения</t>
  </si>
  <si>
    <t>Hanna, A. S. et al. (2002). Impact of change orders on labor efficiency for mechanical construction. Journal of Construction Engineering and Management 128(1), 57–64.</t>
  </si>
  <si>
    <t xml:space="preserve">Составные распределения</t>
  </si>
  <si>
    <t xml:space="preserve">Резерв на риски: как рассчитать размер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</si>
  <si>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</si>
  <si>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</si>
  <si>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</si>
  <si>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Изменения  ▸</t>
  </si>
  <si>
    <t xml:space="preserve">Как читать этот лист:  желтые ячейки — исходные данные.</t>
  </si>
  <si>
    <t xml:space="preserve">1   Контракт</t>
  </si>
  <si>
    <t xml:space="preserve">Контракт, относительно которого измеряются изменения.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</si>
  <si>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</si>
  <si>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</si>
  <si>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</si>
  <si>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</si>
  <si>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</si>
  <si>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Сумма контракта</t>
  </si>
  <si>
    <t xml:space="preserve">млн долл.</t>
  </si>
  <si>
    <t xml:space="preserve">Константа</t>
  </si>
  <si>
    <t xml:space="preserve">Строительный контракт с твердой ценой.</t>
  </si>
  <si>
    <t xml:space="preserve">Срок по контракту</t>
  </si>
  <si>
    <t xml:space="preserve">мес.</t>
  </si>
  <si>
    <t xml:space="preserve">От начала работ на площадке до практического завершения.</t>
  </si>
  <si>
    <t xml:space="preserve">Резерв на изменения</t>
  </si>
  <si>
    <t xml:space="preserve">от суммы контракта</t>
  </si>
  <si>
    <t xml:space="preserve">Обычный резерв в смете заказчика.</t>
  </si>
  <si>
    <t xml:space="preserve">2   Изменения по указанию заказчика</t>
  </si>
  <si>
    <t xml:space="preserve">Изменения, которые просит заказчик. Частота у этого заказчика сама неопределенна.</t>
  </si>
  <si>
    <t xml:space="preserve">Ожидаемое число изменений в месяц</t>
  </si>
  <si>
    <t xml:space="preserve">в месяц</t>
  </si>
  <si>
    <t xml:space="preserve">Похожие школьные проекты: от 30 до 45 изменений за два года.</t>
  </si>
  <si>
    <t xml:space="preserve">Неопределенность этой частоты</t>
  </si>
  <si>
    <t xml:space="preserve">коэффициент вариации</t>
  </si>
  <si>
    <t xml:space="preserve">Одни заказчики меняют проект гораздо чаще других: частота разыгрывается из гамма-распределения с этим разбросом.</t>
  </si>
  <si>
    <t xml:space="preserve">Средняя стоимость изменения</t>
  </si>
  <si>
    <t xml:space="preserve">Журналы изменений: в среднем 45 000 долл.</t>
  </si>
  <si>
    <t xml:space="preserve">Стандартное отклонение стоимости</t>
  </si>
  <si>
    <t xml:space="preserve">Большинство мелкие, несколько крупных.</t>
  </si>
  <si>
    <t xml:space="preserve">3   Ошибки и упущения проекта</t>
  </si>
  <si>
    <t xml:space="preserve">Изменения, которые вызывает проектировщик, а оплачивает заказчик.</t>
  </si>
  <si>
    <t xml:space="preserve">Ожидаемое число событий в месяц</t>
  </si>
  <si>
    <t xml:space="preserve">Проект готов на 85% к моменту тендера.</t>
  </si>
  <si>
    <t xml:space="preserve">Средняя стоимость события</t>
  </si>
  <si>
    <t xml:space="preserve">4   Переделка дефектов</t>
  </si>
  <si>
    <t xml:space="preserve">Работы, которые придется переделать; ни с кого не возмещаются.</t>
  </si>
  <si>
    <t xml:space="preserve">Данные о качестве генподрядчика.</t>
  </si>
  <si>
    <t xml:space="preserve">ИЗМЕНЕНИЯ   ·   Эта итерация: сколько событий каждого вида и во что они обходятся в сумме.</t>
  </si>
  <si>
    <t xml:space="preserve">◂  Исходные данные</t>
  </si>
  <si>
    <t xml:space="preserve">Далее:  Результаты  ▸</t>
  </si>
  <si>
    <t xml:space="preserve">1   Число и стоимость событий в этой итерации</t>
  </si>
  <si>
    <t xml:space="preserve">Число: Пуассон(частота × месяцы). Стоимость: VoseAggregateMC от стольких же логнормальных стоимостей.</t>
  </si>
  <si>
    <t xml:space="preserve">Величина</t>
  </si>
  <si>
    <t xml:space="preserve">Значение</t>
  </si>
  <si>
    <t xml:space="preserve">Как рассчитывается</t>
  </si>
  <si>
    <t xml:space="preserve">Параметр формы гамма-распределения частоты заказчика</t>
  </si>
  <si>
    <t xml:space="preserve">1 ÷ CV²: коэффициент вариации гамма-распределения равен 1 ÷ √формы</t>
  </si>
  <si>
    <t xml:space="preserve">Параметр масштаба гамма-распределения частоты заказчика</t>
  </si>
  <si>
    <t xml:space="preserve">Ожидаемая частота ÷ форма, чтобы форма × масштаб = ожидаемая частота</t>
  </si>
  <si>
    <t xml:space="preserve">Частота изменений заказчика в этой итерации</t>
  </si>
  <si>
    <t xml:space="preserve">VoseGamma(форма, масштаб): среднее = ожидаемая частота, разброс = коэффициент вариации с листа «Исходные данные»</t>
  </si>
  <si>
    <t xml:space="preserve">Изменения по указанию заказчика: число</t>
  </si>
  <si>
    <t xml:space="preserve">событий</t>
  </si>
  <si>
    <t xml:space="preserve">Пуассон со средним Client_RateDrawn × месяцы. Не помечено как входная величина: ее учитывает итог по виду ниже</t>
  </si>
  <si>
    <t xml:space="preserve">Изменения по указанию заказчика: общая стоимость</t>
  </si>
  <si>
    <t xml:space="preserve">VoseAggregateMC: сумма стольких же логнормальных стоимостей событий</t>
  </si>
  <si>
    <t xml:space="preserve">Ошибки и упущения проекта: число</t>
  </si>
  <si>
    <t xml:space="preserve">Пуассон со средним Design_Rate × месяцы. Не помечено как входная величина: ее учитывает итог по виду ниже</t>
  </si>
  <si>
    <t xml:space="preserve">Ошибки и упущения проекта: общая стоимость</t>
  </si>
  <si>
    <t xml:space="preserve">Переделка дефектов: число</t>
  </si>
  <si>
    <t xml:space="preserve">Пуассон со средним Rework_Rate × месяцы. Не помечено как входная величина: ее учитывает итог по виду ниже</t>
  </si>
  <si>
    <t xml:space="preserve">Переделка дефектов: общая стоимость</t>
  </si>
  <si>
    <t xml:space="preserve">2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</si>
  <si>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</si>
  <si>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</si>
  <si>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</si>
  <si>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Общая стоимость изменений и переделок</t>
  </si>
  <si>
    <t xml:space="preserve">Сумма трех видов.</t>
  </si>
  <si>
    <t xml:space="preserve">С листа «Исходные данные».</t>
  </si>
  <si>
    <t xml:space="preserve">Превышает резерв?  (1 — да)</t>
  </si>
  <si>
    <t>1 / 0</t>
  </si>
  <si>
    <t xml:space="preserve">Ожидаемая стоимость, рассчитанная точно</t>
  </si>
  <si>
    <t xml:space="preserve">Частота × месяцы × средняя стоимость, в сумме: с этим должно совпасть среднее моделирования.</t>
  </si>
  <si>
    <t xml:space="preserve">3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</si>
  <si>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</si>
  <si>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Частоты, стоимости и разбросы положительны</t>
  </si>
  <si>
    <t xml:space="preserve">Коэффициент вариации частоты заказчика больше нуля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</si>
  <si>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</si>
  <si>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Изменения</t>
  </si>
  <si>
    <t xml:space="preserve">1   Хватит ли резерва?</t>
  </si>
  <si>
    <t xml:space="preserve">Общая стоимость изменений и переделок — S-кривая</t>
  </si>
  <si>
    <t xml:space="preserve">Общая стоимость изменений и переделок в сравнении с резервом в смете.</t>
  </si>
  <si>
    <t xml:space="preserve">Показатель</t>
  </si>
  <si>
    <t xml:space="preserve">Резерв на изменения  (лист «Исходные данные»)</t>
  </si>
  <si>
    <t xml:space="preserve">Вероятность превысить резерв</t>
  </si>
  <si>
    <t xml:space="preserve">вероятность</t>
  </si>
  <si>
    <t xml:space="preserve">P80 стоимости изменений и переделок</t>
  </si>
  <si>
    <t xml:space="preserve">Резерв, нужный для надежности 80%</t>
  </si>
  <si>
    <t xml:space="preserve">от контракта</t>
  </si>
  <si>
    <t xml:space="preserve">Ожидаемая стоимость изменений и переделок</t>
  </si>
  <si>
    <t xml:space="preserve">Ожидаемая стоимость, точный расчет  (проверка)</t>
  </si>
  <si>
    <t xml:space="preserve">2   Стоимость по видам</t>
  </si>
  <si>
    <t xml:space="preserve">P50 / P80 / P90: вероятность 50%, 80% и 90%, что значение не будет превышено.</t>
  </si>
  <si>
    <t>P50</t>
  </si>
  <si>
    <t>P90</t>
  </si>
  <si>
    <t xml:space="preserve">Среднее</t>
  </si>
  <si>
    <t xml:space="preserve">Изменения по указанию заказчика</t>
  </si>
  <si>
    <t xml:space="preserve">Ошибки и упущения проекта</t>
  </si>
  <si>
    <t xml:space="preserve">Переделка дефектов</t>
  </si>
  <si>
    <t xml:space="preserve">Итого</t>
  </si>
  <si>
    <t xml:space="preserve">3   Число событий</t>
  </si>
  <si>
    <t xml:space="preserve">10-й процентиль, медиана и 90-й процентиль.</t>
  </si>
  <si>
    <t xml:space="preserve">10-й проц.</t>
  </si>
  <si>
    <t xml:space="preserve">Медиана</t>
  </si>
  <si>
    <t xml:space="preserve">90-й проц.</t>
  </si>
  <si>
    <t xml:space="preserve">Изменения заказчика</t>
  </si>
  <si>
    <t xml:space="preserve">изменений</t>
  </si>
  <si>
    <t xml:space="preserve">Переделки</t>
  </si>
  <si>
    <t xml:space="preserve">4   Что определяет итог</t>
  </si>
  <si>
    <t xml:space="preserve">Что определяет общую стоимость изменений  (млн долл.)</t>
  </si>
  <si>
    <t xml:space="preserve">Наименьшее и наибольшее среднее итога по десяти равным группам каждой величины (VoseSimSensitivityMean) относительно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</si>
  <si>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</si>
  <si>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</si>
  <si>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</si>
  <si>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</si>
  <si>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5   Как читать результаты</t>
  </si>
  <si>
    <t xml:space="preserve">•  Ожидаемая стоимость изменений выше резерва в 5%, поэтому резерв скорее будет превышен, чем нет; P80 показывает, какой резерв дал бы надежность 80%.</t>
  </si>
  <si>
    <t xml:space="preserve">•  Частота изменений заказчика неопределенна, поэтому число изменений колеблется гораздо сильнее, чем при распределении Пуассона с известной частотой: требовательный заказчик может удвоить их число. Изменения заказчика возглавляют диаграмму «торнадо»: у их общей стоимости самая длинная полоса, а у неопределенной частоты за ней — одна из следующих. «Торнадо» ранжирует только частоту и итоги по видам: числа событий между ними — часть той же цепочки, а не отдельные причины.</t>
  </si>
  <si>
    <t xml:space="preserve">•  Переделки случаются часто, но они мелкие и похожи по размеру, поэтому их итог гораздо предсказуемее стоимости изменений заказчика, где преобладают несколько крупных изменений.</t>
  </si>
  <si>
    <t xml:space="preserve">•  Управление изменениями, которое снижает их частоту у заказчика, или более полный проект на момент тендера бьют по факторам из верхней части рейтинга.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</si>
  <si>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</si>
  <si>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</si>
  <si>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</si>
  <si>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</si>
  <si>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TotalChange</t>
  </si>
  <si>
    <t xml:space="preserve">Общее среднее TotalChange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</si>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</sst>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_);\(#,##0.0\);&quot;–&quot;_)"/>
    <numFmt numFmtId="165" formatCode="0.0%"/>
    <numFmt numFmtId="166" formatCode="#,##0.00_);\(#,##0.00\);&quot;–&quot;_)"/>
    <numFmt numFmtId="167" formatCode="0.000"/>
    <numFmt numFmtId="168" formatCode="0.0%;\-0.0%;0.0%;&quot;–&quot;"/>
    <numFmt numFmtId="169" formatCode="#,##0.00_);\(#,##0.00\);&quot;–&quot;_);&quot;–&quot;"/>
    <numFmt numFmtId="170" formatCode="0;\-0;0;&quot;–&quot;"/>
  </numFmts>
  <fonts count="23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b/>
      <sz val="10"/>
      <color rgb="FF15803D"/>
      <name val="Calibri"/>
    </font>
    <font>
      <sz val="10"/>
      <color rgb="FF55585F"/>
      <name val="Calibri"/>
    </font>
    <font>
      <b/>
      <sz val="13"/>
      <color rgb="FF1F2328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7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167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6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1" fontId="2" fillId="3" borderId="7" xfId="2" applyNumberFormat="1" applyBorder="1">
      <alignment horizontal="right" vertical="center"/>
    </xf>
    <xf numFmtId="166" fontId="4" fillId="4" borderId="9" xfId="4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0" fontId="19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2" fillId="0" borderId="5" xfId="0" applyFont="1" applyBorder="1"/>
    <xf numFmtId="0" fontId="20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168" fontId="21" fillId="5" borderId="7" xfId="5" applyNumberFormat="1" applyFon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68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0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9" fontId="1" fillId="5" borderId="1" xfId="5" applyNumberFormat="1">
      <alignment horizontal="right" vertical="center"/>
    </xf>
    <xf numFmtId="0" fontId="20" fillId="0" borderId="0" xfId="0" applyFont="1" applyAlignment="1">
      <alignment horizontal="left" vertical="center" indent="1"/>
    </xf>
    <xf numFmtId="166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Общая стоимость изменений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'Результаты'!$D$57:$D$106</c:f>
              <c:numCache>
                <c:formatCode>#,##0.00</c:formatCode>
                <c:ptCount val="50"/>
                <c:pt idx="0">
                  <c:v>1.7237618848922809</c:v>
                </c:pt>
                <c:pt idx="1">
                  <c:v>1.9501876187365683</c:v>
                </c:pt>
                <c:pt idx="2">
                  <c:v>2.0857916086383388</c:v>
                </c:pt>
                <c:pt idx="3">
                  <c:v>2.1975657764017109</c:v>
                </c:pt>
                <c:pt idx="4">
                  <c:v>2.285045375750153</c:v>
                </c:pt>
                <c:pt idx="5">
                  <c:v>2.3619663100820403</c:v>
                </c:pt>
                <c:pt idx="6">
                  <c:v>2.4438068234467556</c:v>
                </c:pt>
                <c:pt idx="7">
                  <c:v>2.5140814527456903</c:v>
                </c:pt>
                <c:pt idx="8">
                  <c:v>2.5779805683070682</c:v>
                </c:pt>
                <c:pt idx="9">
                  <c:v>2.6358355379134641</c:v>
                </c:pt>
                <c:pt idx="10">
                  <c:v>2.6989940453467325</c:v>
                </c:pt>
                <c:pt idx="11">
                  <c:v>2.7525709143517405</c:v>
                </c:pt>
                <c:pt idx="12">
                  <c:v>2.801961459330824</c:v>
                </c:pt>
                <c:pt idx="13">
                  <c:v>2.8505871983520592</c:v>
                </c:pt>
                <c:pt idx="14">
                  <c:v>2.8962859420148677</c:v>
                </c:pt>
                <c:pt idx="15">
                  <c:v>2.9445031612434076</c:v>
                </c:pt>
                <c:pt idx="16">
                  <c:v>2.9868015407056241</c:v>
                </c:pt>
                <c:pt idx="17">
                  <c:v>3.029973471377791</c:v>
                </c:pt>
                <c:pt idx="18">
                  <c:v>3.0711676419485516</c:v>
                </c:pt>
                <c:pt idx="19">
                  <c:v>3.1178375209277722</c:v>
                </c:pt>
                <c:pt idx="20">
                  <c:v>3.1644589672314796</c:v>
                </c:pt>
                <c:pt idx="21">
                  <c:v>3.2075472884251206</c:v>
                </c:pt>
                <c:pt idx="22">
                  <c:v>3.2532398954503732</c:v>
                </c:pt>
                <c:pt idx="23">
                  <c:v>3.296522964918231</c:v>
                </c:pt>
                <c:pt idx="24">
                  <c:v>3.3346779242379276</c:v>
                </c:pt>
                <c:pt idx="25">
                  <c:v>3.3785149828389329</c:v>
                </c:pt>
                <c:pt idx="26">
                  <c:v>3.4305896840266197</c:v>
                </c:pt>
                <c:pt idx="27">
                  <c:v>3.4742477756294265</c:v>
                </c:pt>
                <c:pt idx="28">
                  <c:v>3.5265691295149981</c:v>
                </c:pt>
                <c:pt idx="29">
                  <c:v>3.5797335042692962</c:v>
                </c:pt>
                <c:pt idx="30">
                  <c:v>3.6225450094018354</c:v>
                </c:pt>
                <c:pt idx="31">
                  <c:v>3.6725803916164979</c:v>
                </c:pt>
                <c:pt idx="32">
                  <c:v>3.7276335954397579</c:v>
                </c:pt>
                <c:pt idx="33">
                  <c:v>3.7839384661818833</c:v>
                </c:pt>
                <c:pt idx="34">
                  <c:v>3.8411724974471415</c:v>
                </c:pt>
                <c:pt idx="35">
                  <c:v>3.8921603116222871</c:v>
                </c:pt>
                <c:pt idx="36">
                  <c:v>3.9501282374884701</c:v>
                </c:pt>
                <c:pt idx="37">
                  <c:v>4.0134420279651923</c:v>
                </c:pt>
                <c:pt idx="38">
                  <c:v>4.0781868977982763</c:v>
                </c:pt>
                <c:pt idx="39">
                  <c:v>4.1428362164495036</c:v>
                </c:pt>
                <c:pt idx="40">
                  <c:v>4.213291827239865</c:v>
                </c:pt>
                <c:pt idx="41">
                  <c:v>4.3035852891501349</c:v>
                </c:pt>
                <c:pt idx="42">
                  <c:v>4.4064012841695979</c:v>
                </c:pt>
                <c:pt idx="43">
                  <c:v>4.5193031351807686</c:v>
                </c:pt>
                <c:pt idx="44">
                  <c:v>4.6390705526698541</c:v>
                </c:pt>
                <c:pt idx="45">
                  <c:v>4.7863135124815965</c:v>
                </c:pt>
                <c:pt idx="46">
                  <c:v>4.953399320036814</c:v>
                </c:pt>
                <c:pt idx="47">
                  <c:v>5.1470312310544966</c:v>
                </c:pt>
                <c:pt idx="48">
                  <c:v>5.4837871058195704</c:v>
                </c:pt>
                <c:pt idx="49">
                  <c:v>6.2363278176895802</c:v>
                </c:pt>
              </c:numCache>
            </c:numRef>
          </c:xVal>
          <c:yVal>
            <c:numRef>
              <c:f>'Результаты'!$B$57:$B$106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FF1-4D29-867A-8D6D3F7F1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'Результаты'!$B$110:$B$113</c:f>
              <c:strCache>
                <c:ptCount val="4"/>
                <c:pt idx="0">
                  <c:v>Изменения по указанию заказчика: стоимость</c:v>
                </c:pt>
                <c:pt idx="1">
                  <c:v>Ошибки и упущения проекта: стоимость</c:v>
                </c:pt>
                <c:pt idx="2">
                  <c:v>Частота изменений заказчика</c:v>
                </c:pt>
                <c:pt idx="3">
                  <c:v>Переделка дефектов: стоимость</c:v>
                </c:pt>
              </c:strCache>
            </c:strRef>
          </c:cat>
          <c:val>
            <c:numRef>
              <c:f>'Результаты'!$F$110:$F$113</c:f>
              <c:numCache>
                <c:formatCode>#,##0.00_);\(#,##0.00\);"–"_)</c:formatCode>
                <c:ptCount val="4"/>
                <c:pt idx="0">
                  <c:v>1.5508946130071743</c:v>
                </c:pt>
                <c:pt idx="1">
                  <c:v>1.1165875127558431</c:v>
                </c:pt>
                <c:pt idx="2">
                  <c:v>0.97099781439640065</c:v>
                </c:pt>
                <c:pt idx="3">
                  <c:v>0.31414644162275485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7E-4600-B165-5D550F88F128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'Результаты'!$B$110:$B$113</c:f>
              <c:strCache>
                <c:ptCount val="4"/>
                <c:pt idx="0">
                  <c:v>Изменения по указанию заказчика: стоимость</c:v>
                </c:pt>
                <c:pt idx="1">
                  <c:v>Ошибки и упущения проекта: стоимость</c:v>
                </c:pt>
                <c:pt idx="2">
                  <c:v>Частота изменений заказчика</c:v>
                </c:pt>
                <c:pt idx="3">
                  <c:v>Переделка дефектов: стоимость</c:v>
                </c:pt>
              </c:strCache>
            </c:strRef>
          </c:cat>
          <c:val>
            <c:numRef>
              <c:f>'Результаты'!$G$110:$G$113</c:f>
              <c:numCache>
                <c:formatCode>#,##0.00_);\(#,##0.00\);"–"_)</c:formatCode>
                <c:ptCount val="4"/>
                <c:pt idx="0">
                  <c:v>-1.0704231368375505</c:v>
                </c:pt>
                <c:pt idx="1">
                  <c:v>-0.709447325576118</c:v>
                </c:pt>
                <c:pt idx="2">
                  <c:v>-0.78753092429489024</c:v>
                </c:pt>
                <c:pt idx="3">
                  <c:v>-0.28878749061044262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7E-4600-B165-5D550F88F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33</xdr:row>
      <xdr:rowOff>0</xdr:rowOff>
    </xdr:from>
    <xdr:ext cx="6263999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62" t="s">
        <v>20</v>
      </c>
      <c r="C16" s="63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ht="26.25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39.4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ht="26.25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64" t="s">
        <v>90</v>
      </c>
      <c r="C73" s="63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Изменения'!A1" display="Изменения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6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20" customHeight="1" x14ac:dyDescent="0.45">
      <c r="B6" s="65" t="s">
        <v>94</v>
      </c>
      <c r="C6" s="63"/>
      <c r="D6" s="63"/>
      <c r="E6" s="63"/>
      <c r="F6" s="63"/>
      <c r="G6" s="63"/>
      <c r="H6" s="63"/>
      <c r="I6" s="63"/>
      <c r="J6" s="63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5"/>
      <c r="G10" s="5"/>
      <c r="H10" s="5"/>
      <c r="I10" s="5"/>
      <c r="J10" s="23" t="s">
        <v>101</v>
      </c>
    </row>
    <row r="11" spans="1:10" x14ac:dyDescent="0.45">
      <c r="B11" s="25" t="s">
        <v>102</v>
      </c>
      <c r="C11" s="26" t="s">
        <v>103</v>
      </c>
      <c r="D11" s="27">
        <v>60</v>
      </c>
      <c r="E11" s="26" t="s">
        <v>104</v>
      </c>
      <c r="F11" s="28"/>
      <c r="G11" s="28"/>
      <c r="H11" s="28"/>
      <c r="I11" s="28"/>
      <c r="J11" s="29" t="s">
        <v>105</v>
      </c>
    </row>
    <row r="12" spans="1:10" x14ac:dyDescent="0.45">
      <c r="B12" s="25" t="s">
        <v>106</v>
      </c>
      <c r="C12" s="26" t="s">
        <v>107</v>
      </c>
      <c r="D12" s="30">
        <v>24</v>
      </c>
      <c r="E12" s="26" t="s">
        <v>104</v>
      </c>
      <c r="F12" s="28"/>
      <c r="G12" s="28"/>
      <c r="H12" s="28"/>
      <c r="I12" s="28"/>
      <c r="J12" s="29" t="s">
        <v>108</v>
      </c>
    </row>
    <row r="13" spans="1:10" x14ac:dyDescent="0.45">
      <c r="B13" s="25" t="s">
        <v>109</v>
      </c>
      <c r="C13" s="26" t="s">
        <v>110</v>
      </c>
      <c r="D13" s="31">
        <v>0.05</v>
      </c>
      <c r="E13" s="26" t="s">
        <v>104</v>
      </c>
      <c r="F13" s="28"/>
      <c r="G13" s="28"/>
      <c r="H13" s="28"/>
      <c r="I13" s="28"/>
      <c r="J13" s="29" t="s">
        <v>111</v>
      </c>
    </row>
    <row r="14" spans="1:10" ht="8" customHeight="1" x14ac:dyDescent="0.45"/>
    <row r="15" spans="1:10" ht="22.05" customHeight="1" x14ac:dyDescent="0.5">
      <c r="B15" s="7" t="s">
        <v>112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113</v>
      </c>
    </row>
    <row r="17" spans="2:10" ht="18" customHeight="1" x14ac:dyDescent="0.45">
      <c r="B17" s="23" t="s">
        <v>97</v>
      </c>
      <c r="C17" s="23" t="s">
        <v>98</v>
      </c>
      <c r="D17" s="24" t="s">
        <v>99</v>
      </c>
      <c r="E17" s="23" t="s">
        <v>100</v>
      </c>
      <c r="F17" s="5"/>
      <c r="G17" s="5"/>
      <c r="H17" s="5"/>
      <c r="I17" s="5"/>
      <c r="J17" s="23" t="s">
        <v>101</v>
      </c>
    </row>
    <row r="18" spans="2:10" x14ac:dyDescent="0.45">
      <c r="B18" s="25" t="s">
        <v>114</v>
      </c>
      <c r="C18" s="26" t="s">
        <v>115</v>
      </c>
      <c r="D18" s="32">
        <v>1.6</v>
      </c>
      <c r="E18" s="26" t="s">
        <v>104</v>
      </c>
      <c r="F18" s="28"/>
      <c r="G18" s="28"/>
      <c r="H18" s="28"/>
      <c r="I18" s="28"/>
      <c r="J18" s="29" t="s">
        <v>116</v>
      </c>
    </row>
    <row r="19" spans="2:10" ht="23.25" x14ac:dyDescent="0.45">
      <c r="B19" s="25" t="s">
        <v>117</v>
      </c>
      <c r="C19" s="26" t="s">
        <v>118</v>
      </c>
      <c r="D19" s="33">
        <v>0.3</v>
      </c>
      <c r="E19" s="26" t="s">
        <v>104</v>
      </c>
      <c r="F19" s="28"/>
      <c r="G19" s="28"/>
      <c r="H19" s="28"/>
      <c r="I19" s="28"/>
      <c r="J19" s="29" t="s">
        <v>119</v>
      </c>
    </row>
    <row r="20" spans="2:10" x14ac:dyDescent="0.45">
      <c r="B20" s="25" t="s">
        <v>120</v>
      </c>
      <c r="C20" s="26" t="s">
        <v>103</v>
      </c>
      <c r="D20" s="34">
        <v>4.4999999999999998E-2</v>
      </c>
      <c r="E20" s="26" t="s">
        <v>104</v>
      </c>
      <c r="F20" s="28"/>
      <c r="G20" s="28"/>
      <c r="H20" s="28"/>
      <c r="I20" s="28"/>
      <c r="J20" s="29" t="s">
        <v>121</v>
      </c>
    </row>
    <row r="21" spans="2:10" x14ac:dyDescent="0.45">
      <c r="B21" s="25" t="s">
        <v>122</v>
      </c>
      <c r="C21" s="26" t="s">
        <v>103</v>
      </c>
      <c r="D21" s="34">
        <v>0.08</v>
      </c>
      <c r="E21" s="26" t="s">
        <v>104</v>
      </c>
      <c r="F21" s="28"/>
      <c r="G21" s="28"/>
      <c r="H21" s="28"/>
      <c r="I21" s="28"/>
      <c r="J21" s="29" t="s">
        <v>123</v>
      </c>
    </row>
    <row r="22" spans="2:10" ht="8" customHeight="1" x14ac:dyDescent="0.45"/>
    <row r="23" spans="2:10" ht="22.05" customHeight="1" x14ac:dyDescent="0.5">
      <c r="B23" s="7" t="s">
        <v>124</v>
      </c>
      <c r="C23" s="8"/>
      <c r="D23" s="8"/>
      <c r="E23" s="8"/>
      <c r="F23" s="8"/>
      <c r="G23" s="8"/>
      <c r="H23" s="8"/>
      <c r="I23" s="8"/>
      <c r="J23" s="8"/>
    </row>
    <row r="24" spans="2:10" ht="18" customHeight="1" x14ac:dyDescent="0.45">
      <c r="B24" s="13" t="s">
        <v>125</v>
      </c>
    </row>
    <row r="25" spans="2:10" ht="18" customHeight="1" x14ac:dyDescent="0.45">
      <c r="B25" s="23" t="s">
        <v>97</v>
      </c>
      <c r="C25" s="23" t="s">
        <v>98</v>
      </c>
      <c r="D25" s="24" t="s">
        <v>99</v>
      </c>
      <c r="E25" s="23" t="s">
        <v>100</v>
      </c>
      <c r="F25" s="5"/>
      <c r="G25" s="5"/>
      <c r="H25" s="5"/>
      <c r="I25" s="5"/>
      <c r="J25" s="23" t="s">
        <v>101</v>
      </c>
    </row>
    <row r="26" spans="2:10" x14ac:dyDescent="0.45">
      <c r="B26" s="25" t="s">
        <v>126</v>
      </c>
      <c r="C26" s="26" t="s">
        <v>115</v>
      </c>
      <c r="D26" s="32">
        <v>0.6</v>
      </c>
      <c r="E26" s="26" t="s">
        <v>104</v>
      </c>
      <c r="F26" s="28"/>
      <c r="G26" s="28"/>
      <c r="H26" s="28"/>
      <c r="I26" s="28"/>
      <c r="J26" s="29" t="s">
        <v>127</v>
      </c>
    </row>
    <row r="27" spans="2:10" x14ac:dyDescent="0.45">
      <c r="B27" s="25" t="s">
        <v>128</v>
      </c>
      <c r="C27" s="26" t="s">
        <v>103</v>
      </c>
      <c r="D27" s="34">
        <v>0.08</v>
      </c>
      <c r="E27" s="26" t="s">
        <v>104</v>
      </c>
      <c r="F27" s="28"/>
      <c r="G27" s="28"/>
      <c r="H27" s="28"/>
      <c r="I27" s="28"/>
      <c r="J27" s="29"/>
    </row>
    <row r="28" spans="2:10" x14ac:dyDescent="0.45">
      <c r="B28" s="25" t="s">
        <v>122</v>
      </c>
      <c r="C28" s="26" t="s">
        <v>103</v>
      </c>
      <c r="D28" s="34">
        <v>0.12</v>
      </c>
      <c r="E28" s="26" t="s">
        <v>104</v>
      </c>
      <c r="F28" s="28"/>
      <c r="G28" s="28"/>
      <c r="H28" s="28"/>
      <c r="I28" s="28"/>
      <c r="J28" s="29"/>
    </row>
    <row r="29" spans="2:10" ht="8" customHeight="1" x14ac:dyDescent="0.45"/>
    <row r="30" spans="2:10" ht="22.05" customHeight="1" x14ac:dyDescent="0.5">
      <c r="B30" s="7" t="s">
        <v>129</v>
      </c>
      <c r="C30" s="8"/>
      <c r="D30" s="8"/>
      <c r="E30" s="8"/>
      <c r="F30" s="8"/>
      <c r="G30" s="8"/>
      <c r="H30" s="8"/>
      <c r="I30" s="8"/>
      <c r="J30" s="8"/>
    </row>
    <row r="31" spans="2:10" ht="18" customHeight="1" x14ac:dyDescent="0.45">
      <c r="B31" s="13" t="s">
        <v>130</v>
      </c>
    </row>
    <row r="32" spans="2:10" ht="18" customHeight="1" x14ac:dyDescent="0.45">
      <c r="B32" s="23" t="s">
        <v>97</v>
      </c>
      <c r="C32" s="23" t="s">
        <v>98</v>
      </c>
      <c r="D32" s="24" t="s">
        <v>99</v>
      </c>
      <c r="E32" s="23" t="s">
        <v>100</v>
      </c>
      <c r="F32" s="5"/>
      <c r="G32" s="5"/>
      <c r="H32" s="5"/>
      <c r="I32" s="5"/>
      <c r="J32" s="23" t="s">
        <v>101</v>
      </c>
    </row>
    <row r="33" spans="2:10" x14ac:dyDescent="0.45">
      <c r="B33" s="25" t="s">
        <v>126</v>
      </c>
      <c r="C33" s="26" t="s">
        <v>115</v>
      </c>
      <c r="D33" s="32">
        <v>1.2</v>
      </c>
      <c r="E33" s="26" t="s">
        <v>104</v>
      </c>
      <c r="F33" s="28"/>
      <c r="G33" s="28"/>
      <c r="H33" s="28"/>
      <c r="I33" s="28"/>
      <c r="J33" s="29" t="s">
        <v>131</v>
      </c>
    </row>
    <row r="34" spans="2:10" x14ac:dyDescent="0.45">
      <c r="B34" s="25" t="s">
        <v>128</v>
      </c>
      <c r="C34" s="26" t="s">
        <v>103</v>
      </c>
      <c r="D34" s="34">
        <v>0.02</v>
      </c>
      <c r="E34" s="26" t="s">
        <v>104</v>
      </c>
      <c r="F34" s="28"/>
      <c r="G34" s="28"/>
      <c r="H34" s="28"/>
      <c r="I34" s="28"/>
      <c r="J34" s="29"/>
    </row>
    <row r="35" spans="2:10" x14ac:dyDescent="0.45">
      <c r="B35" s="25" t="s">
        <v>122</v>
      </c>
      <c r="C35" s="26" t="s">
        <v>103</v>
      </c>
      <c r="D35" s="34">
        <v>2.5000000000000001E-2</v>
      </c>
      <c r="E35" s="26" t="s">
        <v>104</v>
      </c>
      <c r="F35" s="28"/>
      <c r="G35" s="28"/>
      <c r="H35" s="28"/>
      <c r="I35" s="28"/>
      <c r="J35" s="29"/>
    </row>
    <row r="36" spans="2:10" ht="8" customHeight="1" x14ac:dyDescent="0.45"/>
  </sheetData>
  <mergeCells count="1">
    <mergeCell ref="B6:J6"/>
  </mergeCells>
  <dataValidations count="4">
    <dataValidation type="decimal" operator="greaterThan" showErrorMessage="1" errorTitle="Положительное значение" error="Введите значение больше нуля." sqref="D11 D33:D35 D26:D28 D20:D21 D18" xr:uid="{00000000-0002-0000-0100-000000000000}">
      <formula1>0</formula1>
    </dataValidation>
    <dataValidation type="whole" showErrorMessage="1" errorTitle="Целое число" error="Введите целое число." sqref="D12" xr:uid="{00000000-0002-0000-0100-000001000000}">
      <formula1>0</formula1>
      <formula2>1000000</formula2>
    </dataValidation>
    <dataValidation type="decimal" showErrorMessage="1" errorTitle="Вероятность" error="Введите значение от 0% до 100%." sqref="D13" xr:uid="{00000000-0002-0000-0100-000002000000}">
      <formula1>0</formula1>
      <formula2>1</formula2>
    </dataValidation>
    <dataValidation type="decimal" showErrorMessage="1" errorTitle="Значение" error="Введите значение не меньше нуля." sqref="D19" xr:uid="{00000000-0002-0000-0100-000004000000}">
      <formula1>0</formula1>
      <formula2>1000000000000</formula2>
    </dataValidation>
  </dataValidations>
  <hyperlinks>
    <hyperlink ref="B4" location="'Описание'!A1" display="◂  Описание" xr:uid="{00000000-0004-0000-0100-000000000000}"/>
    <hyperlink ref="J4" location="'Изменения'!A1" display="Далее:  Изменения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F31"/>
  <sheetViews>
    <sheetView showGridLines="0" workbookViewId="0"/>
  </sheetViews>
  <sheetFormatPr defaultRowHeight="14.25" x14ac:dyDescent="0.45"/>
  <cols>
    <col min="1" max="1" width="2" customWidth="1"/>
    <col min="2" max="2" width="50" customWidth="1"/>
    <col min="3" max="3" width="14" customWidth="1"/>
    <col min="4" max="4" width="13" customWidth="1"/>
    <col min="5" max="5" width="2" customWidth="1"/>
    <col min="6" max="6" width="70" customWidth="1"/>
  </cols>
  <sheetData>
    <row r="1" spans="1:6" ht="6" customHeight="1" x14ac:dyDescent="0.45"/>
    <row r="2" spans="1:6" ht="30" customHeight="1" x14ac:dyDescent="0.45">
      <c r="A2" s="1"/>
      <c r="B2" s="21" t="s">
        <v>0</v>
      </c>
      <c r="C2" s="1"/>
      <c r="D2" s="1"/>
      <c r="E2" s="1"/>
      <c r="F2" s="3" t="s">
        <v>1</v>
      </c>
    </row>
    <row r="3" spans="1:6" ht="20" customHeight="1" x14ac:dyDescent="0.45">
      <c r="A3" s="1"/>
      <c r="B3" s="4" t="s">
        <v>132</v>
      </c>
      <c r="C3" s="1"/>
      <c r="D3" s="1"/>
      <c r="E3" s="1"/>
      <c r="F3" s="1"/>
    </row>
    <row r="4" spans="1:6" ht="20" customHeight="1" x14ac:dyDescent="0.45">
      <c r="A4" s="5"/>
      <c r="B4" s="22" t="s">
        <v>133</v>
      </c>
      <c r="C4" s="5"/>
      <c r="D4" s="5"/>
      <c r="E4" s="5"/>
      <c r="F4" s="6" t="s">
        <v>134</v>
      </c>
    </row>
    <row r="5" spans="1:6" ht="8" customHeight="1" x14ac:dyDescent="0.45"/>
    <row r="6" spans="1:6" ht="22.05" customHeight="1" x14ac:dyDescent="0.5">
      <c r="B6" s="7" t="s">
        <v>135</v>
      </c>
      <c r="C6" s="8"/>
      <c r="D6" s="8"/>
      <c r="E6" s="8"/>
      <c r="F6" s="8"/>
    </row>
    <row r="7" spans="1:6" ht="18" customHeight="1" x14ac:dyDescent="0.45">
      <c r="B7" s="13" t="s">
        <v>136</v>
      </c>
    </row>
    <row r="8" spans="1:6" ht="18" customHeight="1" x14ac:dyDescent="0.45">
      <c r="B8" s="35" t="s">
        <v>137</v>
      </c>
      <c r="C8" s="35" t="s">
        <v>98</v>
      </c>
      <c r="D8" s="36" t="s">
        <v>138</v>
      </c>
      <c r="E8" s="5"/>
      <c r="F8" s="35" t="s">
        <v>139</v>
      </c>
    </row>
    <row r="9" spans="1:6" x14ac:dyDescent="0.45">
      <c r="B9" s="25" t="s">
        <v>140</v>
      </c>
      <c r="C9" s="26"/>
      <c r="D9" s="37">
        <f>1/Client_RateCV^2</f>
        <v>11.111111111111111</v>
      </c>
      <c r="E9" s="28"/>
      <c r="F9" s="26" t="s">
        <v>141</v>
      </c>
    </row>
    <row r="10" spans="1:6" x14ac:dyDescent="0.45">
      <c r="B10" s="25" t="s">
        <v>142</v>
      </c>
      <c r="C10" s="26" t="s">
        <v>115</v>
      </c>
      <c r="D10" s="38">
        <f>Client_Rate/Client_Shape</f>
        <v>0.14400000000000002</v>
      </c>
      <c r="E10" s="28"/>
      <c r="F10" s="26" t="s">
        <v>143</v>
      </c>
    </row>
    <row r="11" spans="1:6" x14ac:dyDescent="0.45">
      <c r="B11" s="25" t="s">
        <v>144</v>
      </c>
      <c r="C11" s="26" t="s">
        <v>115</v>
      </c>
      <c r="D11" s="39" cm="1">
        <f t="array" aca="1" ref="D11" ca="1">_xll.VoseInput("Частота изменений заказчика","в месяц")+_xll.VoseGamma(Client_Shape,Client_Scale)</f>
        <v>1.874264500388592</v>
      </c>
      <c r="E11" s="28"/>
      <c r="F11" s="26" t="s">
        <v>145</v>
      </c>
    </row>
    <row r="12" spans="1:6" x14ac:dyDescent="0.45">
      <c r="B12" s="25" t="s">
        <v>146</v>
      </c>
      <c r="C12" s="26" t="s">
        <v>147</v>
      </c>
      <c r="D12" s="40" cm="1">
        <f t="array" aca="1" ref="D12" ca="1">_xll.VosePoisson(Client_RateDrawn*Months)</f>
        <v>46</v>
      </c>
      <c r="E12" s="28"/>
      <c r="F12" s="26" t="s">
        <v>148</v>
      </c>
    </row>
    <row r="13" spans="1:6" x14ac:dyDescent="0.45">
      <c r="B13" s="25" t="s">
        <v>149</v>
      </c>
      <c r="C13" s="26" t="s">
        <v>103</v>
      </c>
      <c r="D13" s="39" cm="1">
        <f t="array" aca="1" ref="D13" ca="1">_xll.VoseInput("Изменения по указанию заказчика: стоимость","млн долл.")+_xll.VoseAggregateMC(Client_N,_xll.VoseLognormalObject(Client_Mean,Client_SD))</f>
        <v>1.9201462928069477</v>
      </c>
      <c r="E13" s="28"/>
      <c r="F13" s="26" t="s">
        <v>150</v>
      </c>
    </row>
    <row r="14" spans="1:6" x14ac:dyDescent="0.45">
      <c r="B14" s="25" t="s">
        <v>151</v>
      </c>
      <c r="C14" s="26" t="s">
        <v>147</v>
      </c>
      <c r="D14" s="40" cm="1">
        <f t="array" aca="1" ref="D14" ca="1">_xll.VosePoisson(Design_Rate*Months)</f>
        <v>18</v>
      </c>
      <c r="E14" s="28"/>
      <c r="F14" s="26" t="s">
        <v>152</v>
      </c>
    </row>
    <row r="15" spans="1:6" x14ac:dyDescent="0.45">
      <c r="B15" s="25" t="s">
        <v>153</v>
      </c>
      <c r="C15" s="26" t="s">
        <v>103</v>
      </c>
      <c r="D15" s="39" cm="1">
        <f t="array" aca="1" ref="D15" ca="1">_xll.VoseInput("Ошибки и упущения проекта: стоимость","млн долл.")+_xll.VoseAggregateMC(Design_N,_xll.VoseLognormalObject(Design_Mean,Design_SD))</f>
        <v>1.265702247115789</v>
      </c>
      <c r="E15" s="28"/>
      <c r="F15" s="26" t="s">
        <v>150</v>
      </c>
    </row>
    <row r="16" spans="1:6" x14ac:dyDescent="0.45">
      <c r="B16" s="25" t="s">
        <v>154</v>
      </c>
      <c r="C16" s="26" t="s">
        <v>147</v>
      </c>
      <c r="D16" s="40" cm="1">
        <f t="array" aca="1" ref="D16" ca="1">_xll.VosePoisson(Rework_Rate*Months)</f>
        <v>25</v>
      </c>
      <c r="E16" s="28"/>
      <c r="F16" s="26" t="s">
        <v>155</v>
      </c>
    </row>
    <row r="17" spans="2:6" x14ac:dyDescent="0.45">
      <c r="B17" s="25" t="s">
        <v>156</v>
      </c>
      <c r="C17" s="26" t="s">
        <v>103</v>
      </c>
      <c r="D17" s="39" cm="1">
        <f t="array" aca="1" ref="D17" ca="1">_xll.VoseInput("Переделка дефектов: стоимость","млн долл.")+_xll.VoseAggregateMC(Rework_N,_xll.VoseLognormalObject(Rework_Mean,Rework_SD))</f>
        <v>0.45728242967174804</v>
      </c>
      <c r="E17" s="28"/>
      <c r="F17" s="26" t="s">
        <v>150</v>
      </c>
    </row>
    <row r="18" spans="2:6" ht="8" customHeight="1" x14ac:dyDescent="0.45"/>
    <row r="19" spans="2:6" ht="22.05" customHeight="1" x14ac:dyDescent="0.5">
      <c r="B19" s="7" t="s">
        <v>157</v>
      </c>
      <c r="C19" s="8"/>
      <c r="D19" s="8"/>
      <c r="E19" s="8"/>
      <c r="F19" s="8"/>
    </row>
    <row r="20" spans="2:6" ht="18" customHeight="1" x14ac:dyDescent="0.45">
      <c r="B20" s="13" t="s">
        <v>158</v>
      </c>
    </row>
    <row r="21" spans="2:6" ht="18" customHeight="1" x14ac:dyDescent="0.45">
      <c r="B21" s="35" t="s">
        <v>159</v>
      </c>
      <c r="C21" s="35" t="s">
        <v>98</v>
      </c>
      <c r="D21" s="36" t="s">
        <v>138</v>
      </c>
      <c r="E21" s="5"/>
      <c r="F21" s="35" t="s">
        <v>160</v>
      </c>
    </row>
    <row r="22" spans="2:6" x14ac:dyDescent="0.45">
      <c r="B22" s="25" t="s">
        <v>161</v>
      </c>
      <c r="C22" s="26" t="s">
        <v>103</v>
      </c>
      <c r="D22" s="41" cm="1">
        <f t="array" aca="1" ref="D22" ca="1">_xll.VoseOutput("Общая стоимость изменений","млн долл.")+Client_Cost+Design_Cost+Rework_Cost</f>
        <v>3.6431309695944849</v>
      </c>
      <c r="E22" s="28"/>
      <c r="F22" s="26" t="s">
        <v>162</v>
      </c>
    </row>
    <row r="23" spans="2:6" x14ac:dyDescent="0.45">
      <c r="B23" s="25" t="s">
        <v>109</v>
      </c>
      <c r="C23" s="26" t="s">
        <v>103</v>
      </c>
      <c r="D23" s="37">
        <f>AllowancePct*ContractSum</f>
        <v>3</v>
      </c>
      <c r="E23" s="28"/>
      <c r="F23" s="26" t="s">
        <v>163</v>
      </c>
    </row>
    <row r="24" spans="2:6" x14ac:dyDescent="0.45">
      <c r="B24" s="25" t="s">
        <v>164</v>
      </c>
      <c r="C24" s="26" t="s">
        <v>165</v>
      </c>
      <c r="D24" s="42" cm="1">
        <f t="array" aca="1" ref="D24" ca="1">_xll.VoseOutput("Превышение резерва","1 = да")+IF(TotalChange&gt;Allowance,1,0)</f>
        <v>1</v>
      </c>
      <c r="E24" s="28"/>
      <c r="F24" s="26"/>
    </row>
    <row r="25" spans="2:6" x14ac:dyDescent="0.45">
      <c r="B25" s="25" t="s">
        <v>166</v>
      </c>
      <c r="C25" s="26" t="s">
        <v>103</v>
      </c>
      <c r="D25" s="37">
        <f>Months*(Client_Rate*Client_Mean+Design_Rate*Design_Mean+Rework_Rate*Rework_Mean)</f>
        <v>3.4559999999999995</v>
      </c>
      <c r="E25" s="28"/>
      <c r="F25" s="26" t="s">
        <v>167</v>
      </c>
    </row>
    <row r="26" spans="2:6" ht="8" customHeight="1" x14ac:dyDescent="0.45"/>
    <row r="27" spans="2:6" ht="22.05" customHeight="1" x14ac:dyDescent="0.5">
      <c r="B27" s="7" t="s">
        <v>168</v>
      </c>
      <c r="C27" s="8"/>
      <c r="D27" s="8"/>
      <c r="E27" s="8"/>
      <c r="F27" s="8"/>
    </row>
    <row r="28" spans="2:6" ht="18" customHeight="1" x14ac:dyDescent="0.45">
      <c r="B28" s="13" t="s">
        <v>169</v>
      </c>
    </row>
    <row r="29" spans="2:6" x14ac:dyDescent="0.45">
      <c r="B29" s="25" t="s">
        <v>170</v>
      </c>
      <c r="C29" s="28"/>
      <c r="D29" s="43" t="str">
        <f>IF(MIN(Client_Rate,Client_Mean,Client_SD,Design_Rate,Design_Mean,Design_SD,Rework_Rate,Rework_Mean,Rework_SD)&gt;0,"ОК","ПРОВЕРИТЬ")</f>
        <v>ОК</v>
      </c>
      <c r="E29" s="28"/>
      <c r="F29" s="28"/>
    </row>
    <row r="30" spans="2:6" x14ac:dyDescent="0.45">
      <c r="B30" s="25" t="s">
        <v>171</v>
      </c>
      <c r="C30" s="28"/>
      <c r="D30" s="43" t="str">
        <f>IF(Client_RateCV&gt;0,"ОК","ПРОВЕРИТЬ")</f>
        <v>ОК</v>
      </c>
      <c r="E30" s="28"/>
      <c r="F30" s="28"/>
    </row>
    <row r="31" spans="2:6" ht="14" customHeight="1" x14ac:dyDescent="0.45"/>
  </sheetData>
  <conditionalFormatting sqref="D29:D30">
    <cfRule type="expression" dxfId="4" priority="1">
      <formula>D29="CHECK"</formula>
    </cfRule>
  </conditionalFormatting>
  <hyperlinks>
    <hyperlink ref="B4" location="'Исходные данные'!A1" display="◂  Исходные данные" xr:uid="{00000000-0004-0000-0200-000000000000}"/>
    <hyperlink ref="F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91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1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4" t="str" cm="1">
        <f t="array" aca="1" ref="B6" ca="1">IF(ISNUMBER(_xll.VoseSimMean(TotalChange)),"✔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45"/>
      <c r="D6" s="45"/>
      <c r="E6" s="45"/>
      <c r="F6" s="45"/>
      <c r="G6" s="45"/>
    </row>
    <row r="7" spans="1:18" x14ac:dyDescent="0.45">
      <c r="B7" s="46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174</v>
      </c>
      <c r="C9" s="8"/>
      <c r="D9" s="8"/>
      <c r="E9" s="8"/>
      <c r="F9" s="8"/>
      <c r="G9" s="8"/>
      <c r="I9" s="47" t="s">
        <v>175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176</v>
      </c>
    </row>
    <row r="11" spans="1:18" ht="18" customHeight="1" x14ac:dyDescent="0.45">
      <c r="B11" s="23" t="s">
        <v>177</v>
      </c>
      <c r="C11" s="23" t="s">
        <v>98</v>
      </c>
      <c r="D11" s="24" t="s">
        <v>138</v>
      </c>
      <c r="E11" s="5"/>
      <c r="F11" s="5"/>
      <c r="G11" s="5"/>
    </row>
    <row r="12" spans="1:18" x14ac:dyDescent="0.45">
      <c r="B12" s="48" t="s">
        <v>178</v>
      </c>
      <c r="C12" s="26" t="s">
        <v>103</v>
      </c>
      <c r="D12" s="37">
        <f>Allowance</f>
        <v>3</v>
      </c>
      <c r="E12" s="28"/>
      <c r="F12" s="28"/>
      <c r="G12" s="28"/>
    </row>
    <row r="13" spans="1:18" ht="22.05" customHeight="1" x14ac:dyDescent="0.45">
      <c r="B13" s="49" t="s">
        <v>179</v>
      </c>
      <c r="C13" s="26" t="s">
        <v>180</v>
      </c>
      <c r="D13" s="50" cm="1">
        <f t="array" aca="1" ref="D13" ca="1">_xll.VoseSimMean(Exceeds)</f>
        <v>0.66369999999999996</v>
      </c>
      <c r="E13" s="28"/>
      <c r="F13" s="28"/>
      <c r="G13" s="28"/>
    </row>
    <row r="14" spans="1:18" x14ac:dyDescent="0.45">
      <c r="B14" s="49" t="s">
        <v>181</v>
      </c>
      <c r="C14" s="26" t="s">
        <v>103</v>
      </c>
      <c r="D14" s="51" cm="1">
        <f t="array" aca="1" ref="D14" ca="1">_xll.VoseSimPercentile(TotalChange,0.8)</f>
        <v>4.1756869423061591</v>
      </c>
      <c r="E14" s="28"/>
      <c r="F14" s="28"/>
      <c r="G14" s="28"/>
    </row>
    <row r="15" spans="1:18" x14ac:dyDescent="0.45">
      <c r="B15" s="49" t="s">
        <v>182</v>
      </c>
      <c r="C15" s="26" t="s">
        <v>183</v>
      </c>
      <c r="D15" s="52">
        <f ca="1">IFERROR(D14/ContractSum,"–")</f>
        <v>6.9594782371769318E-2</v>
      </c>
      <c r="E15" s="28"/>
      <c r="F15" s="28"/>
      <c r="G15" s="28"/>
    </row>
    <row r="16" spans="1:18" x14ac:dyDescent="0.45">
      <c r="B16" s="25" t="s">
        <v>184</v>
      </c>
      <c r="C16" s="26" t="s">
        <v>103</v>
      </c>
      <c r="D16" s="51" cm="1">
        <f t="array" aca="1" ref="D16" ca="1">_xll.VoseSimMean(TotalChange)</f>
        <v>3.4640016417735948</v>
      </c>
      <c r="E16" s="28"/>
      <c r="F16" s="28"/>
      <c r="G16" s="28"/>
    </row>
    <row r="17" spans="2:7" x14ac:dyDescent="0.45">
      <c r="B17" s="48" t="s">
        <v>185</v>
      </c>
      <c r="C17" s="26" t="s">
        <v>103</v>
      </c>
      <c r="D17" s="37">
        <f>Expected</f>
        <v>3.4559999999999995</v>
      </c>
      <c r="E17" s="28"/>
      <c r="F17" s="28"/>
      <c r="G17" s="28"/>
    </row>
    <row r="18" spans="2:7" ht="8" customHeight="1" x14ac:dyDescent="0.45"/>
    <row r="19" spans="2:7" ht="22.05" customHeight="1" x14ac:dyDescent="0.5">
      <c r="B19" s="7" t="s">
        <v>186</v>
      </c>
      <c r="C19" s="8"/>
      <c r="D19" s="8"/>
      <c r="E19" s="8"/>
      <c r="F19" s="8"/>
      <c r="G19" s="8"/>
    </row>
    <row r="20" spans="2:7" ht="18" customHeight="1" x14ac:dyDescent="0.45">
      <c r="B20" s="13" t="s">
        <v>187</v>
      </c>
    </row>
    <row r="21" spans="2:7" ht="18" customHeight="1" x14ac:dyDescent="0.45">
      <c r="B21" s="23" t="s">
        <v>177</v>
      </c>
      <c r="C21" s="23" t="s">
        <v>98</v>
      </c>
      <c r="D21" s="24" t="s">
        <v>188</v>
      </c>
      <c r="E21" s="24" t="s">
        <v>63</v>
      </c>
      <c r="F21" s="24" t="s">
        <v>189</v>
      </c>
      <c r="G21" s="24" t="s">
        <v>190</v>
      </c>
    </row>
    <row r="22" spans="2:7" x14ac:dyDescent="0.45">
      <c r="B22" s="25" t="s">
        <v>191</v>
      </c>
      <c r="C22" s="26" t="s">
        <v>103</v>
      </c>
      <c r="D22" s="51" cm="1">
        <f t="array" aca="1" ref="D22" ca="1">_xll.VoseSimPercentile(Client_Cost,0.5)</f>
        <v>1.6227661307669106</v>
      </c>
      <c r="E22" s="51" cm="1">
        <f t="array" aca="1" ref="E22" ca="1">_xll.VoseSimPercentile(Client_Cost,0.8)</f>
        <v>2.3142816576364913</v>
      </c>
      <c r="F22" s="51" cm="1">
        <f t="array" aca="1" ref="F22" ca="1">_xll.VoseSimPercentile(Client_Cost,0.9)</f>
        <v>2.7414479783267334</v>
      </c>
      <c r="G22" s="51" cm="1">
        <f t="array" aca="1" ref="G22" ca="1">_xll.VoseSimMean(Client_Cost)</f>
        <v>1.73133089173878</v>
      </c>
    </row>
    <row r="23" spans="2:7" x14ac:dyDescent="0.45">
      <c r="B23" s="25" t="s">
        <v>192</v>
      </c>
      <c r="C23" s="26" t="s">
        <v>103</v>
      </c>
      <c r="D23" s="51" cm="1">
        <f t="array" aca="1" ref="D23" ca="1">_xll.VoseSimPercentile(Design_Cost,0.5)</f>
        <v>1.0645588065930751</v>
      </c>
      <c r="E23" s="51" cm="1">
        <f t="array" aca="1" ref="E23" ca="1">_xll.VoseSimPercentile(Design_Cost,0.8)</f>
        <v>1.5508599044507809</v>
      </c>
      <c r="F23" s="51" cm="1">
        <f t="array" aca="1" ref="F23" ca="1">_xll.VoseSimPercentile(Design_Cost,0.9)</f>
        <v>1.8360635530819094</v>
      </c>
      <c r="G23" s="51" cm="1">
        <f t="array" aca="1" ref="G23" ca="1">_xll.VoseSimMean(Design_Cost)</f>
        <v>1.1544411546641793</v>
      </c>
    </row>
    <row r="24" spans="2:7" x14ac:dyDescent="0.45">
      <c r="B24" s="25" t="s">
        <v>193</v>
      </c>
      <c r="C24" s="26" t="s">
        <v>103</v>
      </c>
      <c r="D24" s="51" cm="1">
        <f t="array" aca="1" ref="D24" ca="1">_xll.VoseSimPercentile(Rework_Cost,0.5)</f>
        <v>0.55791348266991536</v>
      </c>
      <c r="E24" s="51" cm="1">
        <f t="array" aca="1" ref="E24" ca="1">_xll.VoseSimPercentile(Rework_Cost,0.8)</f>
        <v>0.71420317748181605</v>
      </c>
      <c r="F24" s="51" cm="1">
        <f t="array" aca="1" ref="F24" ca="1">_xll.VoseSimPercentile(Rework_Cost,0.9)</f>
        <v>0.80680662951317439</v>
      </c>
      <c r="G24" s="51" cm="1">
        <f t="array" aca="1" ref="G24" ca="1">_xll.VoseSimMean(Rework_Cost)</f>
        <v>0.57822959537064311</v>
      </c>
    </row>
    <row r="25" spans="2:7" x14ac:dyDescent="0.45">
      <c r="B25" s="25" t="s">
        <v>194</v>
      </c>
      <c r="C25" s="26" t="s">
        <v>103</v>
      </c>
      <c r="D25" s="51" cm="1">
        <f t="array" aca="1" ref="D25" ca="1">_xll.VoseSimPercentile(TotalChange,0.5)</f>
        <v>3.357665719897176</v>
      </c>
      <c r="E25" s="51" cm="1">
        <f t="array" aca="1" ref="E25" ca="1">_xll.VoseSimPercentile(TotalChange,0.8)</f>
        <v>4.1756869423061591</v>
      </c>
      <c r="F25" s="51" cm="1">
        <f t="array" aca="1" ref="F25" ca="1">_xll.VoseSimPercentile(TotalChange,0.9)</f>
        <v>4.6962842809946403</v>
      </c>
      <c r="G25" s="51" cm="1">
        <f t="array" aca="1" ref="G25" ca="1">_xll.VoseSimMean(TotalChange)</f>
        <v>3.4640016417735948</v>
      </c>
    </row>
    <row r="26" spans="2:7" ht="8" customHeight="1" x14ac:dyDescent="0.45"/>
    <row r="27" spans="2:7" ht="22.05" customHeight="1" x14ac:dyDescent="0.5">
      <c r="B27" s="7" t="s">
        <v>195</v>
      </c>
      <c r="C27" s="8"/>
      <c r="D27" s="8"/>
      <c r="E27" s="8"/>
      <c r="F27" s="8"/>
      <c r="G27" s="8"/>
    </row>
    <row r="28" spans="2:7" ht="18" customHeight="1" x14ac:dyDescent="0.45">
      <c r="B28" s="13" t="s">
        <v>196</v>
      </c>
    </row>
    <row r="29" spans="2:7" ht="18" customHeight="1" x14ac:dyDescent="0.45">
      <c r="B29" s="23" t="s">
        <v>177</v>
      </c>
      <c r="C29" s="23" t="s">
        <v>98</v>
      </c>
      <c r="D29" s="24" t="s">
        <v>197</v>
      </c>
      <c r="E29" s="24" t="s">
        <v>198</v>
      </c>
      <c r="F29" s="24" t="s">
        <v>199</v>
      </c>
      <c r="G29" s="24" t="s">
        <v>190</v>
      </c>
    </row>
    <row r="30" spans="2:7" x14ac:dyDescent="0.45">
      <c r="B30" s="25" t="s">
        <v>200</v>
      </c>
      <c r="C30" s="26" t="s">
        <v>201</v>
      </c>
      <c r="D30" s="53" cm="1">
        <f t="array" aca="1" ref="D30" ca="1">_xll.VoseSimPercentile(Client_N,0.1)</f>
        <v>23</v>
      </c>
      <c r="E30" s="53" cm="1">
        <f t="array" aca="1" ref="E30" ca="1">_xll.VoseSimPercentile(Client_N,0.5)</f>
        <v>37</v>
      </c>
      <c r="F30" s="53" cm="1">
        <f t="array" aca="1" ref="F30" ca="1">_xll.VoseSimPercentile(Client_N,0.9)</f>
        <v>56</v>
      </c>
      <c r="G30" s="53" cm="1">
        <f t="array" aca="1" ref="G30" ca="1">_xll.VoseSimMean(Client_N)</f>
        <v>38.293700000000001</v>
      </c>
    </row>
    <row r="31" spans="2:7" x14ac:dyDescent="0.45">
      <c r="B31" s="25" t="s">
        <v>192</v>
      </c>
      <c r="C31" s="26" t="s">
        <v>147</v>
      </c>
      <c r="D31" s="53" cm="1">
        <f t="array" aca="1" ref="D31" ca="1">_xll.VoseSimPercentile(Design_N,0.1)</f>
        <v>10</v>
      </c>
      <c r="E31" s="53" cm="1">
        <f t="array" aca="1" ref="E31" ca="1">_xll.VoseSimPercentile(Design_N,0.5)</f>
        <v>14</v>
      </c>
      <c r="F31" s="53" cm="1">
        <f t="array" aca="1" ref="F31" ca="1">_xll.VoseSimPercentile(Design_N,0.9)</f>
        <v>20</v>
      </c>
      <c r="G31" s="53" cm="1">
        <f t="array" aca="1" ref="G31" ca="1">_xll.VoseSimMean(Design_N)</f>
        <v>14.417299999999999</v>
      </c>
    </row>
    <row r="32" spans="2:7" x14ac:dyDescent="0.45">
      <c r="B32" s="25" t="s">
        <v>202</v>
      </c>
      <c r="C32" s="26" t="s">
        <v>147</v>
      </c>
      <c r="D32" s="53" cm="1">
        <f t="array" aca="1" ref="D32" ca="1">_xll.VoseSimPercentile(Rework_N,0.1)</f>
        <v>22</v>
      </c>
      <c r="E32" s="53" cm="1">
        <f t="array" aca="1" ref="E32" ca="1">_xll.VoseSimPercentile(Rework_N,0.5)</f>
        <v>29</v>
      </c>
      <c r="F32" s="53" cm="1">
        <f t="array" aca="1" ref="F32" ca="1">_xll.VoseSimPercentile(Rework_N,0.9)</f>
        <v>36</v>
      </c>
      <c r="G32" s="53" cm="1">
        <f t="array" aca="1" ref="G32" ca="1">_xll.VoseSimMean(Rework_N)</f>
        <v>28.883700000000001</v>
      </c>
    </row>
    <row r="33" spans="2:18" ht="22.05" customHeight="1" x14ac:dyDescent="0.5">
      <c r="B33" s="7" t="s">
        <v>203</v>
      </c>
      <c r="C33" s="8"/>
      <c r="D33" s="8"/>
      <c r="E33" s="8"/>
      <c r="F33" s="8"/>
      <c r="G33" s="8"/>
      <c r="I33" s="47" t="s">
        <v>204</v>
      </c>
      <c r="J33" s="8"/>
      <c r="K33" s="8"/>
      <c r="L33" s="8"/>
      <c r="M33" s="8"/>
      <c r="N33" s="8"/>
      <c r="O33" s="8"/>
      <c r="P33" s="8"/>
      <c r="Q33" s="8"/>
      <c r="R33" s="8"/>
    </row>
    <row r="34" spans="2:18" ht="18" customHeight="1" x14ac:dyDescent="0.45">
      <c r="B34" s="13" t="s">
        <v>205</v>
      </c>
    </row>
    <row r="35" spans="2:18" ht="18" customHeight="1" x14ac:dyDescent="0.45">
      <c r="B35" s="23" t="s">
        <v>206</v>
      </c>
      <c r="C35" s="24" t="s">
        <v>207</v>
      </c>
      <c r="D35" s="24" t="s">
        <v>208</v>
      </c>
      <c r="E35" s="54" t="s">
        <v>209</v>
      </c>
      <c r="F35" s="5"/>
      <c r="G35" s="5"/>
    </row>
    <row r="36" spans="2:18" x14ac:dyDescent="0.45">
      <c r="B36" s="25" t="str">
        <f t="array" aca="1" ref="B36:E39" ca="1">_xll.VoseSimSensitivityMean(TotalChange,10,1,FALSE)</f>
        <v>Изменения по указанию заказчика: стоимость</v>
      </c>
      <c r="C36" s="51">
        <f ca="1"/>
        <v>2.3935785049360443</v>
      </c>
      <c r="D36" s="51">
        <f ca="1"/>
        <v>5.0148962547807692</v>
      </c>
      <c r="E36" s="55">
        <f ca="1"/>
        <v>1</v>
      </c>
      <c r="F36" s="28"/>
      <c r="G36" s="28"/>
    </row>
    <row r="37" spans="2:18" x14ac:dyDescent="0.45">
      <c r="B37" s="25" t="str">
        <f ca="1"/>
        <v>Ошибки и упущения проекта: стоимость</v>
      </c>
      <c r="C37" s="51">
        <f ca="1"/>
        <v>2.7545543161974768</v>
      </c>
      <c r="D37" s="51">
        <f ca="1"/>
        <v>4.5805891545294379</v>
      </c>
      <c r="E37" s="55">
        <f ca="1"/>
        <v>2</v>
      </c>
      <c r="F37" s="28"/>
      <c r="G37" s="28"/>
    </row>
    <row r="38" spans="2:18" x14ac:dyDescent="0.45">
      <c r="B38" s="25" t="str">
        <f ca="1"/>
        <v>Частота изменений заказчика</v>
      </c>
      <c r="C38" s="51">
        <f ca="1"/>
        <v>2.6764707174787046</v>
      </c>
      <c r="D38" s="51">
        <f ca="1"/>
        <v>4.4349994561699955</v>
      </c>
      <c r="E38" s="55">
        <f ca="1"/>
        <v>3</v>
      </c>
      <c r="F38" s="28"/>
      <c r="G38" s="28"/>
    </row>
    <row r="39" spans="2:18" x14ac:dyDescent="0.45">
      <c r="B39" s="25" t="str">
        <f ca="1"/>
        <v>Переделка дефектов: стоимость</v>
      </c>
      <c r="C39" s="51">
        <f ca="1"/>
        <v>3.1752141511631522</v>
      </c>
      <c r="D39" s="51">
        <f ca="1"/>
        <v>3.7781480833963497</v>
      </c>
      <c r="E39" s="55">
        <f ca="1"/>
        <v>4</v>
      </c>
      <c r="F39" s="28"/>
      <c r="G39" s="28"/>
    </row>
    <row r="47" spans="2:18" ht="22.05" customHeight="1" x14ac:dyDescent="0.5">
      <c r="B47" s="7" t="s">
        <v>210</v>
      </c>
      <c r="C47" s="8"/>
      <c r="D47" s="8"/>
      <c r="E47" s="8"/>
      <c r="F47" s="8"/>
      <c r="G47" s="8"/>
    </row>
    <row r="48" spans="2:18" ht="32" customHeight="1" x14ac:dyDescent="0.45">
      <c r="B48" s="62" t="s">
        <v>211</v>
      </c>
      <c r="C48" s="63"/>
      <c r="D48" s="63"/>
      <c r="E48" s="63"/>
      <c r="F48" s="63"/>
      <c r="G48" s="63"/>
    </row>
    <row r="49" spans="2:7" ht="58.05" customHeight="1" x14ac:dyDescent="0.45">
      <c r="B49" s="62" t="s">
        <v>212</v>
      </c>
      <c r="C49" s="63"/>
      <c r="D49" s="63"/>
      <c r="E49" s="63"/>
      <c r="F49" s="63"/>
      <c r="G49" s="63"/>
    </row>
    <row r="50" spans="2:7" ht="32" customHeight="1" x14ac:dyDescent="0.45">
      <c r="B50" s="62" t="s">
        <v>213</v>
      </c>
      <c r="C50" s="63"/>
      <c r="D50" s="63"/>
      <c r="E50" s="63"/>
      <c r="F50" s="63"/>
      <c r="G50" s="63"/>
    </row>
    <row r="51" spans="2:7" ht="19.05" customHeight="1" x14ac:dyDescent="0.45">
      <c r="B51" s="62" t="s">
        <v>214</v>
      </c>
      <c r="C51" s="63"/>
      <c r="D51" s="63"/>
      <c r="E51" s="63"/>
      <c r="F51" s="63"/>
      <c r="G51" s="63"/>
    </row>
    <row r="52" spans="2:7" ht="14" customHeight="1" x14ac:dyDescent="0.45"/>
    <row r="53" spans="2:7" ht="14" customHeight="1" x14ac:dyDescent="0.45"/>
    <row r="54" spans="2:7" ht="22.05" customHeight="1" x14ac:dyDescent="0.5">
      <c r="B54" s="7" t="s">
        <v>215</v>
      </c>
      <c r="C54" s="8"/>
      <c r="D54" s="8"/>
      <c r="E54" s="8"/>
      <c r="F54" s="8"/>
      <c r="G54" s="8"/>
    </row>
    <row r="55" spans="2:7" ht="18" customHeight="1" x14ac:dyDescent="0.45">
      <c r="B55" s="13" t="s">
        <v>216</v>
      </c>
    </row>
    <row r="56" spans="2:7" ht="28.05" hidden="1" customHeight="1" outlineLevel="1" x14ac:dyDescent="0.45">
      <c r="B56" s="24" t="s">
        <v>217</v>
      </c>
      <c r="C56" s="24" t="s">
        <v>218</v>
      </c>
      <c r="D56" s="24" t="s">
        <v>219</v>
      </c>
      <c r="E56" s="5"/>
      <c r="F56" s="5"/>
      <c r="G56" s="5"/>
    </row>
    <row r="57" spans="2:7" hidden="1" outlineLevel="1" x14ac:dyDescent="0.45">
      <c r="B57" s="56">
        <v>0.01</v>
      </c>
      <c r="C57" s="56">
        <f t="shared" ref="C57:C88" si="0">1-B57</f>
        <v>0.99</v>
      </c>
      <c r="D57" s="57" cm="1">
        <f t="array" aca="1" ref="D57" ca="1">IF(ISNUMBER(_xll.VoseSimPercentile(TotalChange,$B57)),_xll.VoseSimPercentile(TotalChange,$B57),NA())</f>
        <v>1.7237618848922809</v>
      </c>
    </row>
    <row r="58" spans="2:7" hidden="1" outlineLevel="1" x14ac:dyDescent="0.45">
      <c r="B58" s="56">
        <v>0.03</v>
      </c>
      <c r="C58" s="56">
        <f t="shared" si="0"/>
        <v>0.97</v>
      </c>
      <c r="D58" s="57" cm="1">
        <f t="array" aca="1" ref="D58" ca="1">IF(ISNUMBER(_xll.VoseSimPercentile(TotalChange,$B58)),_xll.VoseSimPercentile(TotalChange,$B58),NA())</f>
        <v>1.9501876187365683</v>
      </c>
    </row>
    <row r="59" spans="2:7" hidden="1" outlineLevel="1" x14ac:dyDescent="0.45">
      <c r="B59" s="56">
        <v>0.05</v>
      </c>
      <c r="C59" s="56">
        <f t="shared" si="0"/>
        <v>0.95</v>
      </c>
      <c r="D59" s="57" cm="1">
        <f t="array" aca="1" ref="D59" ca="1">IF(ISNUMBER(_xll.VoseSimPercentile(TotalChange,$B59)),_xll.VoseSimPercentile(TotalChange,$B59),NA())</f>
        <v>2.0857916086383388</v>
      </c>
    </row>
    <row r="60" spans="2:7" hidden="1" outlineLevel="1" x14ac:dyDescent="0.45">
      <c r="B60" s="56">
        <v>7.0000000000000007E-2</v>
      </c>
      <c r="C60" s="56">
        <f t="shared" si="0"/>
        <v>0.92999999999999994</v>
      </c>
      <c r="D60" s="57" cm="1">
        <f t="array" aca="1" ref="D60" ca="1">IF(ISNUMBER(_xll.VoseSimPercentile(TotalChange,$B60)),_xll.VoseSimPercentile(TotalChange,$B60),NA())</f>
        <v>2.1975657764017109</v>
      </c>
    </row>
    <row r="61" spans="2:7" hidden="1" outlineLevel="1" x14ac:dyDescent="0.45">
      <c r="B61" s="56">
        <v>0.09</v>
      </c>
      <c r="C61" s="56">
        <f t="shared" si="0"/>
        <v>0.91</v>
      </c>
      <c r="D61" s="57" cm="1">
        <f t="array" aca="1" ref="D61" ca="1">IF(ISNUMBER(_xll.VoseSimPercentile(TotalChange,$B61)),_xll.VoseSimPercentile(TotalChange,$B61),NA())</f>
        <v>2.285045375750153</v>
      </c>
    </row>
    <row r="62" spans="2:7" hidden="1" outlineLevel="1" x14ac:dyDescent="0.45">
      <c r="B62" s="56">
        <v>0.11</v>
      </c>
      <c r="C62" s="56">
        <f t="shared" si="0"/>
        <v>0.89</v>
      </c>
      <c r="D62" s="57" cm="1">
        <f t="array" aca="1" ref="D62" ca="1">IF(ISNUMBER(_xll.VoseSimPercentile(TotalChange,$B62)),_xll.VoseSimPercentile(TotalChange,$B62),NA())</f>
        <v>2.3619663100820403</v>
      </c>
    </row>
    <row r="63" spans="2:7" hidden="1" outlineLevel="1" x14ac:dyDescent="0.45">
      <c r="B63" s="56">
        <v>0.13</v>
      </c>
      <c r="C63" s="56">
        <f t="shared" si="0"/>
        <v>0.87</v>
      </c>
      <c r="D63" s="57" cm="1">
        <f t="array" aca="1" ref="D63" ca="1">IF(ISNUMBER(_xll.VoseSimPercentile(TotalChange,$B63)),_xll.VoseSimPercentile(TotalChange,$B63),NA())</f>
        <v>2.4438068234467556</v>
      </c>
    </row>
    <row r="64" spans="2:7" hidden="1" outlineLevel="1" x14ac:dyDescent="0.45">
      <c r="B64" s="56">
        <v>0.15</v>
      </c>
      <c r="C64" s="56">
        <f t="shared" si="0"/>
        <v>0.85</v>
      </c>
      <c r="D64" s="57" cm="1">
        <f t="array" aca="1" ref="D64" ca="1">IF(ISNUMBER(_xll.VoseSimPercentile(TotalChange,$B64)),_xll.VoseSimPercentile(TotalChange,$B64),NA())</f>
        <v>2.5140814527456903</v>
      </c>
    </row>
    <row r="65" spans="2:4" hidden="1" outlineLevel="1" x14ac:dyDescent="0.45">
      <c r="B65" s="56">
        <v>0.17</v>
      </c>
      <c r="C65" s="56">
        <f t="shared" si="0"/>
        <v>0.83</v>
      </c>
      <c r="D65" s="57" cm="1">
        <f t="array" aca="1" ref="D65" ca="1">IF(ISNUMBER(_xll.VoseSimPercentile(TotalChange,$B65)),_xll.VoseSimPercentile(TotalChange,$B65),NA())</f>
        <v>2.5779805683070682</v>
      </c>
    </row>
    <row r="66" spans="2:4" hidden="1" outlineLevel="1" x14ac:dyDescent="0.45">
      <c r="B66" s="56">
        <v>0.19</v>
      </c>
      <c r="C66" s="56">
        <f t="shared" si="0"/>
        <v>0.81</v>
      </c>
      <c r="D66" s="57" cm="1">
        <f t="array" aca="1" ref="D66" ca="1">IF(ISNUMBER(_xll.VoseSimPercentile(TotalChange,$B66)),_xll.VoseSimPercentile(TotalChange,$B66),NA())</f>
        <v>2.6358355379134641</v>
      </c>
    </row>
    <row r="67" spans="2:4" hidden="1" outlineLevel="1" x14ac:dyDescent="0.45">
      <c r="B67" s="56">
        <v>0.21</v>
      </c>
      <c r="C67" s="56">
        <f t="shared" si="0"/>
        <v>0.79</v>
      </c>
      <c r="D67" s="57" cm="1">
        <f t="array" aca="1" ref="D67" ca="1">IF(ISNUMBER(_xll.VoseSimPercentile(TotalChange,$B67)),_xll.VoseSimPercentile(TotalChange,$B67),NA())</f>
        <v>2.6989940453467325</v>
      </c>
    </row>
    <row r="68" spans="2:4" hidden="1" outlineLevel="1" x14ac:dyDescent="0.45">
      <c r="B68" s="56">
        <v>0.23</v>
      </c>
      <c r="C68" s="56">
        <f t="shared" si="0"/>
        <v>0.77</v>
      </c>
      <c r="D68" s="57" cm="1">
        <f t="array" aca="1" ref="D68" ca="1">IF(ISNUMBER(_xll.VoseSimPercentile(TotalChange,$B68)),_xll.VoseSimPercentile(TotalChange,$B68),NA())</f>
        <v>2.7525709143517405</v>
      </c>
    </row>
    <row r="69" spans="2:4" hidden="1" outlineLevel="1" x14ac:dyDescent="0.45">
      <c r="B69" s="56">
        <v>0.25</v>
      </c>
      <c r="C69" s="56">
        <f t="shared" si="0"/>
        <v>0.75</v>
      </c>
      <c r="D69" s="57" cm="1">
        <f t="array" aca="1" ref="D69" ca="1">IF(ISNUMBER(_xll.VoseSimPercentile(TotalChange,$B69)),_xll.VoseSimPercentile(TotalChange,$B69),NA())</f>
        <v>2.801961459330824</v>
      </c>
    </row>
    <row r="70" spans="2:4" hidden="1" outlineLevel="1" x14ac:dyDescent="0.45">
      <c r="B70" s="56">
        <v>0.27</v>
      </c>
      <c r="C70" s="56">
        <f t="shared" si="0"/>
        <v>0.73</v>
      </c>
      <c r="D70" s="57" cm="1">
        <f t="array" aca="1" ref="D70" ca="1">IF(ISNUMBER(_xll.VoseSimPercentile(TotalChange,$B70)),_xll.VoseSimPercentile(TotalChange,$B70),NA())</f>
        <v>2.8505871983520592</v>
      </c>
    </row>
    <row r="71" spans="2:4" hidden="1" outlineLevel="1" x14ac:dyDescent="0.45">
      <c r="B71" s="56">
        <v>0.28999999999999998</v>
      </c>
      <c r="C71" s="56">
        <f t="shared" si="0"/>
        <v>0.71</v>
      </c>
      <c r="D71" s="57" cm="1">
        <f t="array" aca="1" ref="D71" ca="1">IF(ISNUMBER(_xll.VoseSimPercentile(TotalChange,$B71)),_xll.VoseSimPercentile(TotalChange,$B71),NA())</f>
        <v>2.8962859420148677</v>
      </c>
    </row>
    <row r="72" spans="2:4" hidden="1" outlineLevel="1" x14ac:dyDescent="0.45">
      <c r="B72" s="56">
        <v>0.31</v>
      </c>
      <c r="C72" s="56">
        <f t="shared" si="0"/>
        <v>0.69</v>
      </c>
      <c r="D72" s="57" cm="1">
        <f t="array" aca="1" ref="D72" ca="1">IF(ISNUMBER(_xll.VoseSimPercentile(TotalChange,$B72)),_xll.VoseSimPercentile(TotalChange,$B72),NA())</f>
        <v>2.9445031612434076</v>
      </c>
    </row>
    <row r="73" spans="2:4" hidden="1" outlineLevel="1" x14ac:dyDescent="0.45">
      <c r="B73" s="56">
        <v>0.33</v>
      </c>
      <c r="C73" s="56">
        <f t="shared" si="0"/>
        <v>0.66999999999999993</v>
      </c>
      <c r="D73" s="57" cm="1">
        <f t="array" aca="1" ref="D73" ca="1">IF(ISNUMBER(_xll.VoseSimPercentile(TotalChange,$B73)),_xll.VoseSimPercentile(TotalChange,$B73),NA())</f>
        <v>2.9868015407056241</v>
      </c>
    </row>
    <row r="74" spans="2:4" hidden="1" outlineLevel="1" x14ac:dyDescent="0.45">
      <c r="B74" s="56">
        <v>0.35</v>
      </c>
      <c r="C74" s="56">
        <f t="shared" si="0"/>
        <v>0.65</v>
      </c>
      <c r="D74" s="57" cm="1">
        <f t="array" aca="1" ref="D74" ca="1">IF(ISNUMBER(_xll.VoseSimPercentile(TotalChange,$B74)),_xll.VoseSimPercentile(TotalChange,$B74),NA())</f>
        <v>3.029973471377791</v>
      </c>
    </row>
    <row r="75" spans="2:4" hidden="1" outlineLevel="1" x14ac:dyDescent="0.45">
      <c r="B75" s="56">
        <v>0.37</v>
      </c>
      <c r="C75" s="56">
        <f t="shared" si="0"/>
        <v>0.63</v>
      </c>
      <c r="D75" s="57" cm="1">
        <f t="array" aca="1" ref="D75" ca="1">IF(ISNUMBER(_xll.VoseSimPercentile(TotalChange,$B75)),_xll.VoseSimPercentile(TotalChange,$B75),NA())</f>
        <v>3.0711676419485516</v>
      </c>
    </row>
    <row r="76" spans="2:4" hidden="1" outlineLevel="1" x14ac:dyDescent="0.45">
      <c r="B76" s="56">
        <v>0.39</v>
      </c>
      <c r="C76" s="56">
        <f t="shared" si="0"/>
        <v>0.61</v>
      </c>
      <c r="D76" s="57" cm="1">
        <f t="array" aca="1" ref="D76" ca="1">IF(ISNUMBER(_xll.VoseSimPercentile(TotalChange,$B76)),_xll.VoseSimPercentile(TotalChange,$B76),NA())</f>
        <v>3.1178375209277722</v>
      </c>
    </row>
    <row r="77" spans="2:4" hidden="1" outlineLevel="1" x14ac:dyDescent="0.45">
      <c r="B77" s="56">
        <v>0.41</v>
      </c>
      <c r="C77" s="56">
        <f t="shared" si="0"/>
        <v>0.59000000000000008</v>
      </c>
      <c r="D77" s="57" cm="1">
        <f t="array" aca="1" ref="D77" ca="1">IF(ISNUMBER(_xll.VoseSimPercentile(TotalChange,$B77)),_xll.VoseSimPercentile(TotalChange,$B77),NA())</f>
        <v>3.1644589672314796</v>
      </c>
    </row>
    <row r="78" spans="2:4" hidden="1" outlineLevel="1" x14ac:dyDescent="0.45">
      <c r="B78" s="56">
        <v>0.43</v>
      </c>
      <c r="C78" s="56">
        <f t="shared" si="0"/>
        <v>0.57000000000000006</v>
      </c>
      <c r="D78" s="57" cm="1">
        <f t="array" aca="1" ref="D78" ca="1">IF(ISNUMBER(_xll.VoseSimPercentile(TotalChange,$B78)),_xll.VoseSimPercentile(TotalChange,$B78),NA())</f>
        <v>3.2075472884251206</v>
      </c>
    </row>
    <row r="79" spans="2:4" hidden="1" outlineLevel="1" x14ac:dyDescent="0.45">
      <c r="B79" s="56">
        <v>0.45</v>
      </c>
      <c r="C79" s="56">
        <f t="shared" si="0"/>
        <v>0.55000000000000004</v>
      </c>
      <c r="D79" s="57" cm="1">
        <f t="array" aca="1" ref="D79" ca="1">IF(ISNUMBER(_xll.VoseSimPercentile(TotalChange,$B79)),_xll.VoseSimPercentile(TotalChange,$B79),NA())</f>
        <v>3.2532398954503732</v>
      </c>
    </row>
    <row r="80" spans="2:4" hidden="1" outlineLevel="1" x14ac:dyDescent="0.45">
      <c r="B80" s="56">
        <v>0.47</v>
      </c>
      <c r="C80" s="56">
        <f t="shared" si="0"/>
        <v>0.53</v>
      </c>
      <c r="D80" s="57" cm="1">
        <f t="array" aca="1" ref="D80" ca="1">IF(ISNUMBER(_xll.VoseSimPercentile(TotalChange,$B80)),_xll.VoseSimPercentile(TotalChange,$B80),NA())</f>
        <v>3.296522964918231</v>
      </c>
    </row>
    <row r="81" spans="2:4" hidden="1" outlineLevel="1" x14ac:dyDescent="0.45">
      <c r="B81" s="56">
        <v>0.49</v>
      </c>
      <c r="C81" s="56">
        <f t="shared" si="0"/>
        <v>0.51</v>
      </c>
      <c r="D81" s="57" cm="1">
        <f t="array" aca="1" ref="D81" ca="1">IF(ISNUMBER(_xll.VoseSimPercentile(TotalChange,$B81)),_xll.VoseSimPercentile(TotalChange,$B81),NA())</f>
        <v>3.3346779242379276</v>
      </c>
    </row>
    <row r="82" spans="2:4" hidden="1" outlineLevel="1" x14ac:dyDescent="0.45">
      <c r="B82" s="56">
        <v>0.51</v>
      </c>
      <c r="C82" s="56">
        <f t="shared" si="0"/>
        <v>0.49</v>
      </c>
      <c r="D82" s="57" cm="1">
        <f t="array" aca="1" ref="D82" ca="1">IF(ISNUMBER(_xll.VoseSimPercentile(TotalChange,$B82)),_xll.VoseSimPercentile(TotalChange,$B82),NA())</f>
        <v>3.3785149828389329</v>
      </c>
    </row>
    <row r="83" spans="2:4" hidden="1" outlineLevel="1" x14ac:dyDescent="0.45">
      <c r="B83" s="56">
        <v>0.53</v>
      </c>
      <c r="C83" s="56">
        <f t="shared" si="0"/>
        <v>0.47</v>
      </c>
      <c r="D83" s="57" cm="1">
        <f t="array" aca="1" ref="D83" ca="1">IF(ISNUMBER(_xll.VoseSimPercentile(TotalChange,$B83)),_xll.VoseSimPercentile(TotalChange,$B83),NA())</f>
        <v>3.4305896840266197</v>
      </c>
    </row>
    <row r="84" spans="2:4" hidden="1" outlineLevel="1" x14ac:dyDescent="0.45">
      <c r="B84" s="56">
        <v>0.55000000000000004</v>
      </c>
      <c r="C84" s="56">
        <f t="shared" si="0"/>
        <v>0.44999999999999996</v>
      </c>
      <c r="D84" s="57" cm="1">
        <f t="array" aca="1" ref="D84" ca="1">IF(ISNUMBER(_xll.VoseSimPercentile(TotalChange,$B84)),_xll.VoseSimPercentile(TotalChange,$B84),NA())</f>
        <v>3.4742477756294265</v>
      </c>
    </row>
    <row r="85" spans="2:4" hidden="1" outlineLevel="1" x14ac:dyDescent="0.45">
      <c r="B85" s="56">
        <v>0.56999999999999995</v>
      </c>
      <c r="C85" s="56">
        <f t="shared" si="0"/>
        <v>0.43000000000000005</v>
      </c>
      <c r="D85" s="57" cm="1">
        <f t="array" aca="1" ref="D85" ca="1">IF(ISNUMBER(_xll.VoseSimPercentile(TotalChange,$B85)),_xll.VoseSimPercentile(TotalChange,$B85),NA())</f>
        <v>3.5265691295149981</v>
      </c>
    </row>
    <row r="86" spans="2:4" hidden="1" outlineLevel="1" x14ac:dyDescent="0.45">
      <c r="B86" s="56">
        <v>0.59</v>
      </c>
      <c r="C86" s="56">
        <f t="shared" si="0"/>
        <v>0.41000000000000003</v>
      </c>
      <c r="D86" s="57" cm="1">
        <f t="array" aca="1" ref="D86" ca="1">IF(ISNUMBER(_xll.VoseSimPercentile(TotalChange,$B86)),_xll.VoseSimPercentile(TotalChange,$B86),NA())</f>
        <v>3.5797335042692962</v>
      </c>
    </row>
    <row r="87" spans="2:4" hidden="1" outlineLevel="1" x14ac:dyDescent="0.45">
      <c r="B87" s="56">
        <v>0.61</v>
      </c>
      <c r="C87" s="56">
        <f t="shared" si="0"/>
        <v>0.39</v>
      </c>
      <c r="D87" s="57" cm="1">
        <f t="array" aca="1" ref="D87" ca="1">IF(ISNUMBER(_xll.VoseSimPercentile(TotalChange,$B87)),_xll.VoseSimPercentile(TotalChange,$B87),NA())</f>
        <v>3.6225450094018354</v>
      </c>
    </row>
    <row r="88" spans="2:4" hidden="1" outlineLevel="1" x14ac:dyDescent="0.45">
      <c r="B88" s="56">
        <v>0.63</v>
      </c>
      <c r="C88" s="56">
        <f t="shared" si="0"/>
        <v>0.37</v>
      </c>
      <c r="D88" s="57" cm="1">
        <f t="array" aca="1" ref="D88" ca="1">IF(ISNUMBER(_xll.VoseSimPercentile(TotalChange,$B88)),_xll.VoseSimPercentile(TotalChange,$B88),NA())</f>
        <v>3.6725803916164979</v>
      </c>
    </row>
    <row r="89" spans="2:4" hidden="1" outlineLevel="1" x14ac:dyDescent="0.45">
      <c r="B89" s="56">
        <v>0.65</v>
      </c>
      <c r="C89" s="56">
        <f t="shared" ref="C89:C120" si="1">1-B89</f>
        <v>0.35</v>
      </c>
      <c r="D89" s="57" cm="1">
        <f t="array" aca="1" ref="D89" ca="1">IF(ISNUMBER(_xll.VoseSimPercentile(TotalChange,$B89)),_xll.VoseSimPercentile(TotalChange,$B89),NA())</f>
        <v>3.7276335954397579</v>
      </c>
    </row>
    <row r="90" spans="2:4" hidden="1" outlineLevel="1" x14ac:dyDescent="0.45">
      <c r="B90" s="56">
        <v>0.67</v>
      </c>
      <c r="C90" s="56">
        <f t="shared" si="1"/>
        <v>0.32999999999999996</v>
      </c>
      <c r="D90" s="57" cm="1">
        <f t="array" aca="1" ref="D90" ca="1">IF(ISNUMBER(_xll.VoseSimPercentile(TotalChange,$B90)),_xll.VoseSimPercentile(TotalChange,$B90),NA())</f>
        <v>3.7839384661818833</v>
      </c>
    </row>
    <row r="91" spans="2:4" hidden="1" outlineLevel="1" x14ac:dyDescent="0.45">
      <c r="B91" s="56">
        <v>0.69</v>
      </c>
      <c r="C91" s="56">
        <f t="shared" si="1"/>
        <v>0.31000000000000005</v>
      </c>
      <c r="D91" s="57" cm="1">
        <f t="array" aca="1" ref="D91" ca="1">IF(ISNUMBER(_xll.VoseSimPercentile(TotalChange,$B91)),_xll.VoseSimPercentile(TotalChange,$B91),NA())</f>
        <v>3.8411724974471415</v>
      </c>
    </row>
    <row r="92" spans="2:4" hidden="1" outlineLevel="1" x14ac:dyDescent="0.45">
      <c r="B92" s="56">
        <v>0.71</v>
      </c>
      <c r="C92" s="56">
        <f t="shared" si="1"/>
        <v>0.29000000000000004</v>
      </c>
      <c r="D92" s="57" cm="1">
        <f t="array" aca="1" ref="D92" ca="1">IF(ISNUMBER(_xll.VoseSimPercentile(TotalChange,$B92)),_xll.VoseSimPercentile(TotalChange,$B92),NA())</f>
        <v>3.8921603116222871</v>
      </c>
    </row>
    <row r="93" spans="2:4" hidden="1" outlineLevel="1" x14ac:dyDescent="0.45">
      <c r="B93" s="56">
        <v>0.73</v>
      </c>
      <c r="C93" s="56">
        <f t="shared" si="1"/>
        <v>0.27</v>
      </c>
      <c r="D93" s="57" cm="1">
        <f t="array" aca="1" ref="D93" ca="1">IF(ISNUMBER(_xll.VoseSimPercentile(TotalChange,$B93)),_xll.VoseSimPercentile(TotalChange,$B93),NA())</f>
        <v>3.9501282374884701</v>
      </c>
    </row>
    <row r="94" spans="2:4" hidden="1" outlineLevel="1" x14ac:dyDescent="0.45">
      <c r="B94" s="56">
        <v>0.75</v>
      </c>
      <c r="C94" s="56">
        <f t="shared" si="1"/>
        <v>0.25</v>
      </c>
      <c r="D94" s="57" cm="1">
        <f t="array" aca="1" ref="D94" ca="1">IF(ISNUMBER(_xll.VoseSimPercentile(TotalChange,$B94)),_xll.VoseSimPercentile(TotalChange,$B94),NA())</f>
        <v>4.0134420279651923</v>
      </c>
    </row>
    <row r="95" spans="2:4" hidden="1" outlineLevel="1" x14ac:dyDescent="0.45">
      <c r="B95" s="56">
        <v>0.77</v>
      </c>
      <c r="C95" s="56">
        <f t="shared" si="1"/>
        <v>0.22999999999999998</v>
      </c>
      <c r="D95" s="57" cm="1">
        <f t="array" aca="1" ref="D95" ca="1">IF(ISNUMBER(_xll.VoseSimPercentile(TotalChange,$B95)),_xll.VoseSimPercentile(TotalChange,$B95),NA())</f>
        <v>4.0781868977982763</v>
      </c>
    </row>
    <row r="96" spans="2:4" hidden="1" outlineLevel="1" x14ac:dyDescent="0.45">
      <c r="B96" s="56">
        <v>0.79</v>
      </c>
      <c r="C96" s="56">
        <f t="shared" si="1"/>
        <v>0.20999999999999996</v>
      </c>
      <c r="D96" s="57" cm="1">
        <f t="array" aca="1" ref="D96" ca="1">IF(ISNUMBER(_xll.VoseSimPercentile(TotalChange,$B96)),_xll.VoseSimPercentile(TotalChange,$B96),NA())</f>
        <v>4.1428362164495036</v>
      </c>
    </row>
    <row r="97" spans="2:7" hidden="1" outlineLevel="1" x14ac:dyDescent="0.45">
      <c r="B97" s="56">
        <v>0.81</v>
      </c>
      <c r="C97" s="56">
        <f t="shared" si="1"/>
        <v>0.18999999999999995</v>
      </c>
      <c r="D97" s="57" cm="1">
        <f t="array" aca="1" ref="D97" ca="1">IF(ISNUMBER(_xll.VoseSimPercentile(TotalChange,$B97)),_xll.VoseSimPercentile(TotalChange,$B97),NA())</f>
        <v>4.213291827239865</v>
      </c>
    </row>
    <row r="98" spans="2:7" hidden="1" outlineLevel="1" x14ac:dyDescent="0.45">
      <c r="B98" s="56">
        <v>0.83</v>
      </c>
      <c r="C98" s="56">
        <f t="shared" si="1"/>
        <v>0.17000000000000004</v>
      </c>
      <c r="D98" s="57" cm="1">
        <f t="array" aca="1" ref="D98" ca="1">IF(ISNUMBER(_xll.VoseSimPercentile(TotalChange,$B98)),_xll.VoseSimPercentile(TotalChange,$B98),NA())</f>
        <v>4.3035852891501349</v>
      </c>
    </row>
    <row r="99" spans="2:7" hidden="1" outlineLevel="1" x14ac:dyDescent="0.45">
      <c r="B99" s="56">
        <v>0.85</v>
      </c>
      <c r="C99" s="56">
        <f t="shared" si="1"/>
        <v>0.15000000000000002</v>
      </c>
      <c r="D99" s="57" cm="1">
        <f t="array" aca="1" ref="D99" ca="1">IF(ISNUMBER(_xll.VoseSimPercentile(TotalChange,$B99)),_xll.VoseSimPercentile(TotalChange,$B99),NA())</f>
        <v>4.4064012841695979</v>
      </c>
    </row>
    <row r="100" spans="2:7" hidden="1" outlineLevel="1" x14ac:dyDescent="0.45">
      <c r="B100" s="56">
        <v>0.87</v>
      </c>
      <c r="C100" s="56">
        <f t="shared" si="1"/>
        <v>0.13</v>
      </c>
      <c r="D100" s="57" cm="1">
        <f t="array" aca="1" ref="D100" ca="1">IF(ISNUMBER(_xll.VoseSimPercentile(TotalChange,$B100)),_xll.VoseSimPercentile(TotalChange,$B100),NA())</f>
        <v>4.5193031351807686</v>
      </c>
    </row>
    <row r="101" spans="2:7" hidden="1" outlineLevel="1" x14ac:dyDescent="0.45">
      <c r="B101" s="56">
        <v>0.89</v>
      </c>
      <c r="C101" s="56">
        <f t="shared" si="1"/>
        <v>0.10999999999999999</v>
      </c>
      <c r="D101" s="57" cm="1">
        <f t="array" aca="1" ref="D101" ca="1">IF(ISNUMBER(_xll.VoseSimPercentile(TotalChange,$B101)),_xll.VoseSimPercentile(TotalChange,$B101),NA())</f>
        <v>4.6390705526698541</v>
      </c>
    </row>
    <row r="102" spans="2:7" hidden="1" outlineLevel="1" x14ac:dyDescent="0.45">
      <c r="B102" s="56">
        <v>0.91</v>
      </c>
      <c r="C102" s="56">
        <f t="shared" si="1"/>
        <v>8.9999999999999969E-2</v>
      </c>
      <c r="D102" s="57" cm="1">
        <f t="array" aca="1" ref="D102" ca="1">IF(ISNUMBER(_xll.VoseSimPercentile(TotalChange,$B102)),_xll.VoseSimPercentile(TotalChange,$B102),NA())</f>
        <v>4.7863135124815965</v>
      </c>
    </row>
    <row r="103" spans="2:7" hidden="1" outlineLevel="1" x14ac:dyDescent="0.45">
      <c r="B103" s="56">
        <v>0.93</v>
      </c>
      <c r="C103" s="56">
        <f t="shared" si="1"/>
        <v>6.9999999999999951E-2</v>
      </c>
      <c r="D103" s="57" cm="1">
        <f t="array" aca="1" ref="D103" ca="1">IF(ISNUMBER(_xll.VoseSimPercentile(TotalChange,$B103)),_xll.VoseSimPercentile(TotalChange,$B103),NA())</f>
        <v>4.953399320036814</v>
      </c>
    </row>
    <row r="104" spans="2:7" hidden="1" outlineLevel="1" x14ac:dyDescent="0.45">
      <c r="B104" s="56">
        <v>0.95</v>
      </c>
      <c r="C104" s="56">
        <f t="shared" si="1"/>
        <v>5.0000000000000044E-2</v>
      </c>
      <c r="D104" s="57" cm="1">
        <f t="array" aca="1" ref="D104" ca="1">IF(ISNUMBER(_xll.VoseSimPercentile(TotalChange,$B104)),_xll.VoseSimPercentile(TotalChange,$B104),NA())</f>
        <v>5.1470312310544966</v>
      </c>
    </row>
    <row r="105" spans="2:7" hidden="1" outlineLevel="1" x14ac:dyDescent="0.45">
      <c r="B105" s="56">
        <v>0.97</v>
      </c>
      <c r="C105" s="56">
        <f t="shared" si="1"/>
        <v>3.0000000000000027E-2</v>
      </c>
      <c r="D105" s="57" cm="1">
        <f t="array" aca="1" ref="D105" ca="1">IF(ISNUMBER(_xll.VoseSimPercentile(TotalChange,$B105)),_xll.VoseSimPercentile(TotalChange,$B105),NA())</f>
        <v>5.4837871058195704</v>
      </c>
    </row>
    <row r="106" spans="2:7" hidden="1" outlineLevel="1" x14ac:dyDescent="0.45">
      <c r="B106" s="56">
        <v>0.99</v>
      </c>
      <c r="C106" s="56">
        <f t="shared" si="1"/>
        <v>1.0000000000000009E-2</v>
      </c>
      <c r="D106" s="57" cm="1">
        <f t="array" aca="1" ref="D106" ca="1">IF(ISNUMBER(_xll.VoseSimPercentile(TotalChange,$B106)),_xll.VoseSimPercentile(TotalChange,$B106),NA())</f>
        <v>6.2363278176895802</v>
      </c>
    </row>
    <row r="107" spans="2:7" hidden="1" outlineLevel="1" x14ac:dyDescent="0.45"/>
    <row r="108" spans="2:7" hidden="1" outlineLevel="1" x14ac:dyDescent="0.45">
      <c r="B108" s="58" t="s">
        <v>220</v>
      </c>
      <c r="D108" s="59" cm="1">
        <f t="array" aca="1" ref="D108" ca="1">_xll.VoseSimMean(TotalChange)</f>
        <v>3.4640016417735948</v>
      </c>
    </row>
    <row r="109" spans="2:7" ht="18" hidden="1" customHeight="1" outlineLevel="1" x14ac:dyDescent="0.45">
      <c r="B109" s="23" t="s">
        <v>221</v>
      </c>
      <c r="C109" s="5"/>
      <c r="D109" s="5"/>
      <c r="E109" s="5"/>
      <c r="F109" s="24" t="s">
        <v>222</v>
      </c>
      <c r="G109" s="24" t="s">
        <v>223</v>
      </c>
    </row>
    <row r="110" spans="2:7" hidden="1" outlineLevel="1" x14ac:dyDescent="0.45">
      <c r="B110" s="60" t="str">
        <f ca="1">B36</f>
        <v>Изменения по указанию заказчика: стоимость</v>
      </c>
      <c r="F110" s="61">
        <f ca="1">IFERROR(D36-$D$108,NA())</f>
        <v>1.5508946130071743</v>
      </c>
      <c r="G110" s="61">
        <f ca="1">IFERROR(C36-$D$108,NA())</f>
        <v>-1.0704231368375505</v>
      </c>
    </row>
    <row r="111" spans="2:7" hidden="1" outlineLevel="1" x14ac:dyDescent="0.45">
      <c r="B111" s="60" t="str">
        <f ca="1">B37</f>
        <v>Ошибки и упущения проекта: стоимость</v>
      </c>
      <c r="F111" s="61">
        <f ca="1">IFERROR(D37-$D$108,NA())</f>
        <v>1.1165875127558431</v>
      </c>
      <c r="G111" s="61">
        <f ca="1">IFERROR(C37-$D$108,NA())</f>
        <v>-0.709447325576118</v>
      </c>
    </row>
    <row r="112" spans="2:7" hidden="1" outlineLevel="1" x14ac:dyDescent="0.45">
      <c r="B112" s="60" t="str">
        <f ca="1">B38</f>
        <v>Частота изменений заказчика</v>
      </c>
      <c r="F112" s="61">
        <f ca="1">IFERROR(D38-$D$108,NA())</f>
        <v>0.97099781439640065</v>
      </c>
      <c r="G112" s="61">
        <f ca="1">IFERROR(C38-$D$108,NA())</f>
        <v>-0.78753092429489024</v>
      </c>
    </row>
    <row r="113" spans="2:7" hidden="1" outlineLevel="1" x14ac:dyDescent="0.45">
      <c r="B113" s="60" t="str">
        <f ca="1">B39</f>
        <v>Переделка дефектов: стоимость</v>
      </c>
      <c r="F113" s="61">
        <f ca="1">IFERROR(D39-$D$108,NA())</f>
        <v>0.31414644162275485</v>
      </c>
      <c r="G113" s="61">
        <f ca="1">IFERROR(C39-$D$108,NA())</f>
        <v>-0.28878749061044262</v>
      </c>
    </row>
  </sheetData>
  <mergeCells count="4">
    <mergeCell ref="B49:G49"/>
    <mergeCell ref="B48:G48"/>
    <mergeCell ref="B51:G51"/>
    <mergeCell ref="B50:G50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D57:D106">
    <cfRule type="expression" dxfId="1" priority="3">
      <formula>ISNA(D57)</formula>
    </cfRule>
  </conditionalFormatting>
  <conditionalFormatting sqref="F110:G113">
    <cfRule type="expression" dxfId="0" priority="4">
      <formula>ISNA(F110)</formula>
    </cfRule>
  </conditionalFormatting>
  <hyperlinks>
    <hyperlink ref="B4" location="'Изменения'!A1" display="◂  Изменения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3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8C0AE-B8F6-457F-9D8E-D862984A194E}">
  <dimension ref="A1:B1"/>
  <sheetViews>
    <sheetView workbookViewId="0"/>
  </sheetViews>
  <sheetFormatPr defaultRowHeight="14.25" x14ac:dyDescent="0.45"/>
  <sheetData>
    <row r="1" spans="1:2" x14ac:dyDescent="0.45">
      <c r="A1" s="66" t="s">
        <v>224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50B5-8E85-4888-AE12-FD715F477AB1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52F8-64A4-4C5D-B836-ABF9FBA068D7}">
  <dimension ref="B3:B62"/>
  <sheetViews>
    <sheetView workbookViewId="0"/>
  </sheetViews>
  <sheetFormatPr defaultRowHeight="14.25" x14ac:dyDescent="0.45"/>
  <sheetData>
    <row r="3" spans="2:2" x14ac:dyDescent="0.45">
      <c r="B3">
        <v>39</v>
      </c>
    </row>
    <row r="4" spans="2:2" x14ac:dyDescent="0.45">
      <c r="B4">
        <v>273</v>
      </c>
    </row>
    <row r="5" spans="2:2" x14ac:dyDescent="0.45">
      <c r="B5">
        <v>555</v>
      </c>
    </row>
    <row r="6" spans="2:2" x14ac:dyDescent="0.45">
      <c r="B6">
        <v>571</v>
      </c>
    </row>
    <row r="7" spans="2:2" x14ac:dyDescent="0.45">
      <c r="B7">
        <v>354</v>
      </c>
    </row>
    <row r="8" spans="2:2" x14ac:dyDescent="0.45">
      <c r="B8">
        <v>145</v>
      </c>
    </row>
    <row r="9" spans="2:2" x14ac:dyDescent="0.45">
      <c r="B9">
        <v>51</v>
      </c>
    </row>
    <row r="10" spans="2:2" x14ac:dyDescent="0.45">
      <c r="B10">
        <v>8</v>
      </c>
    </row>
    <row r="11" spans="2:2" x14ac:dyDescent="0.45">
      <c r="B11">
        <v>2</v>
      </c>
    </row>
    <row r="12" spans="2:2" x14ac:dyDescent="0.45">
      <c r="B12">
        <v>2</v>
      </c>
    </row>
    <row r="13" spans="2:2" x14ac:dyDescent="0.45">
      <c r="B13">
        <v>401</v>
      </c>
    </row>
    <row r="14" spans="2:2" x14ac:dyDescent="0.45">
      <c r="B14">
        <v>882</v>
      </c>
    </row>
    <row r="15" spans="2:2" x14ac:dyDescent="0.45">
      <c r="B15">
        <v>522</v>
      </c>
    </row>
    <row r="16" spans="2:2" x14ac:dyDescent="0.45">
      <c r="B16">
        <v>147</v>
      </c>
    </row>
    <row r="17" spans="2:2" x14ac:dyDescent="0.45">
      <c r="B17">
        <v>36</v>
      </c>
    </row>
    <row r="18" spans="2:2" x14ac:dyDescent="0.45">
      <c r="B18">
        <v>7</v>
      </c>
    </row>
    <row r="19" spans="2:2" x14ac:dyDescent="0.45">
      <c r="B19">
        <v>4</v>
      </c>
    </row>
    <row r="20" spans="2:2" x14ac:dyDescent="0.45">
      <c r="B20">
        <v>0</v>
      </c>
    </row>
    <row r="21" spans="2:2" x14ac:dyDescent="0.45">
      <c r="B21">
        <v>0</v>
      </c>
    </row>
    <row r="22" spans="2:2" x14ac:dyDescent="0.45">
      <c r="B22">
        <v>1</v>
      </c>
    </row>
    <row r="23" spans="2:2" x14ac:dyDescent="0.45">
      <c r="B23">
        <v>374</v>
      </c>
    </row>
    <row r="24" spans="2:2" x14ac:dyDescent="0.45">
      <c r="B24">
        <v>824</v>
      </c>
    </row>
    <row r="25" spans="2:2" x14ac:dyDescent="0.45">
      <c r="B25">
        <v>512</v>
      </c>
    </row>
    <row r="26" spans="2:2" x14ac:dyDescent="0.45">
      <c r="B26">
        <v>202</v>
      </c>
    </row>
    <row r="27" spans="2:2" x14ac:dyDescent="0.45">
      <c r="B27">
        <v>59</v>
      </c>
    </row>
    <row r="28" spans="2:2" x14ac:dyDescent="0.45">
      <c r="B28">
        <v>13</v>
      </c>
    </row>
    <row r="29" spans="2:2" x14ac:dyDescent="0.45">
      <c r="B29">
        <v>6</v>
      </c>
    </row>
    <row r="30" spans="2:2" x14ac:dyDescent="0.45">
      <c r="B30">
        <v>8</v>
      </c>
    </row>
    <row r="31" spans="2:2" x14ac:dyDescent="0.45">
      <c r="B31">
        <v>1</v>
      </c>
    </row>
    <row r="32" spans="2:2" x14ac:dyDescent="0.45">
      <c r="B32">
        <v>1</v>
      </c>
    </row>
    <row r="33" spans="2:2" x14ac:dyDescent="0.45">
      <c r="B33">
        <v>34</v>
      </c>
    </row>
    <row r="34" spans="2:2" x14ac:dyDescent="0.45">
      <c r="B34">
        <v>244</v>
      </c>
    </row>
    <row r="35" spans="2:2" x14ac:dyDescent="0.45">
      <c r="B35">
        <v>514</v>
      </c>
    </row>
    <row r="36" spans="2:2" x14ac:dyDescent="0.45">
      <c r="B36">
        <v>559</v>
      </c>
    </row>
    <row r="37" spans="2:2" x14ac:dyDescent="0.45">
      <c r="B37">
        <v>359</v>
      </c>
    </row>
    <row r="38" spans="2:2" x14ac:dyDescent="0.45">
      <c r="B38">
        <v>183</v>
      </c>
    </row>
    <row r="39" spans="2:2" x14ac:dyDescent="0.45">
      <c r="B39">
        <v>65</v>
      </c>
    </row>
    <row r="40" spans="2:2" x14ac:dyDescent="0.45">
      <c r="B40">
        <v>23</v>
      </c>
    </row>
    <row r="41" spans="2:2" x14ac:dyDescent="0.45">
      <c r="B41">
        <v>14</v>
      </c>
    </row>
    <row r="42" spans="2:2" x14ac:dyDescent="0.45">
      <c r="B42">
        <v>5</v>
      </c>
    </row>
    <row r="43" spans="2:2" x14ac:dyDescent="0.45">
      <c r="B43">
        <v>108</v>
      </c>
    </row>
    <row r="44" spans="2:2" x14ac:dyDescent="0.45">
      <c r="B44">
        <v>594</v>
      </c>
    </row>
    <row r="45" spans="2:2" x14ac:dyDescent="0.45">
      <c r="B45">
        <v>753</v>
      </c>
    </row>
    <row r="46" spans="2:2" x14ac:dyDescent="0.45">
      <c r="B46">
        <v>379</v>
      </c>
    </row>
    <row r="47" spans="2:2" x14ac:dyDescent="0.45">
      <c r="B47">
        <v>129</v>
      </c>
    </row>
    <row r="48" spans="2:2" x14ac:dyDescent="0.45">
      <c r="B48">
        <v>22</v>
      </c>
    </row>
    <row r="49" spans="2:2" x14ac:dyDescent="0.45">
      <c r="B49">
        <v>10</v>
      </c>
    </row>
    <row r="50" spans="2:2" x14ac:dyDescent="0.45">
      <c r="B50">
        <v>3</v>
      </c>
    </row>
    <row r="51" spans="2:2" x14ac:dyDescent="0.45">
      <c r="B51">
        <v>1</v>
      </c>
    </row>
    <row r="52" spans="2:2" x14ac:dyDescent="0.45">
      <c r="B52">
        <v>1</v>
      </c>
    </row>
    <row r="53" spans="2:2" x14ac:dyDescent="0.45">
      <c r="B53">
        <v>665</v>
      </c>
    </row>
    <row r="54" spans="2:2" x14ac:dyDescent="0.45">
      <c r="B54">
        <v>0</v>
      </c>
    </row>
    <row r="55" spans="2:2" x14ac:dyDescent="0.45">
      <c r="B55">
        <v>0</v>
      </c>
    </row>
    <row r="56" spans="2:2" x14ac:dyDescent="0.45">
      <c r="B56">
        <v>0</v>
      </c>
    </row>
    <row r="57" spans="2:2" x14ac:dyDescent="0.45">
      <c r="B57">
        <v>0</v>
      </c>
    </row>
    <row r="58" spans="2:2" x14ac:dyDescent="0.45">
      <c r="B58">
        <v>0</v>
      </c>
    </row>
    <row r="59" spans="2:2" x14ac:dyDescent="0.45">
      <c r="B59">
        <v>0</v>
      </c>
    </row>
    <row r="60" spans="2:2" x14ac:dyDescent="0.45">
      <c r="B60">
        <v>0</v>
      </c>
    </row>
    <row r="61" spans="2:2" x14ac:dyDescent="0.45">
      <c r="B61">
        <v>0</v>
      </c>
    </row>
    <row r="62" spans="2:2" x14ac:dyDescent="0.45">
      <c r="B62">
        <v>1335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CFBAEC2D-57A1-4CBF-B7DE-40F3525B6AFC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30</vt:i4>
      </vt:variant>
    </vt:vector>
  </HeadingPairs>
  <TitlesOfParts>
    <vt:vector size="37" baseType="lpstr">
      <vt:lpstr>Описание</vt:lpstr>
      <vt:lpstr>Исходные данные</vt:lpstr>
      <vt:lpstr>Изменения</vt:lpstr>
      <vt:lpstr>Результаты</vt:lpstr>
      <vt:lpstr>ModelRiskDSN</vt:lpstr>
      <vt:lpstr>ModelRiskSYS1</vt:lpstr>
      <vt:lpstr>ModelRiskCharts</vt:lpstr>
      <vt:lpstr>Allowance</vt:lpstr>
      <vt:lpstr>AllowancePct</vt:lpstr>
      <vt:lpstr>Checks</vt:lpstr>
      <vt:lpstr>Client_Cost</vt:lpstr>
      <vt:lpstr>Client_Mean</vt:lpstr>
      <vt:lpstr>Client_N</vt:lpstr>
      <vt:lpstr>Client_Rate</vt:lpstr>
      <vt:lpstr>Client_RateCV</vt:lpstr>
      <vt:lpstr>Client_RateDrawn</vt:lpstr>
      <vt:lpstr>Client_Scale</vt:lpstr>
      <vt:lpstr>Client_SD</vt:lpstr>
      <vt:lpstr>Client_Shape</vt:lpstr>
      <vt:lpstr>ContractSum</vt:lpstr>
      <vt:lpstr>Design_Cost</vt:lpstr>
      <vt:lpstr>Design_Mean</vt:lpstr>
      <vt:lpstr>Design_N</vt:lpstr>
      <vt:lpstr>Design_Rate</vt:lpstr>
      <vt:lpstr>Design_SD</vt:lpstr>
      <vt:lpstr>Exceeds</vt:lpstr>
      <vt:lpstr>Expected</vt:lpstr>
      <vt:lpstr>Months</vt:lpstr>
      <vt:lpstr>Results!Print_Area</vt:lpstr>
      <vt:lpstr>Inputs!Print_Titles</vt:lpstr>
      <vt:lpstr>Results!Print_Titles</vt:lpstr>
      <vt:lpstr>Rework_Cost</vt:lpstr>
      <vt:lpstr>Rework_Mean</vt:lpstr>
      <vt:lpstr>Rework_N</vt:lpstr>
      <vt:lpstr>Rework_Rate</vt:lpstr>
      <vt:lpstr>Rework_SD</vt:lpstr>
      <vt:lpstr>TotalChange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PC-06 Изменения и переделки</dc:title>
  <dc:subject>Отраслевые примеры моделей МоделРиск — Проекты и строительство</dc:subject>
  <dc:creator>ООО «Стратегия Риска»</dc:creator>
  <cp:keywords>МоделРиск; Монте-Карло; проекты и строительство</cp:keywords>
  <dc:description>Изменения заказчика, ошибки проекта и переделки на строительном контракте как составные распределения в сравнении с резервом на изменения в 5%.</dc:description>
  <cp:lastModifiedBy>ООО «Стратегия Риска»</cp:lastModifiedBy>
  <cp:lastPrinted>2026-10-07T08:42:19Z</cp:lastPrinted>
  <dcterms:created xsi:type="dcterms:W3CDTF">2026-10-07T08:41:19Z</dcterms:created>
  <dcterms:modified xsi:type="dcterms:W3CDTF">2026-10-07T08:42:20Z</dcterms:modified>
</cp:coreProperties>
</file>