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22C98EE8-4059-46A7-A1B6-69DD7486FFA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Заявки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Above_0">'Заявки'!$G$24</definedName>
    <definedName name="Above_1">'Заявки'!$G$25</definedName>
    <definedName name="Above_10">'Заявки'!$G$34</definedName>
    <definedName name="Above_2">'Заявки'!$G$26</definedName>
    <definedName name="Above_3">'Заявки'!$G$27</definedName>
    <definedName name="Above_4">'Заявки'!$G$28</definedName>
    <definedName name="Above_5">'Заявки'!$G$29</definedName>
    <definedName name="Above_6">'Заявки'!$G$30</definedName>
    <definedName name="Above_7">'Заявки'!$G$31</definedName>
    <definedName name="Above_8">'Заявки'!$G$32</definedName>
    <definedName name="Above_9">'Заявки'!$G$33</definedName>
    <definedName name="BaseEstimate">'Исходные данные'!$D$11</definedName>
    <definedName name="BidCost">'Исходные данные'!$D$14</definedName>
    <definedName name="Checks">'Заявки'!$D$39:$D$40</definedName>
    <definedName name="Comp1">'Заявки'!$D$11</definedName>
    <definedName name="Comp2">'Заявки'!$D$13</definedName>
    <definedName name="Comp3">'Заявки'!$D$15</definedName>
    <definedName name="Comp4">'Заявки'!$D$17</definedName>
    <definedName name="CostFactor">'Исходные данные'!$D$12</definedName>
    <definedName name="CostFactor_Hi">'Исходные данные'!$H$12</definedName>
    <definedName name="CostFactor_Lo">'Исходные данные'!$F$12</definedName>
    <definedName name="CostFactor_Mean">'Исходные данные'!$I$12</definedName>
    <definedName name="CostFactor_ML">'Исходные данные'!$G$12</definedName>
    <definedName name="DetailMarkup">'Исходные данные'!$D$25</definedName>
    <definedName name="InputMeans">'Исходные данные'!$I$12:$I$13</definedName>
    <definedName name="LossWin_0">'Заявки'!$F$24</definedName>
    <definedName name="LossWin_1">'Заявки'!$F$25</definedName>
    <definedName name="LossWin_10">'Заявки'!$F$34</definedName>
    <definedName name="LossWin_2">'Заявки'!$F$26</definedName>
    <definedName name="LossWin_3">'Заявки'!$F$27</definedName>
    <definedName name="LossWin_4">'Заявки'!$F$28</definedName>
    <definedName name="LossWin_5">'Заявки'!$F$29</definedName>
    <definedName name="LossWin_6">'Заявки'!$F$30</definedName>
    <definedName name="LossWin_7">'Заявки'!$F$31</definedName>
    <definedName name="LossWin_8">'Заявки'!$F$32</definedName>
    <definedName name="LossWin_9">'Заявки'!$F$33</definedName>
    <definedName name="LowComp">'Заявки'!$D$18</definedName>
    <definedName name="Market">'Исходные данные'!$D$13</definedName>
    <definedName name="Market_Hi">'Исходные данные'!$H$13</definedName>
    <definedName name="Market_Lo">'Исходные данные'!$F$13</definedName>
    <definedName name="Market_Mean">'Исходные данные'!$I$13</definedName>
    <definedName name="Market_ML">'Исходные данные'!$G$13</definedName>
    <definedName name="Markups">'Заявки'!$B$24:$B$34</definedName>
    <definedName name="OurCost">'Заявки'!$D$9</definedName>
    <definedName name="_xlnm.Print_Area" localSheetId="3">'Результаты'!$A$1:$R$62</definedName>
    <definedName name="_xlnm.Print_Titles" localSheetId="1">'Исходные данные'!$1:$4</definedName>
    <definedName name="_xlnm.Print_Titles" localSheetId="3">'Результаты'!$1:$4</definedName>
    <definedName name="Profit_0">'Заявки'!$E$24</definedName>
    <definedName name="Profit_1">'Заявки'!$E$25</definedName>
    <definedName name="Profit_10">'Заявки'!$E$34</definedName>
    <definedName name="Profit_2">'Заявки'!$E$26</definedName>
    <definedName name="Profit_3">'Заявки'!$E$27</definedName>
    <definedName name="Profit_4">'Заявки'!$E$28</definedName>
    <definedName name="Profit_5">'Заявки'!$E$29</definedName>
    <definedName name="Profit_6">'Заявки'!$E$30</definedName>
    <definedName name="Profit_7">'Заявки'!$E$31</definedName>
    <definedName name="Profit_8">'Заявки'!$E$32</definedName>
    <definedName name="Profit_9">'Заявки'!$E$33</definedName>
    <definedName name="ProfitDetail">'Заявки'!$E$35</definedName>
    <definedName name="Profits">'Заявки'!$E$24:$E$34</definedName>
    <definedName name="Ratio_Hi">'Исходные данные'!$D$21</definedName>
    <definedName name="Ratio_Lo">'Исходные данные'!$D$19</definedName>
    <definedName name="Ratio_ML">'Исходные данные'!$D$20</definedName>
    <definedName name="Ratio1">'Заявки'!$D$10</definedName>
    <definedName name="Ratio2">'Заявки'!$D$12</definedName>
    <definedName name="Ratio3">'Заявки'!$D$14</definedName>
    <definedName name="Ratio4">'Заявки'!$D$16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Win_0">'Заявки'!$D$24</definedName>
    <definedName name="Win_1">'Заявки'!$D$25</definedName>
    <definedName name="Win_10">'Заявки'!$D$34</definedName>
    <definedName name="Win_2">'Заявки'!$D$26</definedName>
    <definedName name="Win_3">'Заявки'!$D$27</definedName>
    <definedName name="Win_4">'Заявки'!$D$28</definedName>
    <definedName name="Win_5">'Заявки'!$D$29</definedName>
    <definedName name="Win_6">'Заявки'!$D$30</definedName>
    <definedName name="Win_7">'Заявки'!$D$31</definedName>
    <definedName name="Win_8">'Заявки'!$D$32</definedName>
    <definedName name="Win_9">'Заявки'!$D$33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7" i="4" l="1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B23" i="4"/>
  <c r="B22" i="4"/>
  <c r="B21" i="4"/>
  <c r="B20" i="4"/>
  <c r="B19" i="4"/>
  <c r="B18" i="4"/>
  <c r="B17" i="4"/>
  <c r="B16" i="4"/>
  <c r="B15" i="4"/>
  <c r="B14" i="4"/>
  <c r="B13" i="4"/>
  <c r="D40" i="3"/>
  <c r="D39" i="3"/>
  <c r="B7" i="4" s="1"/>
  <c r="C34" i="3"/>
  <c r="C33" i="3"/>
  <c r="C32" i="3"/>
  <c r="C31" i="3"/>
  <c r="C30" i="3"/>
  <c r="C29" i="3"/>
  <c r="C28" i="3"/>
  <c r="C27" i="3"/>
  <c r="C26" i="3"/>
  <c r="C25" i="3"/>
  <c r="C24" i="3"/>
  <c r="D14" i="3" a="1"/>
  <c r="D10" i="3" a="1"/>
  <c r="D12" i="3" a="1"/>
  <c r="D16" i="3" a="1"/>
  <c r="I13" i="2" a="1"/>
  <c r="I12" i="2" a="1"/>
  <c r="D13" i="2" a="1"/>
  <c r="D12" i="2" a="1"/>
  <c r="D16" i="3" l="1"/>
  <c r="D12" i="3"/>
  <c r="D10" i="3"/>
  <c r="D14" i="3"/>
  <c r="D12" i="2"/>
  <c r="D13" i="2"/>
  <c r="I12" i="2"/>
  <c r="I13" i="2"/>
  <c r="D9" i="3" l="1"/>
  <c r="D15" i="3" s="1"/>
  <c r="G31" i="3" a="1"/>
  <c r="G31" i="3" s="1"/>
  <c r="G27" i="3" a="1"/>
  <c r="G27" i="3" s="1"/>
  <c r="G25" i="3" a="1"/>
  <c r="G25" i="3" s="1"/>
  <c r="G24" i="3" a="1"/>
  <c r="G24" i="3" s="1"/>
  <c r="D17" i="3"/>
  <c r="G32" i="3" a="1"/>
  <c r="G32" i="3" s="1"/>
  <c r="D11" i="3"/>
  <c r="G34" i="3" a="1"/>
  <c r="G34" i="3" s="1"/>
  <c r="G28" i="3" a="1"/>
  <c r="G28" i="3" s="1"/>
  <c r="G26" i="3" a="1"/>
  <c r="G26" i="3" s="1"/>
  <c r="G33" i="3" a="1"/>
  <c r="G33" i="3" s="1"/>
  <c r="G29" i="3" a="1"/>
  <c r="G29" i="3" s="1"/>
  <c r="G30" i="3" a="1"/>
  <c r="G30" i="3" s="1"/>
  <c r="G21" i="4" a="1"/>
  <c r="G23" i="4" a="1"/>
  <c r="G15" i="4" a="1"/>
  <c r="G20" i="4" a="1"/>
  <c r="G17" i="4" a="1"/>
  <c r="G13" i="4" a="1"/>
  <c r="G16" i="4" a="1"/>
  <c r="G19" i="4" a="1"/>
  <c r="G14" i="4" a="1"/>
  <c r="G22" i="4" a="1"/>
  <c r="G18" i="4" a="1"/>
  <c r="D13" i="3" l="1"/>
  <c r="G18" i="4"/>
  <c r="G22" i="4"/>
  <c r="G14" i="4"/>
  <c r="G19" i="4"/>
  <c r="G16" i="4"/>
  <c r="G13" i="4"/>
  <c r="G17" i="4"/>
  <c r="G20" i="4"/>
  <c r="G15" i="4"/>
  <c r="G23" i="4"/>
  <c r="G21" i="4"/>
  <c r="D18" i="3"/>
  <c r="D30" i="3" l="1" a="1"/>
  <c r="D30" i="3" s="1"/>
  <c r="D25" i="3" a="1"/>
  <c r="D25" i="3" s="1"/>
  <c r="D33" i="3" a="1"/>
  <c r="D33" i="3" s="1"/>
  <c r="D31" i="3" a="1"/>
  <c r="D31" i="3" s="1"/>
  <c r="D27" i="3" a="1"/>
  <c r="D27" i="3" s="1"/>
  <c r="D34" i="3" a="1"/>
  <c r="D34" i="3" s="1"/>
  <c r="D32" i="3" a="1"/>
  <c r="D32" i="3" s="1"/>
  <c r="D26" i="3" a="1"/>
  <c r="D26" i="3" s="1"/>
  <c r="D24" i="3" a="1"/>
  <c r="D24" i="3" s="1"/>
  <c r="D28" i="3" a="1"/>
  <c r="D28" i="3" s="1"/>
  <c r="D29" i="3" a="1"/>
  <c r="D29" i="3" s="1"/>
  <c r="C19" i="4" a="1"/>
  <c r="C13" i="4" a="1"/>
  <c r="C18" i="4" a="1"/>
  <c r="C16" i="4" a="1"/>
  <c r="C15" i="4" a="1"/>
  <c r="C14" i="4" a="1"/>
  <c r="C17" i="4" a="1"/>
  <c r="C22" i="4" a="1"/>
  <c r="C20" i="4" a="1"/>
  <c r="C23" i="4" a="1"/>
  <c r="C21" i="4" a="1"/>
  <c r="C21" i="4" l="1"/>
  <c r="C23" i="4"/>
  <c r="C20" i="4"/>
  <c r="C22" i="4"/>
  <c r="C17" i="4"/>
  <c r="C14" i="4"/>
  <c r="C15" i="4"/>
  <c r="C16" i="4"/>
  <c r="C18" i="4"/>
  <c r="C13" i="4"/>
  <c r="C19" i="4"/>
  <c r="F32" i="3" a="1"/>
  <c r="F32" i="3" s="1"/>
  <c r="E32" i="3" a="1"/>
  <c r="E32" i="3" s="1"/>
  <c r="F27" i="3" a="1"/>
  <c r="F27" i="3" s="1"/>
  <c r="E27" i="3" a="1"/>
  <c r="E27" i="3" s="1"/>
  <c r="E26" i="3" a="1"/>
  <c r="E26" i="3" s="1"/>
  <c r="F26" i="3" a="1"/>
  <c r="F26" i="3" s="1"/>
  <c r="E29" i="3" a="1"/>
  <c r="E29" i="3" s="1"/>
  <c r="F29" i="3" a="1"/>
  <c r="F29" i="3" s="1"/>
  <c r="E33" i="3" a="1"/>
  <c r="E33" i="3" s="1"/>
  <c r="F33" i="3" a="1"/>
  <c r="F33" i="3" s="1"/>
  <c r="F34" i="3" a="1"/>
  <c r="F34" i="3" s="1"/>
  <c r="E34" i="3" a="1"/>
  <c r="E34" i="3" s="1"/>
  <c r="E28" i="3" a="1"/>
  <c r="E28" i="3" s="1"/>
  <c r="F28" i="3" a="1"/>
  <c r="F28" i="3" s="1"/>
  <c r="F25" i="3" a="1"/>
  <c r="F25" i="3" s="1"/>
  <c r="E25" i="3" a="1"/>
  <c r="E25" i="3" s="1"/>
  <c r="E31" i="3" a="1"/>
  <c r="E31" i="3" s="1"/>
  <c r="F31" i="3" a="1"/>
  <c r="F31" i="3" s="1"/>
  <c r="E24" i="3" a="1"/>
  <c r="E24" i="3" s="1"/>
  <c r="F24" i="3" a="1"/>
  <c r="F24" i="3" s="1"/>
  <c r="F30" i="3" a="1"/>
  <c r="F30" i="3" s="1"/>
  <c r="E30" i="3" a="1"/>
  <c r="E30" i="3" s="1"/>
  <c r="F116" i="4" a="1"/>
  <c r="D32" i="4" a="1"/>
  <c r="F112" i="4" a="1"/>
  <c r="F109" i="4" a="1"/>
  <c r="F106" i="4" a="1"/>
  <c r="F97" i="4" a="1"/>
  <c r="F92" i="4" a="1"/>
  <c r="F115" i="4" a="1"/>
  <c r="F81" i="4" a="1"/>
  <c r="F113" i="4" a="1"/>
  <c r="F100" i="4" a="1"/>
  <c r="F79" i="4" a="1"/>
  <c r="F90" i="4" a="1"/>
  <c r="F93" i="4" a="1"/>
  <c r="F84" i="4" a="1"/>
  <c r="F73" i="4" a="1"/>
  <c r="F95" i="4" a="1"/>
  <c r="F83" i="4" a="1"/>
  <c r="F102" i="4" a="1"/>
  <c r="F96" i="4" a="1"/>
  <c r="D35" i="4" a="1"/>
  <c r="F86" i="4" a="1"/>
  <c r="F77" i="4" a="1"/>
  <c r="F80" i="4" a="1"/>
  <c r="F111" i="4" a="1"/>
  <c r="F68" i="4" a="1"/>
  <c r="F70" i="4" a="1"/>
  <c r="F99" i="4" a="1"/>
  <c r="D19" i="4" a="1"/>
  <c r="F89" i="4" a="1"/>
  <c r="F114" i="4" a="1"/>
  <c r="F82" i="4" a="1"/>
  <c r="F91" i="4" a="1"/>
  <c r="F88" i="4" a="1"/>
  <c r="F117" i="4" a="1"/>
  <c r="F85" i="4" a="1"/>
  <c r="F110" i="4" a="1"/>
  <c r="F78" i="4" a="1"/>
  <c r="F87" i="4" a="1"/>
  <c r="F98" i="4" a="1"/>
  <c r="F108" i="4" a="1"/>
  <c r="F76" i="4" a="1"/>
  <c r="F105" i="4" a="1"/>
  <c r="F69" i="4" a="1"/>
  <c r="F107" i="4" a="1"/>
  <c r="F75" i="4" a="1"/>
  <c r="F104" i="4" a="1"/>
  <c r="F72" i="4" a="1"/>
  <c r="F101" i="4" a="1"/>
  <c r="F74" i="4" a="1"/>
  <c r="F94" i="4" a="1"/>
  <c r="F103" i="4" a="1"/>
  <c r="F71" i="4" a="1"/>
  <c r="D22" i="4" a="1"/>
  <c r="D13" i="4" a="1"/>
  <c r="D18" i="4" a="1"/>
  <c r="D14" i="4" a="1"/>
  <c r="D20" i="4" a="1"/>
  <c r="D21" i="4" a="1"/>
  <c r="D23" i="4" a="1"/>
  <c r="D16" i="4" a="1"/>
  <c r="D100" i="4" a="1"/>
  <c r="D107" i="4" a="1"/>
  <c r="D76" i="4" a="1"/>
  <c r="D89" i="4" a="1"/>
  <c r="D85" i="4" a="1"/>
  <c r="D30" i="4" a="1"/>
  <c r="D103" i="4" a="1"/>
  <c r="D91" i="4" a="1"/>
  <c r="D98" i="4" a="1"/>
  <c r="D87" i="4" a="1"/>
  <c r="D69" i="4" a="1"/>
  <c r="D86" i="4" a="1"/>
  <c r="D75" i="4" a="1"/>
  <c r="D72" i="4" a="1"/>
  <c r="D114" i="4" a="1"/>
  <c r="D102" i="4" a="1"/>
  <c r="D104" i="4" a="1"/>
  <c r="D82" i="4" a="1"/>
  <c r="D71" i="4" a="1"/>
  <c r="D117" i="4" a="1"/>
  <c r="D101" i="4" a="1"/>
  <c r="D116" i="4" a="1"/>
  <c r="D73" i="4" a="1"/>
  <c r="D92" i="4" a="1"/>
  <c r="D70" i="4" a="1"/>
  <c r="D68" i="4" a="1"/>
  <c r="D105" i="4" a="1"/>
  <c r="D94" i="4" a="1"/>
  <c r="D115" i="4" a="1"/>
  <c r="D83" i="4" a="1"/>
  <c r="D96" i="4" a="1"/>
  <c r="D88" i="4" a="1"/>
  <c r="D97" i="4" a="1"/>
  <c r="D90" i="4" a="1"/>
  <c r="D111" i="4" a="1"/>
  <c r="D79" i="4" a="1"/>
  <c r="D84" i="4" a="1"/>
  <c r="D80" i="4" a="1"/>
  <c r="D93" i="4" a="1"/>
  <c r="D110" i="4" a="1"/>
  <c r="D99" i="4" a="1"/>
  <c r="D33" i="4" a="1"/>
  <c r="D112" i="4" a="1"/>
  <c r="D113" i="4" a="1"/>
  <c r="D81" i="4" a="1"/>
  <c r="D78" i="4" a="1"/>
  <c r="D106" i="4" a="1"/>
  <c r="D74" i="4" a="1"/>
  <c r="D95" i="4" a="1"/>
  <c r="D15" i="4" a="1"/>
  <c r="D108" i="4" a="1"/>
  <c r="D109" i="4" a="1"/>
  <c r="D77" i="4" a="1"/>
  <c r="E83" i="4" a="1"/>
  <c r="E76" i="4" a="1"/>
  <c r="E114" i="4" a="1"/>
  <c r="E93" i="4" a="1"/>
  <c r="E95" i="4" a="1"/>
  <c r="B6" i="4" a="1"/>
  <c r="E88" i="4" a="1"/>
  <c r="E79" i="4" a="1"/>
  <c r="E110" i="4" a="1"/>
  <c r="E98" i="4" a="1"/>
  <c r="E115" i="4" a="1"/>
  <c r="E108" i="4" a="1"/>
  <c r="E117" i="4" a="1"/>
  <c r="E82" i="4" a="1"/>
  <c r="D17" i="4" a="1"/>
  <c r="D34" i="4" a="1"/>
  <c r="E81" i="4" a="1"/>
  <c r="E111" i="4" a="1"/>
  <c r="E113" i="4" a="1"/>
  <c r="E78" i="4" a="1"/>
  <c r="E72" i="4" a="1"/>
  <c r="E85" i="4" a="1"/>
  <c r="E94" i="4" a="1"/>
  <c r="E104" i="4" a="1"/>
  <c r="E99" i="4" a="1"/>
  <c r="E92" i="4" a="1"/>
  <c r="E97" i="4" a="1"/>
  <c r="D31" i="4" a="1"/>
  <c r="E91" i="4" a="1"/>
  <c r="E116" i="4" a="1"/>
  <c r="E84" i="4" a="1"/>
  <c r="E77" i="4" a="1"/>
  <c r="E89" i="4" a="1"/>
  <c r="E90" i="4" a="1"/>
  <c r="E87" i="4" a="1"/>
  <c r="E112" i="4" a="1"/>
  <c r="E80" i="4" a="1"/>
  <c r="E73" i="4" a="1"/>
  <c r="E69" i="4" a="1"/>
  <c r="E86" i="4" a="1"/>
  <c r="E68" i="4" a="1"/>
  <c r="E106" i="4" a="1"/>
  <c r="E74" i="4" a="1"/>
  <c r="E107" i="4" a="1"/>
  <c r="E75" i="4" a="1"/>
  <c r="E100" i="4" a="1"/>
  <c r="E105" i="4" a="1"/>
  <c r="E103" i="4" a="1"/>
  <c r="E71" i="4" a="1"/>
  <c r="E96" i="4" a="1"/>
  <c r="E109" i="4" a="1"/>
  <c r="E101" i="4" a="1"/>
  <c r="E102" i="4" a="1"/>
  <c r="E70" i="4" a="1"/>
  <c r="E70" i="4" l="1"/>
  <c r="E102" i="4"/>
  <c r="E101" i="4"/>
  <c r="E109" i="4"/>
  <c r="E96" i="4"/>
  <c r="E71" i="4"/>
  <c r="E103" i="4"/>
  <c r="E105" i="4"/>
  <c r="E100" i="4"/>
  <c r="E75" i="4"/>
  <c r="E107" i="4"/>
  <c r="E74" i="4"/>
  <c r="E106" i="4"/>
  <c r="E68" i="4"/>
  <c r="E86" i="4"/>
  <c r="E69" i="4"/>
  <c r="E73" i="4"/>
  <c r="E80" i="4"/>
  <c r="E112" i="4"/>
  <c r="E87" i="4"/>
  <c r="E90" i="4"/>
  <c r="E89" i="4"/>
  <c r="E77" i="4"/>
  <c r="E84" i="4"/>
  <c r="E116" i="4"/>
  <c r="E91" i="4"/>
  <c r="D31" i="4"/>
  <c r="E97" i="4"/>
  <c r="E92" i="4"/>
  <c r="E99" i="4"/>
  <c r="E104" i="4"/>
  <c r="E94" i="4"/>
  <c r="E85" i="4"/>
  <c r="E72" i="4"/>
  <c r="E78" i="4"/>
  <c r="E113" i="4"/>
  <c r="E111" i="4"/>
  <c r="E81" i="4"/>
  <c r="D34" i="4"/>
  <c r="D17" i="4"/>
  <c r="E17" i="4" s="1"/>
  <c r="E82" i="4"/>
  <c r="E117" i="4"/>
  <c r="E108" i="4"/>
  <c r="E115" i="4"/>
  <c r="E98" i="4"/>
  <c r="E110" i="4"/>
  <c r="E79" i="4"/>
  <c r="E88" i="4"/>
  <c r="B6" i="4"/>
  <c r="E95" i="4"/>
  <c r="E93" i="4"/>
  <c r="E114" i="4"/>
  <c r="E76" i="4"/>
  <c r="E83" i="4"/>
  <c r="D77" i="4"/>
  <c r="D109" i="4"/>
  <c r="D108" i="4"/>
  <c r="D15" i="4"/>
  <c r="E15" i="4" s="1"/>
  <c r="D95" i="4"/>
  <c r="D74" i="4"/>
  <c r="D106" i="4"/>
  <c r="D78" i="4"/>
  <c r="D81" i="4"/>
  <c r="D113" i="4"/>
  <c r="D112" i="4"/>
  <c r="D33" i="4"/>
  <c r="D99" i="4"/>
  <c r="D110" i="4"/>
  <c r="D93" i="4"/>
  <c r="D80" i="4"/>
  <c r="D84" i="4"/>
  <c r="D79" i="4"/>
  <c r="D111" i="4"/>
  <c r="D90" i="4"/>
  <c r="D97" i="4"/>
  <c r="D88" i="4"/>
  <c r="D96" i="4"/>
  <c r="D83" i="4"/>
  <c r="D115" i="4"/>
  <c r="D94" i="4"/>
  <c r="D105" i="4"/>
  <c r="D68" i="4"/>
  <c r="D70" i="4"/>
  <c r="D92" i="4"/>
  <c r="D73" i="4"/>
  <c r="D116" i="4"/>
  <c r="D101" i="4"/>
  <c r="D117" i="4"/>
  <c r="D71" i="4"/>
  <c r="D82" i="4"/>
  <c r="D104" i="4"/>
  <c r="D102" i="4"/>
  <c r="D114" i="4"/>
  <c r="D72" i="4"/>
  <c r="D75" i="4"/>
  <c r="D86" i="4"/>
  <c r="D69" i="4"/>
  <c r="D87" i="4"/>
  <c r="D98" i="4"/>
  <c r="D91" i="4"/>
  <c r="D103" i="4"/>
  <c r="D30" i="4"/>
  <c r="D85" i="4"/>
  <c r="D89" i="4"/>
  <c r="D76" i="4"/>
  <c r="D107" i="4"/>
  <c r="D100" i="4"/>
  <c r="D16" i="4"/>
  <c r="E16" i="4" s="1"/>
  <c r="D23" i="4"/>
  <c r="E23" i="4" s="1"/>
  <c r="D21" i="4"/>
  <c r="E21" i="4" s="1"/>
  <c r="D20" i="4"/>
  <c r="E20" i="4" s="1"/>
  <c r="D14" i="4"/>
  <c r="E14" i="4" s="1"/>
  <c r="D18" i="4"/>
  <c r="E18" i="4" s="1"/>
  <c r="D13" i="4"/>
  <c r="D22" i="4"/>
  <c r="E22" i="4" s="1"/>
  <c r="F71" i="4"/>
  <c r="F103" i="4"/>
  <c r="F94" i="4"/>
  <c r="F74" i="4"/>
  <c r="F101" i="4"/>
  <c r="F72" i="4"/>
  <c r="F104" i="4"/>
  <c r="F75" i="4"/>
  <c r="F107" i="4"/>
  <c r="F69" i="4"/>
  <c r="F105" i="4"/>
  <c r="F76" i="4"/>
  <c r="F108" i="4"/>
  <c r="F98" i="4"/>
  <c r="F87" i="4"/>
  <c r="F78" i="4"/>
  <c r="F110" i="4"/>
  <c r="F85" i="4"/>
  <c r="F117" i="4"/>
  <c r="F88" i="4"/>
  <c r="F91" i="4"/>
  <c r="F82" i="4"/>
  <c r="F114" i="4"/>
  <c r="F89" i="4"/>
  <c r="D19" i="4"/>
  <c r="E19" i="4" s="1"/>
  <c r="F99" i="4"/>
  <c r="F70" i="4"/>
  <c r="F68" i="4"/>
  <c r="F111" i="4"/>
  <c r="F80" i="4"/>
  <c r="F77" i="4"/>
  <c r="F86" i="4"/>
  <c r="D35" i="4"/>
  <c r="F96" i="4"/>
  <c r="F102" i="4"/>
  <c r="F83" i="4"/>
  <c r="F95" i="4"/>
  <c r="F73" i="4"/>
  <c r="F84" i="4"/>
  <c r="F93" i="4"/>
  <c r="F90" i="4"/>
  <c r="F79" i="4"/>
  <c r="F100" i="4"/>
  <c r="F113" i="4"/>
  <c r="F81" i="4"/>
  <c r="F115" i="4"/>
  <c r="F92" i="4"/>
  <c r="F97" i="4"/>
  <c r="F106" i="4"/>
  <c r="F109" i="4"/>
  <c r="F112" i="4"/>
  <c r="D32" i="4"/>
  <c r="F116" i="4"/>
  <c r="E35" i="3" a="1"/>
  <c r="E35" i="3" s="1"/>
  <c r="B47" i="4" a="1"/>
  <c r="D119" i="4" a="1"/>
  <c r="F23" i="4" a="1"/>
  <c r="F15" i="4" a="1"/>
  <c r="F19" i="4" a="1"/>
  <c r="F18" i="4" a="1"/>
  <c r="F14" i="4" a="1"/>
  <c r="F21" i="4" a="1"/>
  <c r="F17" i="4" a="1"/>
  <c r="F13" i="4" a="1"/>
  <c r="F16" i="4" a="1"/>
  <c r="F22" i="4" a="1"/>
  <c r="F20" i="4" a="1"/>
  <c r="F20" i="4" l="1"/>
  <c r="F22" i="4"/>
  <c r="F16" i="4"/>
  <c r="F13" i="4"/>
  <c r="F17" i="4"/>
  <c r="F21" i="4"/>
  <c r="F14" i="4"/>
  <c r="F18" i="4"/>
  <c r="F19" i="4"/>
  <c r="F15" i="4"/>
  <c r="F23" i="4"/>
  <c r="D119" i="4"/>
  <c r="D47" i="4"/>
  <c r="E52" i="4"/>
  <c r="D52" i="4"/>
  <c r="F126" i="4" s="1"/>
  <c r="D48" i="4"/>
  <c r="F122" i="4" s="1"/>
  <c r="C51" i="4"/>
  <c r="E50" i="4"/>
  <c r="D50" i="4"/>
  <c r="E51" i="4"/>
  <c r="C49" i="4"/>
  <c r="E48" i="4"/>
  <c r="E49" i="4"/>
  <c r="B51" i="4"/>
  <c r="B125" i="4" s="1"/>
  <c r="C52" i="4"/>
  <c r="B50" i="4"/>
  <c r="B124" i="4" s="1"/>
  <c r="C48" i="4"/>
  <c r="B47" i="4"/>
  <c r="B121" i="4" s="1"/>
  <c r="D51" i="4"/>
  <c r="C50" i="4"/>
  <c r="B52" i="4"/>
  <c r="B126" i="4" s="1"/>
  <c r="E47" i="4"/>
  <c r="D49" i="4"/>
  <c r="C47" i="4"/>
  <c r="B48" i="4"/>
  <c r="B122" i="4" s="1"/>
  <c r="B49" i="4"/>
  <c r="B123" i="4" s="1"/>
  <c r="D24" i="4"/>
  <c r="E13" i="4"/>
  <c r="G124" i="4" l="1"/>
  <c r="F125" i="4"/>
  <c r="G123" i="4"/>
  <c r="F121" i="4"/>
  <c r="G122" i="4"/>
  <c r="F124" i="4"/>
  <c r="G121" i="4"/>
  <c r="F123" i="4"/>
  <c r="G126" i="4"/>
  <c r="G125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<sst xmlns="http://schemas.openxmlformats.org/spreadsheetml/2006/main" count="273" uniqueCount="220">
  <si>
    <t xml:space="preserve">Цена тендерной заявки: наценка против вероятности победы</t>
  </si>
  <si>
    <t xml:space="preserve">Пример МоделРиск  ·  Проекты и строительство  ·  PC-05</t>
  </si>
  <si>
    <t xml:space="preserve">Какую наценку заложить в заявку?  Компромисс между вероятностью победы и прибылью в случае победы.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</si>
  <si>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</si>
  <si>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</si>
  <si>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</si>
  <si>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Проекты и строительство</t>
  </si>
  <si>
    <t xml:space="preserve">Сложность</t>
  </si>
  <si>
    <t xml:space="preserve">★★★☆☆   Одиннадцать цен заявки, оцененных на одних и тех же смоделированных затратах и заявках конкурентов, с эффектом проклятия победителя.</t>
  </si>
  <si>
    <t xml:space="preserve">Вопрос бизнеса</t>
  </si>
  <si>
    <t xml:space="preserve">Подрядчик готовит цену на тендер стоимостью 20 млн долл. против четырех конкурентов. Более высокая наценка дает больше при победе, но выигрывает реже, а дешево выигранные контракты чаще всего и приносят убыток. Какая наценка максимизирует ожидаемую прибыль и насколько вероятен убыток по выигранному контракту?</t>
  </si>
  <si>
    <t xml:space="preserve">Для кого</t>
  </si>
  <si>
    <t xml:space="preserve">Сметчикам и руководителям тендерных отделов, коммерческим директорам и службам развития бизнеса.</t>
  </si>
  <si>
    <t xml:space="preserve">Основные результаты</t>
  </si>
  <si>
    <t xml:space="preserve">Для каждой наценки от 0% до 20%: вероятность победы, ожидаемая прибыль, прибыль при победе и вероятность убытка по выигранному контракту · наценка с наибольшей ожидаемой прибылью · распределения прибыли при трех наценках · ключевые факторы.</t>
  </si>
  <si>
    <t xml:space="preserve">Приемы МоделРиск</t>
  </si>
  <si>
    <t xml:space="preserve">Каждая заявка следует за истинной стоимостью работ: конкуренты подают свою оценку плюс наценку, поэтому победа кое-что говорит о нашей оценке (проклятие победителя) · несколько вариантов решения на одних и тех же смоделированных сценариях · условные статистики по выходам-индикаторам · совмещенный график ожидаемой прибыли и вероятности победы.</t>
  </si>
  <si>
    <t xml:space="preserve">Файл</t>
  </si>
  <si>
    <t xml:space="preserve">PC-05 Цена тендерной заявки: наценка против вероятности победы  ·  Версия 1.0  ·  Ноябрь 2026  ·  создано в МоделРиск</t>
  </si>
  <si>
    <t xml:space="preserve">Вопрос бизнеса</t>
  </si>
  <si>
    <t xml:space="preserve">Подрядчик готовит цену на строительный контракт стоимостью 20 млн долл., победитель определяется только по цене. В тендере участвуют четыре конкурента. Все оценивают одну и ту же работу, и каждый ошибается на несколько процентов — но не на одну и ту же величину. Подрядчику легче всего выиграть, когда именно его оценка упустила затраты, которые увидели другие: выигранный контракт слишком часто оказывается контрактом с заниженной стоимостью и приносит убыток — это проклятие победителя. Высокая наценка выгодна, когда заявка выигрывает, но выигрывает она редко. Модель разыгрывает истинную стоимость работ и от нее — заявки четырех конкурентов, а затем оценивает одиннадцать наценок на одних и тех же смоделированных тендерах. Так можно найти лучшую наценку и понять ее риск.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</si>
  <si>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</si>
  <si>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</si>
  <si>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</si>
  <si>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Базовая оценка, коэффициент того, насколько реальная стоимость может отличаться от нее, рыночный коэффициент для цен, которые влияют на всех, характер заявок конкурентов относительно нашей оценки и затраты на подготовку заявки.</t>
  </si>
  <si>
    <t xml:space="preserve">2  Заявки</t>
  </si>
  <si>
    <t xml:space="preserve">Истинная стоимость работ = наша оценка × наша ошибка оценки × рыночный коэффициент. Каждый конкурент подает цену = истинная стоимость × его собственный коэффициент (его ошибка оценки и его наценка). Для каждой наценки наша цена = наша оценка × (1 + наценка); мы выигрываем, если она ниже самой низкой цены конкурентов; прибыль = цена − истинная стоимость при победе, минус затраты на подготовку заявки в любом случае.</t>
  </si>
  <si>
    <t xml:space="preserve">3  Результаты</t>
  </si>
  <si>
    <t xml:space="preserve">Для каждой наценки: вероятность победы, ожидаемая прибыль, прибыль при победе и вероятность убытка по выигранному контракту; наценка с наибольшей ожидаемой прибылью; диапазон прибыли при трех наценках.</t>
  </si>
  <si>
    <t xml:space="preserve">Как пользоваться моделью</t>
  </si>
  <si>
    <t xml:space="preserve">Шаг 1</t>
  </si>
  <si>
    <t xml:space="preserve">Введите свою оценку и неопределенность стоимости на листе «Исходные данные».</t>
  </si>
  <si>
    <t xml:space="preserve">Шаг 2</t>
  </si>
  <si>
    <t xml:space="preserve">Откалибруйте коэффициенты цен конкурентов по своей истории тендеров (их цена ÷ ваша оценка).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</si>
  <si>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</si>
  <si>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</si>
  <si>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</si>
  <si>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Найдите лучшую наценку и решите, приемлема ли для нее вероятность убытка по выигранному контракту.</t>
  </si>
  <si>
    <t xml:space="preserve">Структура модели</t>
  </si>
  <si>
    <t xml:space="preserve">Исходные данные</t>
  </si>
  <si>
    <t xml:space="preserve">Оценка, коэффициент стоимости, рыночный коэффициент, коэффициенты цен конкурентов, затраты на заявку.</t>
  </si>
  <si>
    <t xml:space="preserve">Заявки</t>
  </si>
  <si>
    <t xml:space="preserve">Стоимость этого тендера и заявки конкурентов, исход при каждой наценке; выходы и проверки.</t>
  </si>
  <si>
    <t xml:space="preserve">Результаты</t>
  </si>
  <si>
    <t xml:space="preserve">Таблица наценок, график ожидаемой прибыли и вероятности победы, S-кривые прибыли и ключевые факторы.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</si>
  <si>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</si>
  <si>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</si>
  <si>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</si>
  <si>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</si>
  <si>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</si>
  <si>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</si>
  <si>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</si>
  <si>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</si>
  <si>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</si>
  <si>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</si>
  <si>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</si>
  <si>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</si>
  <si>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</si>
  <si>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долл.).</t>
  </si>
  <si>
    <t xml:space="preserve">Наценка</t>
  </si>
  <si>
    <t xml:space="preserve">Цена = базовая оценка × (1 + наценка).</t>
  </si>
  <si>
    <t xml:space="preserve">Коэффициент цены</t>
  </si>
  <si>
    <t xml:space="preserve">Цена конкурента, деленная на истинную стоимость работ, по прошлым тендерам, итоговая стоимость которых стала известна.</t>
  </si>
  <si>
    <t xml:space="preserve">Проклятие победителя</t>
  </si>
  <si>
    <t xml:space="preserve">Легче всего мы выигрываем, когда наша оценка занижена: вероятность убытка по выигранному контракту выше, чем по любому тендеру.</t>
  </si>
  <si>
    <t xml:space="preserve">Основные допущения и ограничения</t>
  </si>
  <si>
    <t xml:space="preserve">Выбор победителя</t>
  </si>
  <si>
    <t xml:space="preserve">Побеждает самая низкая цена; без переговоров, без оценки качества, без равных цен.</t>
  </si>
  <si>
    <t xml:space="preserve">Конкуренты</t>
  </si>
  <si>
    <t xml:space="preserve">Четыре конкурента с одинаковым характером заявок; их ошибки не зависят от наших и друг от друга, и они не реагируют на нашу цену.</t>
  </si>
  <si>
    <t xml:space="preserve">Затраты</t>
  </si>
  <si>
    <t xml:space="preserve">Каждая заявка связана с истинной стоимостью работ; рыночный коэффициент сдвигает ее для всех.</t>
  </si>
  <si>
    <t xml:space="preserve">Данные</t>
  </si>
  <si>
    <t xml:space="preserve">Тендер и история заявок придуманы для этого примера.</t>
  </si>
  <si>
    <t xml:space="preserve">Функции МоделРиск в модели</t>
  </si>
  <si>
    <t>VosePERT</t>
  </si>
  <si>
    <t xml:space="preserve">Наша ошибка оценки, рыночный коэффициент и коэффициент цены каждого конкурента.</t>
  </si>
  <si>
    <t>VoseInput, VoseOutput</t>
  </si>
  <si>
    <t xml:space="preserve">Обозначить неопределенные величины и результаты: победу, прибыль и убыток при победе для каждой наценки.</t>
  </si>
  <si>
    <t>VoseSimMean</t>
  </si>
  <si>
    <t xml:space="preserve">Статистика моделирования для таблиц и графиков на листе «Результаты».</t>
  </si>
  <si>
    <t>VoseSimSensitivityMean</t>
  </si>
  <si>
    <t xml:space="preserve">Диаграмма «торнадо»: все VoseInput ранжированы по тому, насколько меняется средняя прибыль при выбранной наценке на их диапазоне.</t>
  </si>
  <si>
    <t xml:space="preserve">Что почитать</t>
  </si>
  <si>
    <t xml:space="preserve">Тендер</t>
  </si>
  <si>
    <t>Friedman, L. (1956). A competitive-bidding strategy. Operations Research 4(1), 104–112.</t>
  </si>
  <si>
    <t>Thaler, R. H. (1988). Anomalies: the winner's curse. Journal of Economic Perspectives 2(1), 191–202.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</si>
  <si>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</si>
  <si>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</si>
  <si>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</si>
  <si>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Заявки  ▸</t>
  </si>
  <si>
    <t xml:space="preserve">Как читать этот лист:  желтые ячейки — исходные данные.  В оранжевых ячейках распределения МоделРиск, они показывают текущее случайное значение (F9 — выбрать заново).  Мин. / Наиболее вероятное / Макс. — минимум, наиболее вероятное значение и максимум для PERT.  Среднее — среднее значение распределения (VoseMean); если диапазон задан неверно, показывается ✗.</t>
  </si>
  <si>
    <t xml:space="preserve">1   Работы и наша оценка</t>
  </si>
  <si>
    <t xml:space="preserve">Во что работы обойдутся на самом деле в сравнении с нашей оценкой.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</si>
  <si>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</si>
  <si>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</si>
  <si>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</si>
  <si>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</si>
  <si>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Мин.</t>
  </si>
  <si>
    <t xml:space="preserve">Наиболее вероятное</t>
  </si>
  <si>
    <t xml:space="preserve">Макс.</t>
  </si>
  <si>
    <t xml:space="preserve">Среднее</t>
  </si>
  <si>
    <t xml:space="preserve">Обоснование / источник (условно)</t>
  </si>
  <si>
    <t xml:space="preserve">Базовая оценка нашей стоимости</t>
  </si>
  <si>
    <t xml:space="preserve">млн долл.</t>
  </si>
  <si>
    <t xml:space="preserve">Константа</t>
  </si>
  <si>
    <t xml:space="preserve">Наиболее вероятная стоимость по оценке сметчика на момент тендера.</t>
  </si>
  <si>
    <t xml:space="preserve">Наша ошибка оценки  (истинная стоимость ÷ оценка)</t>
  </si>
  <si>
    <t>×</t>
  </si>
  <si>
    <t>PERT</t>
  </si>
  <si>
    <t xml:space="preserve">Прошлые контракты: итоговая стоимость от 7% ниже до 12% выше тендерной оценки.</t>
  </si>
  <si>
    <t xml:space="preserve">Рыночный коэффициент цен</t>
  </si>
  <si>
    <t xml:space="preserve">Цены на материалы и труд за период тендера: они сдвигают истинную стоимость работ, а значит, и все заявки.</t>
  </si>
  <si>
    <t xml:space="preserve">Затраты на подготовку заявки</t>
  </si>
  <si>
    <t xml:space="preserve">Время на оценку и проектирование; оплачивается при любом исходе.</t>
  </si>
  <si>
    <t xml:space="preserve">2   Конкуренты</t>
  </si>
  <si>
    <t xml:space="preserve">4 конкурента. Каждый оценивает одну и ту же работу со своей ошибкой и добавляет свою наценку: его цена ÷ истинная стоимость работ.</t>
  </si>
  <si>
    <t xml:space="preserve">Коэффициент цены конкурента: низкий</t>
  </si>
  <si>
    <t xml:space="preserve">× истинная стоимость</t>
  </si>
  <si>
    <t xml:space="preserve">По прошлым тендерам, итоговая стоимость которых стала известна.</t>
  </si>
  <si>
    <t xml:space="preserve">Коэффициент цены конкурента: наиболее вероятный</t>
  </si>
  <si>
    <t xml:space="preserve">Самый частый коэффициент.</t>
  </si>
  <si>
    <t xml:space="preserve">Коэффициент цены конкурента: высокий</t>
  </si>
  <si>
    <t xml:space="preserve">Наибольший наблюдавшийся коэффициент.</t>
  </si>
  <si>
    <t xml:space="preserve">3   Подробно</t>
  </si>
  <si>
    <t xml:space="preserve">Наценка для подробного анализа</t>
  </si>
  <si>
    <t xml:space="preserve">наценка</t>
  </si>
  <si>
    <t xml:space="preserve">Одна из одиннадцати наценок (от 0% до 20% с шагом 2%): диаграмма «торнадо» на листе «Результаты».</t>
  </si>
  <si>
    <t xml:space="preserve">ЗАЯВКИ   ·   Этот тендер: истинная стоимость работ, заявки конкурентов и исход при каждой наценке (млн долл.).</t>
  </si>
  <si>
    <t xml:space="preserve">◂  Исходные данные</t>
  </si>
  <si>
    <t xml:space="preserve">Далее:  Результаты  ▸</t>
  </si>
  <si>
    <t xml:space="preserve">1   Истинная стоимость работ и заявки конкурентов в этой итерации</t>
  </si>
  <si>
    <t xml:space="preserve">Все заявки следуют за одной и той же истинной стоимостью: проклятие победителя заложено в модель.</t>
  </si>
  <si>
    <t xml:space="preserve">Величина</t>
  </si>
  <si>
    <t xml:space="preserve">Значение</t>
  </si>
  <si>
    <t xml:space="preserve">Как рассчитывается</t>
  </si>
  <si>
    <t xml:space="preserve">Истинная стоимость работ  (во что они нам обойдутся при победе)</t>
  </si>
  <si>
    <t xml:space="preserve">Наша оценка × наша ошибка оценки × рыночный коэффициент</t>
  </si>
  <si>
    <t xml:space="preserve">Конкурент 1: цена ÷ истинная стоимость</t>
  </si>
  <si>
    <t xml:space="preserve">Его ошибка оценки и наценка вместе (PERT)</t>
  </si>
  <si>
    <t xml:space="preserve">Конкурент 1: цена</t>
  </si>
  <si>
    <t xml:space="preserve">Истинная стоимость × его коэффициент: когда работы дороже, все конкуренты подают более высокую цену</t>
  </si>
  <si>
    <t xml:space="preserve">Конкурент 2: цена ÷ истинная стоимость</t>
  </si>
  <si>
    <t xml:space="preserve">Конкурент 2: цена</t>
  </si>
  <si>
    <t xml:space="preserve">Конкурент 3: цена ÷ истинная стоимость</t>
  </si>
  <si>
    <t xml:space="preserve">Конкурент 3: цена</t>
  </si>
  <si>
    <t xml:space="preserve">Конкурент 4: цена ÷ истинная стоимость</t>
  </si>
  <si>
    <t xml:space="preserve">Конкурент 4: цена</t>
  </si>
  <si>
    <t xml:space="preserve">Самая низкая цена конкурентов</t>
  </si>
  <si>
    <t xml:space="preserve">Цена, которую нужно перебить</t>
  </si>
  <si>
    <t xml:space="preserve">2   Исход при каждой наценке</t>
  </si>
  <si>
    <t xml:space="preserve">Все наценки оцениваются на одном и том же смоделированном тендере, поэтому разница между ними реальна.</t>
  </si>
  <si>
    <t xml:space="preserve">Наша цена</t>
  </si>
  <si>
    <t xml:space="preserve">Победа?</t>
  </si>
  <si>
    <t xml:space="preserve">Прибыль</t>
  </si>
  <si>
    <t xml:space="preserve">Убыток по</t>
  </si>
  <si>
    <t xml:space="preserve">Затраты выше</t>
  </si>
  <si>
    <t xml:space="preserve">1 = да</t>
  </si>
  <si>
    <t xml:space="preserve">выигранному</t>
  </si>
  <si>
    <t xml:space="preserve">нашей цены</t>
  </si>
  <si>
    <t xml:space="preserve">Победа, если наша цена ниже самой низкой цены конкурентов</t>
  </si>
  <si>
    <t xml:space="preserve">Прибыль = (цена − истинная стоимость) при победе, минус затраты на заявку</t>
  </si>
  <si>
    <t xml:space="preserve">Убыток по выигранному контракту: мы выиграли, а истинная стоимость выше нашей цены</t>
  </si>
  <si>
    <t xml:space="preserve">Затраты выше нашей цены: то же, выиграли мы или нет — сравнение, которое показывает проклятие победителя</t>
  </si>
  <si>
    <t xml:space="preserve">Прибыль при наценке для подробного анализа</t>
  </si>
  <si>
    <t xml:space="preserve">Наценка с листа «Исходные данные»: для диаграммы «торнадо»</t>
  </si>
  <si>
    <t xml:space="preserve">3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</si>
  <si>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</si>
  <si>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Коэффициенты цен конкурентов: низкий ≤ наиболее вероятный ≤ высокий</t>
  </si>
  <si>
    <t xml:space="preserve">Наценка для подробного анализа — одна из одиннадцати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</si>
  <si>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</si>
  <si>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Заявки</t>
  </si>
  <si>
    <t xml:space="preserve">1   Какая наценка?</t>
  </si>
  <si>
    <t xml:space="preserve">Ожидаемая прибыль и вероятность победы по наценкам</t>
  </si>
  <si>
    <t xml:space="preserve">Вероятность победы, ожидаемая прибыль (по всем тендерам, выигранным и проигранным), маржа по выигранному контракту и вероятность убытка: по выигранному контракту и по любому тендеру.</t>
  </si>
  <si>
    <t xml:space="preserve">Вероятность</t>
  </si>
  <si>
    <t xml:space="preserve">Ожидаемое</t>
  </si>
  <si>
    <t xml:space="preserve">Маржа при</t>
  </si>
  <si>
    <t xml:space="preserve">Убыток при</t>
  </si>
  <si>
    <t xml:space="preserve">победы</t>
  </si>
  <si>
    <t xml:space="preserve">прибыль, млн долл.</t>
  </si>
  <si>
    <t xml:space="preserve">победе, млн долл.</t>
  </si>
  <si>
    <t xml:space="preserve">победе</t>
  </si>
  <si>
    <t xml:space="preserve">цены, любой тендер</t>
  </si>
  <si>
    <t xml:space="preserve">Наценка с наибольшей ожидаемой прибылью</t>
  </si>
  <si>
    <t xml:space="preserve">Маржа при победе — без учета затрат на подготовку заявки. Убыток при победе в сравнении с превышением затрат над ценой в любом тендере: разница между ними и есть проклятие победителя.</t>
  </si>
  <si>
    <t xml:space="preserve">2   Прибыль при трех наценках</t>
  </si>
  <si>
    <t xml:space="preserve">Диапазон прибыли по всем тендерам, выигранным и проигранным.</t>
  </si>
  <si>
    <t xml:space="preserve">Прибыль при трех наценках — накопленная вероятность</t>
  </si>
  <si>
    <t xml:space="preserve">Показатель</t>
  </si>
  <si>
    <t xml:space="preserve">Наценка 4%: 10-й процентиль прибыли</t>
  </si>
  <si>
    <t xml:space="preserve">Наценка 8%: 10-й процентиль прибыли</t>
  </si>
  <si>
    <t xml:space="preserve">Наценка 12%: 10-й процентиль прибыли</t>
  </si>
  <si>
    <t xml:space="preserve">Наценка 4%: 90-й процентиль прибыли</t>
  </si>
  <si>
    <t xml:space="preserve">Наценка 8%: 90-й процентиль прибыли</t>
  </si>
  <si>
    <t xml:space="preserve">Наценка 12%: 90-й процентиль прибыли</t>
  </si>
  <si>
    <t xml:space="preserve">3   Что определяет прибыль при выбранной наценке</t>
  </si>
  <si>
    <t xml:space="preserve">Что определяет прибыль при выбранной наценке  (млн долл.)</t>
  </si>
  <si>
    <t xml:space="preserve">Наименьшая и наибольшая средняя прибыль при наценке с листа «Исходные данные» по десяти равным группам каждой величины (VoseSimSensitivityMean).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</si>
  <si>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</si>
  <si>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</si>
  <si>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</si>
  <si>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</si>
  <si>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4   Как читать результаты</t>
  </si>
  <si>
    <t xml:space="preserve">•  Ожидаемая прибыль учитывает каждый тендер, выигранный или проигранный: низкая наценка часто выигрывает, но приносит мало или даже убыток, высокая хорошо зарабатывает, но выигрывает редко. Лучшая наценка уравновешивает одно и другое.</t>
  </si>
  <si>
    <t xml:space="preserve">•  Все конкуренты оценивают одну и ту же истинную стоимость. Когда наша оценка занижена, их оценки чаще всего нет, поэтому наша цена выглядит низкой именно тогда, когда работа обойдется нам дороже: вероятность убытка по выигранному контракту заметно выше вероятности того, что затраты превысят нашу цену в любом тендере. Эта разница в двух последних столбцах и есть проклятие победителя.</t>
  </si>
  <si>
    <t xml:space="preserve">•  Рыночный коэффициент сдвигает истинную стоимость и все заявки одновременно, поэтому для решения он менее важен, чем наша собственная ошибка оценки: диаграмма «торнадо» показывает, где более точная оценка окупится.</t>
  </si>
  <si>
    <t xml:space="preserve">•  Затраты на подготовку заявки несутся в каждом тендере, поэтому у наценки, которая почти никогда не выигрывает, ожидаемая прибыль все равно немного отрицательна.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</si>
  <si>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</si>
  <si>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</si>
  <si>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</si>
  <si>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</si>
  <si>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Profit_2</t>
  </si>
  <si>
    <t>Profit_4</t>
  </si>
  <si>
    <t>Profit_6</t>
  </si>
  <si>
    <t xml:space="preserve">Общее среднее ProfitDetail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</si>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</sst>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_);\(#,##0.00\);&quot;–&quot;_)"/>
    <numFmt numFmtId="165" formatCode="0.000"/>
    <numFmt numFmtId="166" formatCode="0.0%;\-0.0%;0.0%;&quot;–&quot;"/>
    <numFmt numFmtId="167" formatCode="#,##0.00_);\(#,##0.00\);&quot;–&quot;_);&quot;–&quot;"/>
    <numFmt numFmtId="168" formatCode="#,##0.00;\(#,##0.00\);&quot;–&quot;"/>
    <numFmt numFmtId="169" formatCode="0%;\-0%;0%;@"/>
    <numFmt numFmtId="170" formatCode="0;\-0;0;&quot;–&quot;"/>
  </numFmts>
  <fonts count="24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b/>
      <sz val="10"/>
      <color rgb="FF15803D"/>
      <name val="Calibri"/>
    </font>
    <font>
      <b/>
      <sz val="11"/>
      <color rgb="FF15803D"/>
      <name val="Calibri"/>
    </font>
    <font>
      <b/>
      <sz val="11"/>
      <color rgb="FF1F2328"/>
      <name val="Calibri"/>
    </font>
    <font>
      <sz val="10"/>
      <color rgb="FF55585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2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  <border>
      <left/>
      <right/>
      <top style="thin">
        <color rgb="FF6B6E75"/>
      </top>
      <bottom style="thin">
        <color rgb="FFECEDEF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4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2" fontId="2" fillId="3" borderId="7" xfId="2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2" fontId="3" fillId="0" borderId="8" xfId="3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64" fontId="3" fillId="0" borderId="8" xfId="3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0" fontId="17" fillId="7" borderId="2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right" vertical="center"/>
    </xf>
    <xf numFmtId="0" fontId="0" fillId="7" borderId="2" xfId="0" applyFill="1" applyBorder="1"/>
    <xf numFmtId="0" fontId="19" fillId="7" borderId="4" xfId="0" applyFont="1" applyFill="1" applyBorder="1" applyAlignment="1">
      <alignment horizontal="right" vertical="center"/>
    </xf>
    <xf numFmtId="9" fontId="1" fillId="2" borderId="7" xfId="1" applyNumberFormat="1" applyBorder="1" applyAlignment="1">
      <alignment horizontal="left" vertical="center" indent="1"/>
    </xf>
    <xf numFmtId="1" fontId="4" fillId="4" borderId="9" xfId="4" applyNumberFormat="1" applyBorder="1">
      <alignment horizontal="right" vertical="center"/>
    </xf>
    <xf numFmtId="164" fontId="4" fillId="4" borderId="9" xfId="4" applyNumberFormat="1" applyBorder="1">
      <alignment horizontal="right" vertical="center"/>
    </xf>
    <xf numFmtId="0" fontId="20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2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9" fontId="3" fillId="0" borderId="8" xfId="3" applyNumberFormat="1" applyBorder="1" applyAlignment="1">
      <alignment horizontal="left" vertical="center" indent="1"/>
    </xf>
    <xf numFmtId="166" fontId="1" fillId="5" borderId="7" xfId="5" applyNumberFormat="1" applyBorder="1">
      <alignment horizontal="right" vertical="center"/>
    </xf>
    <xf numFmtId="167" fontId="1" fillId="5" borderId="7" xfId="5" applyNumberFormat="1" applyBorder="1">
      <alignment horizontal="right" vertical="center"/>
    </xf>
    <xf numFmtId="168" fontId="1" fillId="5" borderId="7" xfId="5" applyNumberFormat="1" applyBorder="1">
      <alignment horizontal="right" vertical="center"/>
    </xf>
    <xf numFmtId="0" fontId="12" fillId="0" borderId="11" xfId="0" applyFont="1" applyBorder="1" applyAlignment="1">
      <alignment horizontal="left" vertical="center" indent="1"/>
    </xf>
    <xf numFmtId="0" fontId="0" fillId="0" borderId="11" xfId="0" applyBorder="1"/>
    <xf numFmtId="169" fontId="21" fillId="0" borderId="11" xfId="0" applyNumberFormat="1" applyFont="1" applyBorder="1" applyAlignment="1">
      <alignment horizontal="right" vertical="center"/>
    </xf>
    <xf numFmtId="0" fontId="13" fillId="0" borderId="0" xfId="0" applyFont="1" applyAlignment="1">
      <alignment horizontal="left" vertical="center" indent="1"/>
    </xf>
    <xf numFmtId="0" fontId="17" fillId="7" borderId="4" xfId="0" applyFont="1" applyFill="1" applyBorder="1" applyAlignment="1">
      <alignment horizontal="center" vertical="center" wrapText="1"/>
    </xf>
    <xf numFmtId="170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67" fontId="1" fillId="5" borderId="1" xfId="5" applyNumberFormat="1">
      <alignment horizontal="right" vertical="center"/>
    </xf>
    <xf numFmtId="0" fontId="23" fillId="0" borderId="0" xfId="0" applyFont="1" applyAlignment="1">
      <alignment horizontal="left" vertical="center" indent="1"/>
    </xf>
    <xf numFmtId="164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7">
    <dxf>
      <font>
        <color rgb="FF8B8E95"/>
      </font>
    </dxf>
    <dxf>
      <font>
        <color rgb="FF8B8E95"/>
      </font>
    </dxf>
    <dxf>
      <fill>
        <patternFill patternType="solid">
          <fgColor rgb="FFDCFCE7"/>
          <bgColor rgb="FFDCFCE7"/>
        </patternFill>
      </fill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Ожидаемая прибыль (млн долл., левая ось)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numRef>
              <c:f>'Результаты'!$B$13:$B$23</c:f>
              <c:numCache>
                <c:formatCode>0%</c:formatCode>
                <c:ptCount val="11"/>
                <c:pt idx="0">
                  <c:v>0</c:v>
                </c:pt>
                <c:pt idx="1">
                  <c:v>0.02</c:v>
                </c:pt>
                <c:pt idx="2">
                  <c:v>0.04</c:v>
                </c:pt>
                <c:pt idx="3">
                  <c:v>0.06</c:v>
                </c:pt>
                <c:pt idx="4">
                  <c:v>0.08</c:v>
                </c:pt>
                <c:pt idx="5">
                  <c:v>0.1</c:v>
                </c:pt>
                <c:pt idx="6">
                  <c:v>0.12</c:v>
                </c:pt>
                <c:pt idx="7">
                  <c:v>0.14000000000000001</c:v>
                </c:pt>
                <c:pt idx="8">
                  <c:v>0.16</c:v>
                </c:pt>
                <c:pt idx="9">
                  <c:v>0.18</c:v>
                </c:pt>
                <c:pt idx="10">
                  <c:v>0.2</c:v>
                </c:pt>
              </c:numCache>
            </c:numRef>
          </c:cat>
          <c:val>
            <c:numRef>
              <c:f>'Результаты'!$D$13:$D$23</c:f>
              <c:numCache>
                <c:formatCode>#,##0.00_);\(#,##0.00\);"–"_);"–"</c:formatCode>
                <c:ptCount val="11"/>
                <c:pt idx="0">
                  <c:v>-0.44167100296891793</c:v>
                </c:pt>
                <c:pt idx="1">
                  <c:v>-0.13445594129505764</c:v>
                </c:pt>
                <c:pt idx="2">
                  <c:v>8.8614135179047857E-2</c:v>
                </c:pt>
                <c:pt idx="3">
                  <c:v>0.22767072513218695</c:v>
                </c:pt>
                <c:pt idx="4">
                  <c:v>0.27367692684578337</c:v>
                </c:pt>
                <c:pt idx="5">
                  <c:v>0.25698580195608889</c:v>
                </c:pt>
                <c:pt idx="6">
                  <c:v>0.1849493985491196</c:v>
                </c:pt>
                <c:pt idx="7">
                  <c:v>9.0991494317504279E-2</c:v>
                </c:pt>
                <c:pt idx="8">
                  <c:v>1.1789971197350741E-2</c:v>
                </c:pt>
                <c:pt idx="9">
                  <c:v>-5.6646812629369686E-2</c:v>
                </c:pt>
                <c:pt idx="10">
                  <c:v>-0.10033224759767681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7E-469F-9CCB-5837F2E04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lineChart>
        <c:grouping val="standard"/>
        <c:varyColors val="1"/>
        <c:ser>
          <c:idx val="1"/>
          <c:order val="1"/>
          <c:tx>
            <c:v>Вероятность победы (правая ось)</c:v>
          </c:tx>
          <c:spPr>
            <a:ln w="22000">
              <a:solidFill>
                <a:srgbClr val="B45309"/>
              </a:solidFill>
              <a:prstDash val="solid"/>
            </a:ln>
          </c:spPr>
          <c:marker>
            <c:symbol val="none"/>
          </c:marker>
          <c:val>
            <c:numRef>
              <c:f>'Результаты'!$C$13:$C$23</c:f>
              <c:numCache>
                <c:formatCode>0.0%;\-0.0%;0.0%;"–"</c:formatCode>
                <c:ptCount val="11"/>
                <c:pt idx="0">
                  <c:v>0.94879999999999998</c:v>
                </c:pt>
                <c:pt idx="1">
                  <c:v>0.88490000000000002</c:v>
                </c:pt>
                <c:pt idx="2">
                  <c:v>0.78080000000000005</c:v>
                </c:pt>
                <c:pt idx="3">
                  <c:v>0.65780000000000005</c:v>
                </c:pt>
                <c:pt idx="4">
                  <c:v>0.51659999999999995</c:v>
                </c:pt>
                <c:pt idx="5">
                  <c:v>0.38469999999999999</c:v>
                </c:pt>
                <c:pt idx="6">
                  <c:v>0.26090000000000002</c:v>
                </c:pt>
                <c:pt idx="7">
                  <c:v>0.15989999999999999</c:v>
                </c:pt>
                <c:pt idx="8">
                  <c:v>9.3200000000000005E-2</c:v>
                </c:pt>
                <c:pt idx="9">
                  <c:v>4.7899999999999998E-2</c:v>
                </c:pt>
                <c:pt idx="10">
                  <c:v>2.29E-2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7E-469F-9CCB-5837F2E04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0%" sourceLinked="0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  <c:max val="1"/>
          <c:min val="0"/>
        </c:scaling>
        <c:delete val="0"/>
        <c:axPos val="r"/>
        <c:numFmt formatCode="0%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Наценка 4%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'Результаты'!$D$68:$D$117</c:f>
              <c:numCache>
                <c:formatCode>#,##0.00</c:formatCode>
                <c:ptCount val="50"/>
                <c:pt idx="0">
                  <c:v>-1.5920191233392287</c:v>
                </c:pt>
                <c:pt idx="1">
                  <c:v>-1.2365698520941577</c:v>
                </c:pt>
                <c:pt idx="2">
                  <c:v>-1.0301330665042996</c:v>
                </c:pt>
                <c:pt idx="3">
                  <c:v>-0.88451720219750884</c:v>
                </c:pt>
                <c:pt idx="4">
                  <c:v>-0.76807704191035742</c:v>
                </c:pt>
                <c:pt idx="5">
                  <c:v>-0.66052994907161067</c:v>
                </c:pt>
                <c:pt idx="6">
                  <c:v>-0.57282453081586626</c:v>
                </c:pt>
                <c:pt idx="7">
                  <c:v>-0.49447316172161992</c:v>
                </c:pt>
                <c:pt idx="8">
                  <c:v>-0.42129887547267375</c:v>
                </c:pt>
                <c:pt idx="9">
                  <c:v>-0.35233130823921288</c:v>
                </c:pt>
                <c:pt idx="10">
                  <c:v>-0.28919284159532455</c:v>
                </c:pt>
                <c:pt idx="11">
                  <c:v>-0.22946142623583796</c:v>
                </c:pt>
                <c:pt idx="12">
                  <c:v>-0.17267956664147519</c:v>
                </c:pt>
                <c:pt idx="13">
                  <c:v>-0.15</c:v>
                </c:pt>
                <c:pt idx="14">
                  <c:v>-0.15</c:v>
                </c:pt>
                <c:pt idx="15">
                  <c:v>-0.15</c:v>
                </c:pt>
                <c:pt idx="16">
                  <c:v>-0.15</c:v>
                </c:pt>
                <c:pt idx="17">
                  <c:v>-0.15</c:v>
                </c:pt>
                <c:pt idx="18">
                  <c:v>-0.15</c:v>
                </c:pt>
                <c:pt idx="19">
                  <c:v>-0.15</c:v>
                </c:pt>
                <c:pt idx="20">
                  <c:v>-0.15</c:v>
                </c:pt>
                <c:pt idx="21">
                  <c:v>-0.15</c:v>
                </c:pt>
                <c:pt idx="22">
                  <c:v>-0.15</c:v>
                </c:pt>
                <c:pt idx="23">
                  <c:v>-0.15</c:v>
                </c:pt>
                <c:pt idx="24">
                  <c:v>-0.11743732862346476</c:v>
                </c:pt>
                <c:pt idx="25">
                  <c:v>-6.7155437447846106E-2</c:v>
                </c:pt>
                <c:pt idx="26">
                  <c:v>-1.3772260335966985E-2</c:v>
                </c:pt>
                <c:pt idx="27">
                  <c:v>3.1002777022818867E-2</c:v>
                </c:pt>
                <c:pt idx="28">
                  <c:v>8.4218009157718404E-2</c:v>
                </c:pt>
                <c:pt idx="29">
                  <c:v>0.14103765674664928</c:v>
                </c:pt>
                <c:pt idx="30">
                  <c:v>0.19374780601100242</c:v>
                </c:pt>
                <c:pt idx="31">
                  <c:v>0.24963764234503075</c:v>
                </c:pt>
                <c:pt idx="32">
                  <c:v>0.29194406834941444</c:v>
                </c:pt>
                <c:pt idx="33">
                  <c:v>0.344234894559451</c:v>
                </c:pt>
                <c:pt idx="34">
                  <c:v>0.39542187138233087</c:v>
                </c:pt>
                <c:pt idx="35">
                  <c:v>0.44354649154289871</c:v>
                </c:pt>
                <c:pt idx="36">
                  <c:v>0.4975099511943547</c:v>
                </c:pt>
                <c:pt idx="37">
                  <c:v>0.54348303013984134</c:v>
                </c:pt>
                <c:pt idx="38">
                  <c:v>0.59308108893270484</c:v>
                </c:pt>
                <c:pt idx="39">
                  <c:v>0.64895065733975199</c:v>
                </c:pt>
                <c:pt idx="40">
                  <c:v>0.70343564959670457</c:v>
                </c:pt>
                <c:pt idx="41">
                  <c:v>0.75778612465538442</c:v>
                </c:pt>
                <c:pt idx="42">
                  <c:v>0.81987089780708045</c:v>
                </c:pt>
                <c:pt idx="43">
                  <c:v>0.89331752681129328</c:v>
                </c:pt>
                <c:pt idx="44">
                  <c:v>0.959552500624126</c:v>
                </c:pt>
                <c:pt idx="45">
                  <c:v>1.0329531436621395</c:v>
                </c:pt>
                <c:pt idx="46">
                  <c:v>1.1376588277823836</c:v>
                </c:pt>
                <c:pt idx="47">
                  <c:v>1.2465149066794603</c:v>
                </c:pt>
                <c:pt idx="48">
                  <c:v>1.3877405902428728</c:v>
                </c:pt>
                <c:pt idx="49">
                  <c:v>1.6075521631297058</c:v>
                </c:pt>
              </c:numCache>
            </c:numRef>
          </c:xVal>
          <c:yVal>
            <c:numRef>
              <c:f>'Результаты'!$B$68:$B$117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597-4350-B274-AE1BB84BFB7B}"/>
            </c:ext>
          </c:extLst>
        </c:ser>
        <c:ser>
          <c:idx val="1"/>
          <c:order val="1"/>
          <c:tx>
            <c:v>Наценка 8%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'Результаты'!$E$68:$E$117</c:f>
              <c:numCache>
                <c:formatCode>#,##0.00</c:formatCode>
                <c:ptCount val="50"/>
                <c:pt idx="0">
                  <c:v>-0.79201912333922808</c:v>
                </c:pt>
                <c:pt idx="1">
                  <c:v>-0.43656985209415711</c:v>
                </c:pt>
                <c:pt idx="2">
                  <c:v>-0.23013306650429896</c:v>
                </c:pt>
                <c:pt idx="3">
                  <c:v>-0.15</c:v>
                </c:pt>
                <c:pt idx="4">
                  <c:v>-0.15</c:v>
                </c:pt>
                <c:pt idx="5">
                  <c:v>-0.15</c:v>
                </c:pt>
                <c:pt idx="6">
                  <c:v>-0.15</c:v>
                </c:pt>
                <c:pt idx="7">
                  <c:v>-0.15</c:v>
                </c:pt>
                <c:pt idx="8">
                  <c:v>-0.15</c:v>
                </c:pt>
                <c:pt idx="9">
                  <c:v>-0.15</c:v>
                </c:pt>
                <c:pt idx="10">
                  <c:v>-0.15</c:v>
                </c:pt>
                <c:pt idx="11">
                  <c:v>-0.15</c:v>
                </c:pt>
                <c:pt idx="12">
                  <c:v>-0.15</c:v>
                </c:pt>
                <c:pt idx="13">
                  <c:v>-0.15</c:v>
                </c:pt>
                <c:pt idx="14">
                  <c:v>-0.15</c:v>
                </c:pt>
                <c:pt idx="15">
                  <c:v>-0.15</c:v>
                </c:pt>
                <c:pt idx="16">
                  <c:v>-0.15</c:v>
                </c:pt>
                <c:pt idx="17">
                  <c:v>-0.15</c:v>
                </c:pt>
                <c:pt idx="18">
                  <c:v>-0.15</c:v>
                </c:pt>
                <c:pt idx="19">
                  <c:v>-0.15</c:v>
                </c:pt>
                <c:pt idx="20">
                  <c:v>-0.15</c:v>
                </c:pt>
                <c:pt idx="21">
                  <c:v>-0.15</c:v>
                </c:pt>
                <c:pt idx="22">
                  <c:v>-0.15</c:v>
                </c:pt>
                <c:pt idx="23">
                  <c:v>-0.15</c:v>
                </c:pt>
                <c:pt idx="24">
                  <c:v>-0.15</c:v>
                </c:pt>
                <c:pt idx="25">
                  <c:v>-0.15</c:v>
                </c:pt>
                <c:pt idx="26">
                  <c:v>-0.15</c:v>
                </c:pt>
                <c:pt idx="27">
                  <c:v>-0.11137989385225353</c:v>
                </c:pt>
                <c:pt idx="28">
                  <c:v>1.6236993123721538E-2</c:v>
                </c:pt>
                <c:pt idx="29">
                  <c:v>0.12161674678580639</c:v>
                </c:pt>
                <c:pt idx="30">
                  <c:v>0.21542600016764837</c:v>
                </c:pt>
                <c:pt idx="31">
                  <c:v>0.29674549936108929</c:v>
                </c:pt>
                <c:pt idx="32">
                  <c:v>0.37389344729368046</c:v>
                </c:pt>
                <c:pt idx="33">
                  <c:v>0.44805073416539043</c:v>
                </c:pt>
                <c:pt idx="34">
                  <c:v>0.51487615256394503</c:v>
                </c:pt>
                <c:pt idx="35">
                  <c:v>0.58414263817927858</c:v>
                </c:pt>
                <c:pt idx="36">
                  <c:v>0.64506026403105776</c:v>
                </c:pt>
                <c:pt idx="37">
                  <c:v>0.71005972676511531</c:v>
                </c:pt>
                <c:pt idx="38">
                  <c:v>0.77348167455658012</c:v>
                </c:pt>
                <c:pt idx="39">
                  <c:v>0.83506002608385754</c:v>
                </c:pt>
                <c:pt idx="40">
                  <c:v>0.90745868206703617</c:v>
                </c:pt>
                <c:pt idx="41">
                  <c:v>0.98444819531735417</c:v>
                </c:pt>
                <c:pt idx="42">
                  <c:v>1.0636458257588601</c:v>
                </c:pt>
                <c:pt idx="43">
                  <c:v>1.1339000736856719</c:v>
                </c:pt>
                <c:pt idx="44">
                  <c:v>1.2273611455596076</c:v>
                </c:pt>
                <c:pt idx="45">
                  <c:v>1.3190761236689164</c:v>
                </c:pt>
                <c:pt idx="46">
                  <c:v>1.4150996810090946</c:v>
                </c:pt>
                <c:pt idx="47">
                  <c:v>1.5533156044021781</c:v>
                </c:pt>
                <c:pt idx="48">
                  <c:v>1.7187498369943186</c:v>
                </c:pt>
                <c:pt idx="49">
                  <c:v>2.0189970617240811</c:v>
                </c:pt>
              </c:numCache>
            </c:numRef>
          </c:xVal>
          <c:yVal>
            <c:numRef>
              <c:f>'Результаты'!$B$68:$B$117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597-4350-B274-AE1BB84BFB7B}"/>
            </c:ext>
          </c:extLst>
        </c:ser>
        <c:ser>
          <c:idx val="2"/>
          <c:order val="2"/>
          <c:tx>
            <c:v>Наценка 12%</c:v>
          </c:tx>
          <c:spPr>
            <a:ln w="25400">
              <a:solidFill>
                <a:srgbClr val="15803D"/>
              </a:solidFill>
              <a:prstDash val="solid"/>
            </a:ln>
          </c:spPr>
          <c:marker>
            <c:symbol val="none"/>
          </c:marker>
          <c:xVal>
            <c:numRef>
              <c:f>'Результаты'!$F$68:$F$117</c:f>
              <c:numCache>
                <c:formatCode>#,##0.00</c:formatCode>
                <c:ptCount val="50"/>
                <c:pt idx="0">
                  <c:v>-0.15</c:v>
                </c:pt>
                <c:pt idx="1">
                  <c:v>-0.15</c:v>
                </c:pt>
                <c:pt idx="2">
                  <c:v>-0.15</c:v>
                </c:pt>
                <c:pt idx="3">
                  <c:v>-0.15</c:v>
                </c:pt>
                <c:pt idx="4">
                  <c:v>-0.15</c:v>
                </c:pt>
                <c:pt idx="5">
                  <c:v>-0.15</c:v>
                </c:pt>
                <c:pt idx="6">
                  <c:v>-0.15</c:v>
                </c:pt>
                <c:pt idx="7">
                  <c:v>-0.15</c:v>
                </c:pt>
                <c:pt idx="8">
                  <c:v>-0.15</c:v>
                </c:pt>
                <c:pt idx="9">
                  <c:v>-0.15</c:v>
                </c:pt>
                <c:pt idx="10">
                  <c:v>-0.15</c:v>
                </c:pt>
                <c:pt idx="11">
                  <c:v>-0.15</c:v>
                </c:pt>
                <c:pt idx="12">
                  <c:v>-0.15</c:v>
                </c:pt>
                <c:pt idx="13">
                  <c:v>-0.15</c:v>
                </c:pt>
                <c:pt idx="14">
                  <c:v>-0.15</c:v>
                </c:pt>
                <c:pt idx="15">
                  <c:v>-0.15</c:v>
                </c:pt>
                <c:pt idx="16">
                  <c:v>-0.15</c:v>
                </c:pt>
                <c:pt idx="17">
                  <c:v>-0.15</c:v>
                </c:pt>
                <c:pt idx="18">
                  <c:v>-0.15</c:v>
                </c:pt>
                <c:pt idx="19">
                  <c:v>-0.15</c:v>
                </c:pt>
                <c:pt idx="20">
                  <c:v>-0.15</c:v>
                </c:pt>
                <c:pt idx="21">
                  <c:v>-0.15</c:v>
                </c:pt>
                <c:pt idx="22">
                  <c:v>-0.15</c:v>
                </c:pt>
                <c:pt idx="23">
                  <c:v>-0.15</c:v>
                </c:pt>
                <c:pt idx="24">
                  <c:v>-0.15</c:v>
                </c:pt>
                <c:pt idx="25">
                  <c:v>-0.15</c:v>
                </c:pt>
                <c:pt idx="26">
                  <c:v>-0.15</c:v>
                </c:pt>
                <c:pt idx="27">
                  <c:v>-0.15</c:v>
                </c:pt>
                <c:pt idx="28">
                  <c:v>-0.15</c:v>
                </c:pt>
                <c:pt idx="29">
                  <c:v>-0.15</c:v>
                </c:pt>
                <c:pt idx="30">
                  <c:v>-0.15</c:v>
                </c:pt>
                <c:pt idx="31">
                  <c:v>-0.15</c:v>
                </c:pt>
                <c:pt idx="32">
                  <c:v>-0.15</c:v>
                </c:pt>
                <c:pt idx="33">
                  <c:v>-0.15</c:v>
                </c:pt>
                <c:pt idx="34">
                  <c:v>-0.15</c:v>
                </c:pt>
                <c:pt idx="35">
                  <c:v>-0.15</c:v>
                </c:pt>
                <c:pt idx="36">
                  <c:v>-0.15</c:v>
                </c:pt>
                <c:pt idx="37">
                  <c:v>3.11115822610816E-2</c:v>
                </c:pt>
                <c:pt idx="38">
                  <c:v>0.37417765013161242</c:v>
                </c:pt>
                <c:pt idx="39">
                  <c:v>0.59146755432550291</c:v>
                </c:pt>
                <c:pt idx="40">
                  <c:v>0.75824125363119277</c:v>
                </c:pt>
                <c:pt idx="41">
                  <c:v>0.89556994152561697</c:v>
                </c:pt>
                <c:pt idx="42">
                  <c:v>1.0281571810333703</c:v>
                </c:pt>
                <c:pt idx="43">
                  <c:v>1.1470146890222304</c:v>
                </c:pt>
                <c:pt idx="44">
                  <c:v>1.2682223341186671</c:v>
                </c:pt>
                <c:pt idx="45">
                  <c:v>1.396835057037253</c:v>
                </c:pt>
                <c:pt idx="46">
                  <c:v>1.5251847407761319</c:v>
                </c:pt>
                <c:pt idx="47">
                  <c:v>1.6727775318828919</c:v>
                </c:pt>
                <c:pt idx="48">
                  <c:v>1.8809495772864389</c:v>
                </c:pt>
                <c:pt idx="49">
                  <c:v>2.23424047022286</c:v>
                </c:pt>
              </c:numCache>
            </c:numRef>
          </c:xVal>
          <c:yVal>
            <c:numRef>
              <c:f>'Результаты'!$B$68:$B$117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597-4350-B274-AE1BB84BF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Прибыль (млн долл.)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'Результаты'!$B$121:$B$126</c:f>
              <c:strCache>
                <c:ptCount val="6"/>
                <c:pt idx="0">
                  <c:v>Наш коэффициент стоимости</c:v>
                </c:pt>
                <c:pt idx="1">
                  <c:v>Коэффициент цены конкурента 2</c:v>
                </c:pt>
                <c:pt idx="2">
                  <c:v>Коэффициент цены конкурента 4</c:v>
                </c:pt>
                <c:pt idx="3">
                  <c:v>Коэффициент цены конкурента 1</c:v>
                </c:pt>
                <c:pt idx="4">
                  <c:v>Коэффициент цены конкурента 3</c:v>
                </c:pt>
                <c:pt idx="5">
                  <c:v>Рыночный коэффициент</c:v>
                </c:pt>
              </c:strCache>
            </c:strRef>
          </c:cat>
          <c:val>
            <c:numRef>
              <c:f>'Результаты'!$F$121:$F$126</c:f>
              <c:numCache>
                <c:formatCode>#,##0.00_);\(#,##0.00\);"–"_)</c:formatCode>
                <c:ptCount val="6"/>
                <c:pt idx="0">
                  <c:v>0.21609771539357653</c:v>
                </c:pt>
                <c:pt idx="1">
                  <c:v>0.1217808962600655</c:v>
                </c:pt>
                <c:pt idx="2">
                  <c:v>0.12472897923771303</c:v>
                </c:pt>
                <c:pt idx="3">
                  <c:v>0.10559177624007554</c:v>
                </c:pt>
                <c:pt idx="4">
                  <c:v>0.10508100485607613</c:v>
                </c:pt>
                <c:pt idx="5">
                  <c:v>6.9754417340122388E-2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0A-4677-BEB1-B5AE8DF7F6A0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'Результаты'!$B$121:$B$126</c:f>
              <c:strCache>
                <c:ptCount val="6"/>
                <c:pt idx="0">
                  <c:v>Наш коэффициент стоимости</c:v>
                </c:pt>
                <c:pt idx="1">
                  <c:v>Коэффициент цены конкурента 2</c:v>
                </c:pt>
                <c:pt idx="2">
                  <c:v>Коэффициент цены конкурента 4</c:v>
                </c:pt>
                <c:pt idx="3">
                  <c:v>Коэффициент цены конкурента 1</c:v>
                </c:pt>
                <c:pt idx="4">
                  <c:v>Коэффициент цены конкурента 3</c:v>
                </c:pt>
                <c:pt idx="5">
                  <c:v>Рыночный коэффициент</c:v>
                </c:pt>
              </c:strCache>
            </c:strRef>
          </c:cat>
          <c:val>
            <c:numRef>
              <c:f>'Результаты'!$G$121:$G$126</c:f>
              <c:numCache>
                <c:formatCode>#,##0.00_);\(#,##0.00\);"–"_)</c:formatCode>
                <c:ptCount val="6"/>
                <c:pt idx="0">
                  <c:v>-0.37215071455526011</c:v>
                </c:pt>
                <c:pt idx="1">
                  <c:v>-0.35012575443172789</c:v>
                </c:pt>
                <c:pt idx="2">
                  <c:v>-0.33508836005665754</c:v>
                </c:pt>
                <c:pt idx="3">
                  <c:v>-0.33692944002264991</c:v>
                </c:pt>
                <c:pt idx="4">
                  <c:v>-0.32931189785771764</c:v>
                </c:pt>
                <c:pt idx="5">
                  <c:v>-0.12361245722528127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0A-4677-BEB1-B5AE8DF7F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5976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28</xdr:row>
      <xdr:rowOff>0</xdr:rowOff>
    </xdr:from>
    <xdr:ext cx="6263999" cy="2664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0</xdr:colOff>
      <xdr:row>44</xdr:row>
      <xdr:rowOff>0</xdr:rowOff>
    </xdr:from>
    <xdr:ext cx="6263999" cy="216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2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39.4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71" t="s">
        <v>20</v>
      </c>
      <c r="C16" s="70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ht="12" customHeight="1" x14ac:dyDescent="0.45"/>
    <row r="62" spans="2:3" ht="22.05" customHeight="1" x14ac:dyDescent="0.5">
      <c r="B62" s="7" t="s">
        <v>74</v>
      </c>
      <c r="C62" s="8"/>
    </row>
    <row r="63" spans="2:3" x14ac:dyDescent="0.45">
      <c r="B63" s="20" t="s">
        <v>75</v>
      </c>
      <c r="C63" s="10" t="s">
        <v>76</v>
      </c>
    </row>
    <row r="64" spans="2:3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x14ac:dyDescent="0.45">
      <c r="B66" s="20" t="s">
        <v>81</v>
      </c>
      <c r="C66" s="10" t="s">
        <v>82</v>
      </c>
    </row>
    <row r="67" spans="2:3" ht="12" customHeight="1" x14ac:dyDescent="0.45"/>
    <row r="68" spans="2:3" ht="22.05" customHeight="1" x14ac:dyDescent="0.5">
      <c r="B68" s="7" t="s">
        <v>83</v>
      </c>
      <c r="C68" s="8"/>
    </row>
    <row r="69" spans="2:3" x14ac:dyDescent="0.45">
      <c r="B69" s="9" t="s">
        <v>84</v>
      </c>
      <c r="C69" s="10" t="s">
        <v>85</v>
      </c>
    </row>
    <row r="70" spans="2:3" x14ac:dyDescent="0.45">
      <c r="B70" s="9" t="s">
        <v>63</v>
      </c>
      <c r="C70" s="10" t="s">
        <v>86</v>
      </c>
    </row>
    <row r="71" spans="2:3" ht="16.05" customHeight="1" x14ac:dyDescent="0.45"/>
    <row r="72" spans="2:3" x14ac:dyDescent="0.45">
      <c r="B72" s="69" t="s">
        <v>87</v>
      </c>
      <c r="C72" s="70"/>
    </row>
  </sheetData>
  <mergeCells count="2">
    <mergeCell ref="B72:C72"/>
    <mergeCell ref="B16:C1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Заявки'!A1" display="Заявки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26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88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89</v>
      </c>
      <c r="C4" s="5"/>
      <c r="D4" s="5"/>
      <c r="E4" s="5"/>
      <c r="F4" s="5"/>
      <c r="G4" s="5"/>
      <c r="H4" s="5"/>
      <c r="I4" s="5"/>
      <c r="J4" s="6" t="s">
        <v>90</v>
      </c>
    </row>
    <row r="5" spans="1:10" ht="8" customHeight="1" x14ac:dyDescent="0.45"/>
    <row r="6" spans="1:10" ht="30" customHeight="1" x14ac:dyDescent="0.45">
      <c r="B6" s="72" t="s">
        <v>91</v>
      </c>
      <c r="C6" s="70"/>
      <c r="D6" s="70"/>
      <c r="E6" s="70"/>
      <c r="F6" s="70"/>
      <c r="G6" s="70"/>
      <c r="H6" s="70"/>
      <c r="I6" s="70"/>
      <c r="J6" s="70"/>
    </row>
    <row r="7" spans="1:10" ht="6" customHeight="1" x14ac:dyDescent="0.45"/>
    <row r="8" spans="1:10" ht="22.05" customHeight="1" x14ac:dyDescent="0.5">
      <c r="B8" s="7" t="s">
        <v>92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93</v>
      </c>
    </row>
    <row r="10" spans="1:10" ht="18" customHeight="1" x14ac:dyDescent="0.45">
      <c r="B10" s="23" t="s">
        <v>94</v>
      </c>
      <c r="C10" s="23" t="s">
        <v>95</v>
      </c>
      <c r="D10" s="24" t="s">
        <v>96</v>
      </c>
      <c r="E10" s="23" t="s">
        <v>97</v>
      </c>
      <c r="F10" s="24" t="s">
        <v>98</v>
      </c>
      <c r="G10" s="24" t="s">
        <v>99</v>
      </c>
      <c r="H10" s="24" t="s">
        <v>100</v>
      </c>
      <c r="I10" s="24" t="s">
        <v>101</v>
      </c>
      <c r="J10" s="23" t="s">
        <v>102</v>
      </c>
    </row>
    <row r="11" spans="1:10" x14ac:dyDescent="0.45">
      <c r="B11" s="25" t="s">
        <v>103</v>
      </c>
      <c r="C11" s="26" t="s">
        <v>104</v>
      </c>
      <c r="D11" s="27">
        <v>20</v>
      </c>
      <c r="E11" s="26" t="s">
        <v>105</v>
      </c>
      <c r="F11" s="28"/>
      <c r="G11" s="28"/>
      <c r="H11" s="28"/>
      <c r="I11" s="28"/>
      <c r="J11" s="29" t="s">
        <v>106</v>
      </c>
    </row>
    <row r="12" spans="1:10" x14ac:dyDescent="0.45">
      <c r="B12" s="25" t="s">
        <v>107</v>
      </c>
      <c r="C12" s="26" t="s">
        <v>108</v>
      </c>
      <c r="D12" s="30" cm="1">
        <f t="array" aca="1" ref="D12" ca="1">_xll.VoseInput("Наш коэффициент стоимости","×")+_xll.VosePERT(F12,G12,H12)</f>
        <v>1.0029717980348347</v>
      </c>
      <c r="E12" s="26" t="s">
        <v>109</v>
      </c>
      <c r="F12" s="31">
        <v>0.93</v>
      </c>
      <c r="G12" s="31">
        <v>1</v>
      </c>
      <c r="H12" s="31">
        <v>1.1200000000000001</v>
      </c>
      <c r="I12" s="32" cm="1">
        <f t="array" ref="I12">IF(AND(F12&lt;=G12,G12&lt;=H12,F12&lt;H12),_xll.VoseMean(_xll.VosePERTObject(F12,G12,H12)),"✗ диапазон")</f>
        <v>1.0083333333333333</v>
      </c>
      <c r="J12" s="29" t="s">
        <v>110</v>
      </c>
    </row>
    <row r="13" spans="1:10" ht="23.25" x14ac:dyDescent="0.45">
      <c r="B13" s="25" t="s">
        <v>111</v>
      </c>
      <c r="C13" s="26" t="s">
        <v>108</v>
      </c>
      <c r="D13" s="30" cm="1">
        <f t="array" aca="1" ref="D13" ca="1">_xll.VoseInput("Рыночный коэффициент","×")+_xll.VosePERT(F13,G13,H13)</f>
        <v>1.0165506917217</v>
      </c>
      <c r="E13" s="26" t="s">
        <v>109</v>
      </c>
      <c r="F13" s="31">
        <v>0.95</v>
      </c>
      <c r="G13" s="31">
        <v>1</v>
      </c>
      <c r="H13" s="31">
        <v>1.07</v>
      </c>
      <c r="I13" s="32" cm="1">
        <f t="array" ref="I13">IF(AND(F13&lt;=G13,G13&lt;=H13,F13&lt;H13),_xll.VoseMean(_xll.VosePERTObject(F13,G13,H13)),"✗ диапазон")</f>
        <v>1.0033333333333334</v>
      </c>
      <c r="J13" s="29" t="s">
        <v>112</v>
      </c>
    </row>
    <row r="14" spans="1:10" x14ac:dyDescent="0.45">
      <c r="B14" s="25" t="s">
        <v>113</v>
      </c>
      <c r="C14" s="26" t="s">
        <v>104</v>
      </c>
      <c r="D14" s="27">
        <v>0.15</v>
      </c>
      <c r="E14" s="26" t="s">
        <v>105</v>
      </c>
      <c r="F14" s="28"/>
      <c r="G14" s="28"/>
      <c r="H14" s="28"/>
      <c r="I14" s="28"/>
      <c r="J14" s="29" t="s">
        <v>114</v>
      </c>
    </row>
    <row r="15" spans="1:10" ht="8" customHeight="1" x14ac:dyDescent="0.45"/>
    <row r="16" spans="1:10" ht="22.05" customHeight="1" x14ac:dyDescent="0.5">
      <c r="B16" s="7" t="s">
        <v>115</v>
      </c>
      <c r="C16" s="8"/>
      <c r="D16" s="8"/>
      <c r="E16" s="8"/>
      <c r="F16" s="8"/>
      <c r="G16" s="8"/>
      <c r="H16" s="8"/>
      <c r="I16" s="8"/>
      <c r="J16" s="8"/>
    </row>
    <row r="17" spans="2:10" ht="18" customHeight="1" x14ac:dyDescent="0.45">
      <c r="B17" s="13" t="s">
        <v>116</v>
      </c>
    </row>
    <row r="18" spans="2:10" ht="18" customHeight="1" x14ac:dyDescent="0.45">
      <c r="B18" s="23" t="s">
        <v>94</v>
      </c>
      <c r="C18" s="23" t="s">
        <v>95</v>
      </c>
      <c r="D18" s="24" t="s">
        <v>96</v>
      </c>
      <c r="E18" s="23" t="s">
        <v>97</v>
      </c>
      <c r="F18" s="5"/>
      <c r="G18" s="5"/>
      <c r="H18" s="5"/>
      <c r="I18" s="5"/>
      <c r="J18" s="23" t="s">
        <v>102</v>
      </c>
    </row>
    <row r="19" spans="2:10" x14ac:dyDescent="0.45">
      <c r="B19" s="25" t="s">
        <v>117</v>
      </c>
      <c r="C19" s="26" t="s">
        <v>118</v>
      </c>
      <c r="D19" s="31">
        <v>1</v>
      </c>
      <c r="E19" s="26" t="s">
        <v>105</v>
      </c>
      <c r="F19" s="28"/>
      <c r="G19" s="28"/>
      <c r="H19" s="28"/>
      <c r="I19" s="28"/>
      <c r="J19" s="29" t="s">
        <v>119</v>
      </c>
    </row>
    <row r="20" spans="2:10" x14ac:dyDescent="0.45">
      <c r="B20" s="25" t="s">
        <v>120</v>
      </c>
      <c r="C20" s="26" t="s">
        <v>118</v>
      </c>
      <c r="D20" s="31">
        <v>1.1200000000000001</v>
      </c>
      <c r="E20" s="26" t="s">
        <v>105</v>
      </c>
      <c r="F20" s="28"/>
      <c r="G20" s="28"/>
      <c r="H20" s="28"/>
      <c r="I20" s="28"/>
      <c r="J20" s="29" t="s">
        <v>121</v>
      </c>
    </row>
    <row r="21" spans="2:10" x14ac:dyDescent="0.45">
      <c r="B21" s="25" t="s">
        <v>122</v>
      </c>
      <c r="C21" s="26" t="s">
        <v>118</v>
      </c>
      <c r="D21" s="31">
        <v>1.28</v>
      </c>
      <c r="E21" s="26" t="s">
        <v>105</v>
      </c>
      <c r="F21" s="28"/>
      <c r="G21" s="28"/>
      <c r="H21" s="28"/>
      <c r="I21" s="28"/>
      <c r="J21" s="29" t="s">
        <v>123</v>
      </c>
    </row>
    <row r="22" spans="2:10" ht="8" customHeight="1" x14ac:dyDescent="0.45"/>
    <row r="23" spans="2:10" ht="22.05" customHeight="1" x14ac:dyDescent="0.5">
      <c r="B23" s="7" t="s">
        <v>124</v>
      </c>
      <c r="C23" s="8"/>
      <c r="D23" s="8"/>
      <c r="E23" s="8"/>
      <c r="F23" s="8"/>
      <c r="G23" s="8"/>
      <c r="H23" s="8"/>
      <c r="I23" s="8"/>
      <c r="J23" s="8"/>
    </row>
    <row r="24" spans="2:10" ht="18" customHeight="1" x14ac:dyDescent="0.45">
      <c r="B24" s="23" t="s">
        <v>94</v>
      </c>
      <c r="C24" s="23" t="s">
        <v>95</v>
      </c>
      <c r="D24" s="24" t="s">
        <v>96</v>
      </c>
      <c r="E24" s="23" t="s">
        <v>97</v>
      </c>
      <c r="F24" s="5"/>
      <c r="G24" s="5"/>
      <c r="H24" s="5"/>
      <c r="I24" s="5"/>
      <c r="J24" s="23" t="s">
        <v>102</v>
      </c>
    </row>
    <row r="25" spans="2:10" ht="23.25" x14ac:dyDescent="0.45">
      <c r="B25" s="25" t="s">
        <v>125</v>
      </c>
      <c r="C25" s="26" t="s">
        <v>126</v>
      </c>
      <c r="D25" s="33">
        <v>0.08</v>
      </c>
      <c r="E25" s="26" t="s">
        <v>105</v>
      </c>
      <c r="F25" s="28"/>
      <c r="G25" s="28"/>
      <c r="H25" s="28"/>
      <c r="I25" s="28"/>
      <c r="J25" s="29" t="s">
        <v>127</v>
      </c>
    </row>
    <row r="26" spans="2:10" ht="8" customHeight="1" x14ac:dyDescent="0.45"/>
  </sheetData>
  <mergeCells count="1">
    <mergeCell ref="B6:J6"/>
  </mergeCells>
  <conditionalFormatting sqref="I12:I13">
    <cfRule type="expression" dxfId="6" priority="1">
      <formula>LEFT($I12,1)="✗"</formula>
    </cfRule>
  </conditionalFormatting>
  <dataValidations count="4">
    <dataValidation type="decimal" operator="greaterThan" showErrorMessage="1" errorTitle="Положительное значение" error="Введите значение больше нуля." sqref="D11 D19:D21" xr:uid="{00000000-0002-0000-0100-000000000000}">
      <formula1>0</formula1>
    </dataValidation>
    <dataValidation type="custom" showErrorMessage="1" errorTitle="Диапазон PERT" error="Мин. должно быть меньше макс., наиболее вероятное — между ними." sqref="F12:H13" xr:uid="{00000000-0002-0000-0100-000001000000}">
      <formula1>AND($F12&lt;=$G12,$G12&lt;=$H12,$F12&lt;$H12)</formula1>
    </dataValidation>
    <dataValidation type="decimal" showErrorMessage="1" errorTitle="Значение" error="Введите значение не меньше нуля." sqref="D14" xr:uid="{00000000-0002-0000-0100-000003000000}">
      <formula1>0</formula1>
      <formula2>1000000000000</formula2>
    </dataValidation>
    <dataValidation type="decimal" showErrorMessage="1" errorTitle="Вероятность" error="Введите значение от 0% до 100%." sqref="D25" xr:uid="{00000000-0002-0000-0100-000007000000}">
      <formula1>0</formula1>
      <formula2>1</formula2>
    </dataValidation>
  </dataValidations>
  <hyperlinks>
    <hyperlink ref="B4" location="'Описание'!A1" display="◂  Описание" xr:uid="{00000000-0004-0000-0100-000000000000}"/>
    <hyperlink ref="J4" location="'Заявки'!A1" display="Далее:  Заявки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I41"/>
  <sheetViews>
    <sheetView showGridLines="0" workbookViewId="0"/>
  </sheetViews>
  <sheetFormatPr defaultRowHeight="14.25" x14ac:dyDescent="0.45"/>
  <cols>
    <col min="1" max="1" width="2" customWidth="1"/>
    <col min="2" max="2" width="40" customWidth="1"/>
    <col min="3" max="7" width="12" customWidth="1"/>
    <col min="8" max="8" width="2" customWidth="1"/>
    <col min="9" max="9" width="52" customWidth="1"/>
  </cols>
  <sheetData>
    <row r="1" spans="1:9" ht="6" customHeight="1" x14ac:dyDescent="0.45"/>
    <row r="2" spans="1:9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3" t="s">
        <v>1</v>
      </c>
    </row>
    <row r="3" spans="1:9" ht="20" customHeight="1" x14ac:dyDescent="0.45">
      <c r="A3" s="1"/>
      <c r="B3" s="4" t="s">
        <v>128</v>
      </c>
      <c r="C3" s="1"/>
      <c r="D3" s="1"/>
      <c r="E3" s="1"/>
      <c r="F3" s="1"/>
      <c r="G3" s="1"/>
      <c r="H3" s="1"/>
      <c r="I3" s="1"/>
    </row>
    <row r="4" spans="1:9" ht="20" customHeight="1" x14ac:dyDescent="0.45">
      <c r="A4" s="5"/>
      <c r="B4" s="22" t="s">
        <v>129</v>
      </c>
      <c r="C4" s="5"/>
      <c r="D4" s="5"/>
      <c r="E4" s="5"/>
      <c r="F4" s="5"/>
      <c r="G4" s="5"/>
      <c r="H4" s="5"/>
      <c r="I4" s="6" t="s">
        <v>130</v>
      </c>
    </row>
    <row r="5" spans="1:9" ht="8" customHeight="1" x14ac:dyDescent="0.45"/>
    <row r="6" spans="1:9" ht="22.05" customHeight="1" x14ac:dyDescent="0.5">
      <c r="B6" s="7" t="s">
        <v>131</v>
      </c>
      <c r="C6" s="8"/>
      <c r="D6" s="8"/>
      <c r="E6" s="8"/>
      <c r="F6" s="8"/>
      <c r="G6" s="8"/>
      <c r="H6" s="8"/>
      <c r="I6" s="8"/>
    </row>
    <row r="7" spans="1:9" ht="18" customHeight="1" x14ac:dyDescent="0.45">
      <c r="B7" s="13" t="s">
        <v>132</v>
      </c>
    </row>
    <row r="8" spans="1:9" ht="18" customHeight="1" x14ac:dyDescent="0.45">
      <c r="B8" s="34" t="s">
        <v>133</v>
      </c>
      <c r="C8" s="34" t="s">
        <v>95</v>
      </c>
      <c r="D8" s="35" t="s">
        <v>134</v>
      </c>
      <c r="E8" s="5"/>
      <c r="F8" s="5"/>
      <c r="G8" s="5"/>
      <c r="H8" s="5"/>
      <c r="I8" s="34" t="s">
        <v>135</v>
      </c>
    </row>
    <row r="9" spans="1:9" x14ac:dyDescent="0.45">
      <c r="B9" s="25" t="s">
        <v>136</v>
      </c>
      <c r="C9" s="26" t="s">
        <v>104</v>
      </c>
      <c r="D9" s="36">
        <f ca="1">BaseEstimate*CostFactor*Market</f>
        <v>20.391433501393369</v>
      </c>
      <c r="E9" s="28"/>
      <c r="F9" s="28"/>
      <c r="G9" s="28"/>
      <c r="H9" s="28"/>
      <c r="I9" s="26" t="s">
        <v>137</v>
      </c>
    </row>
    <row r="10" spans="1:9" x14ac:dyDescent="0.45">
      <c r="B10" s="25" t="s">
        <v>138</v>
      </c>
      <c r="C10" s="26" t="s">
        <v>108</v>
      </c>
      <c r="D10" s="37" cm="1">
        <f t="array" aca="1" ref="D10" ca="1">_xll.VoseInput("Коэффициент цены конкурента 1","x")+_xll.VosePERT(Ratio_Lo,Ratio_ML,Ratio_Hi)</f>
        <v>1.0846793514906599</v>
      </c>
      <c r="E10" s="28"/>
      <c r="F10" s="28"/>
      <c r="G10" s="28"/>
      <c r="H10" s="28"/>
      <c r="I10" s="26" t="s">
        <v>139</v>
      </c>
    </row>
    <row r="11" spans="1:9" x14ac:dyDescent="0.45">
      <c r="B11" s="25" t="s">
        <v>140</v>
      </c>
      <c r="C11" s="26" t="s">
        <v>104</v>
      </c>
      <c r="D11" s="36">
        <f ca="1">OurCost*Ratio1</f>
        <v>22.118166866256274</v>
      </c>
      <c r="E11" s="28"/>
      <c r="F11" s="28"/>
      <c r="G11" s="28"/>
      <c r="H11" s="28"/>
      <c r="I11" s="26" t="s">
        <v>141</v>
      </c>
    </row>
    <row r="12" spans="1:9" x14ac:dyDescent="0.45">
      <c r="B12" s="25" t="s">
        <v>142</v>
      </c>
      <c r="C12" s="26" t="s">
        <v>108</v>
      </c>
      <c r="D12" s="37" cm="1">
        <f t="array" aca="1" ref="D12" ca="1">_xll.VoseInput("Коэффициент цены конкурента 2","x")+_xll.VosePERT(Ratio_Lo,Ratio_ML,Ratio_Hi)</f>
        <v>1.0542832268342024</v>
      </c>
      <c r="E12" s="28"/>
      <c r="F12" s="28"/>
      <c r="G12" s="28"/>
      <c r="H12" s="28"/>
      <c r="I12" s="28"/>
    </row>
    <row r="13" spans="1:9" x14ac:dyDescent="0.45">
      <c r="B13" s="25" t="s">
        <v>143</v>
      </c>
      <c r="C13" s="26" t="s">
        <v>104</v>
      </c>
      <c r="D13" s="36">
        <f ca="1">OurCost*Ratio2</f>
        <v>21.498346311624058</v>
      </c>
      <c r="E13" s="28"/>
      <c r="F13" s="28"/>
      <c r="G13" s="28"/>
      <c r="H13" s="28"/>
      <c r="I13" s="28"/>
    </row>
    <row r="14" spans="1:9" x14ac:dyDescent="0.45">
      <c r="B14" s="25" t="s">
        <v>144</v>
      </c>
      <c r="C14" s="26" t="s">
        <v>108</v>
      </c>
      <c r="D14" s="37" cm="1">
        <f t="array" aca="1" ref="D14" ca="1">_xll.VoseInput("Коэффициент цены конкурента 3","x")+_xll.VosePERT(Ratio_Lo,Ratio_ML,Ratio_Hi)</f>
        <v>1.1055005347865468</v>
      </c>
      <c r="E14" s="28"/>
      <c r="F14" s="28"/>
      <c r="G14" s="28"/>
      <c r="H14" s="28"/>
      <c r="I14" s="28"/>
    </row>
    <row r="15" spans="1:9" x14ac:dyDescent="0.45">
      <c r="B15" s="25" t="s">
        <v>145</v>
      </c>
      <c r="C15" s="26" t="s">
        <v>104</v>
      </c>
      <c r="D15" s="36">
        <f ca="1">OurCost*Ratio3</f>
        <v>22.542740640854674</v>
      </c>
      <c r="E15" s="28"/>
      <c r="F15" s="28"/>
      <c r="G15" s="28"/>
      <c r="H15" s="28"/>
      <c r="I15" s="28"/>
    </row>
    <row r="16" spans="1:9" x14ac:dyDescent="0.45">
      <c r="B16" s="25" t="s">
        <v>146</v>
      </c>
      <c r="C16" s="26" t="s">
        <v>108</v>
      </c>
      <c r="D16" s="37" cm="1">
        <f t="array" aca="1" ref="D16" ca="1">_xll.VoseInput("Коэффициент цены конкурента 4","x")+_xll.VosePERT(Ratio_Lo,Ratio_ML,Ratio_Hi)</f>
        <v>1.0936789673643756</v>
      </c>
      <c r="E16" s="28"/>
      <c r="F16" s="28"/>
      <c r="G16" s="28"/>
      <c r="H16" s="28"/>
      <c r="I16" s="28"/>
    </row>
    <row r="17" spans="2:9" x14ac:dyDescent="0.45">
      <c r="B17" s="25" t="s">
        <v>147</v>
      </c>
      <c r="C17" s="26" t="s">
        <v>104</v>
      </c>
      <c r="D17" s="36">
        <f ca="1">OurCost*Ratio4</f>
        <v>22.301681934883234</v>
      </c>
      <c r="E17" s="28"/>
      <c r="F17" s="28"/>
      <c r="G17" s="28"/>
      <c r="H17" s="28"/>
      <c r="I17" s="28"/>
    </row>
    <row r="18" spans="2:9" x14ac:dyDescent="0.45">
      <c r="B18" s="38" t="s">
        <v>148</v>
      </c>
      <c r="C18" s="26" t="s">
        <v>104</v>
      </c>
      <c r="D18" s="36">
        <f ca="1">MIN(Comp1,Comp2,Comp3,Comp4)</f>
        <v>21.498346311624058</v>
      </c>
      <c r="E18" s="28"/>
      <c r="F18" s="28"/>
      <c r="G18" s="28"/>
      <c r="H18" s="28"/>
      <c r="I18" s="26" t="s">
        <v>149</v>
      </c>
    </row>
    <row r="19" spans="2:9" ht="8" customHeight="1" x14ac:dyDescent="0.45"/>
    <row r="20" spans="2:9" ht="22.05" customHeight="1" x14ac:dyDescent="0.5">
      <c r="B20" s="7" t="s">
        <v>150</v>
      </c>
      <c r="C20" s="8"/>
      <c r="D20" s="8"/>
      <c r="E20" s="8"/>
      <c r="F20" s="8"/>
      <c r="G20" s="8"/>
      <c r="H20" s="8"/>
      <c r="I20" s="8"/>
    </row>
    <row r="21" spans="2:9" ht="18" customHeight="1" x14ac:dyDescent="0.45">
      <c r="B21" s="13" t="s">
        <v>151</v>
      </c>
    </row>
    <row r="22" spans="2:9" ht="18" customHeight="1" x14ac:dyDescent="0.45">
      <c r="B22" s="39" t="s">
        <v>59</v>
      </c>
      <c r="C22" s="40" t="s">
        <v>152</v>
      </c>
      <c r="D22" s="40" t="s">
        <v>153</v>
      </c>
      <c r="E22" s="40" t="s">
        <v>154</v>
      </c>
      <c r="F22" s="40" t="s">
        <v>155</v>
      </c>
      <c r="G22" s="40" t="s">
        <v>156</v>
      </c>
      <c r="H22" s="41"/>
      <c r="I22" s="39" t="s">
        <v>135</v>
      </c>
    </row>
    <row r="23" spans="2:9" x14ac:dyDescent="0.45">
      <c r="B23" s="42"/>
      <c r="C23" s="42" t="s">
        <v>104</v>
      </c>
      <c r="D23" s="42" t="s">
        <v>157</v>
      </c>
      <c r="E23" s="42" t="s">
        <v>104</v>
      </c>
      <c r="F23" s="42" t="s">
        <v>158</v>
      </c>
      <c r="G23" s="42" t="s">
        <v>159</v>
      </c>
      <c r="H23" s="42"/>
      <c r="I23" s="42"/>
    </row>
    <row r="24" spans="2:9" x14ac:dyDescent="0.45">
      <c r="B24" s="43">
        <v>0</v>
      </c>
      <c r="C24" s="36">
        <f t="shared" ref="C24:C34" si="0">BaseEstimate*(1+B24)</f>
        <v>20</v>
      </c>
      <c r="D24" s="44" cm="1">
        <f t="array" aca="1" ref="D24" ca="1">_xll.VoseOutput("Победа при 0%","1 = да")+IF(C24&lt;LowComp,1,0)</f>
        <v>1</v>
      </c>
      <c r="E24" s="45" cm="1">
        <f t="array" aca="1" ref="E24" ca="1">_xll.VoseOutput("Прибыль при 0%","млн долл.")+D24*(C24-OurCost)-BidCost</f>
        <v>-0.54143350139336877</v>
      </c>
      <c r="F24" s="44" cm="1">
        <f t="array" aca="1" ref="F24" ca="1">_xll.VoseOutput("Убыток по выигранному контракту при 0%","1 = да")+IF(AND(D24=1,C24&lt;OurCost),1,0)</f>
        <v>1</v>
      </c>
      <c r="G24" s="44" cm="1">
        <f t="array" aca="1" ref="G24" ca="1">_xll.VoseOutput("Затраты выше нашей цены при 0%","1 = да")+IF(C24&lt;OurCost,1,0)</f>
        <v>1</v>
      </c>
      <c r="H24" s="28"/>
      <c r="I24" s="26" t="s">
        <v>160</v>
      </c>
    </row>
    <row r="25" spans="2:9" x14ac:dyDescent="0.45">
      <c r="B25" s="43">
        <v>0.02</v>
      </c>
      <c r="C25" s="36">
        <f t="shared" si="0"/>
        <v>20.399999999999999</v>
      </c>
      <c r="D25" s="44" cm="1">
        <f t="array" aca="1" ref="D25" ca="1">_xll.VoseOutput("Победа при 2%","1 = да")+IF(C25&lt;LowComp,1,0)</f>
        <v>1</v>
      </c>
      <c r="E25" s="45" cm="1">
        <f t="array" aca="1" ref="E25" ca="1">_xll.VoseOutput("Прибыль при 2%","млн долл.")+D25*(C25-OurCost)-BidCost</f>
        <v>-0.14143350139337016</v>
      </c>
      <c r="F25" s="44" cm="1">
        <f t="array" aca="1" ref="F25" ca="1">_xll.VoseOutput("Убыток по выигранному контракту при 2%","1 = да")+IF(AND(D25=1,C25&lt;OurCost),1,0)</f>
        <v>0</v>
      </c>
      <c r="G25" s="44" cm="1">
        <f t="array" aca="1" ref="G25" ca="1">_xll.VoseOutput("Затраты выше нашей цены при 2%","1 = да")+IF(C25&lt;OurCost,1,0)</f>
        <v>0</v>
      </c>
      <c r="H25" s="28"/>
      <c r="I25" s="26" t="s">
        <v>161</v>
      </c>
    </row>
    <row r="26" spans="2:9" x14ac:dyDescent="0.45">
      <c r="B26" s="43">
        <v>0.04</v>
      </c>
      <c r="C26" s="36">
        <f t="shared" si="0"/>
        <v>20.8</v>
      </c>
      <c r="D26" s="44" cm="1">
        <f t="array" aca="1" ref="D26" ca="1">_xll.VoseOutput("Победа при 4%","1 = да")+IF(C26&lt;LowComp,1,0)</f>
        <v>1</v>
      </c>
      <c r="E26" s="45" cm="1">
        <f t="array" aca="1" ref="E26" ca="1">_xll.VoseOutput("Прибыль при 4%","млн долл.")+D26*(C26-OurCost)-BidCost</f>
        <v>0.25856649860663194</v>
      </c>
      <c r="F26" s="44" cm="1">
        <f t="array" aca="1" ref="F26" ca="1">_xll.VoseOutput("Убыток по выигранному контракту при 4%","1 = да")+IF(AND(D26=1,C26&lt;OurCost),1,0)</f>
        <v>0</v>
      </c>
      <c r="G26" s="44" cm="1">
        <f t="array" aca="1" ref="G26" ca="1">_xll.VoseOutput("Затраты выше нашей цены при 4%","1 = да")+IF(C26&lt;OurCost,1,0)</f>
        <v>0</v>
      </c>
      <c r="H26" s="28"/>
      <c r="I26" s="26" t="s">
        <v>162</v>
      </c>
    </row>
    <row r="27" spans="2:9" x14ac:dyDescent="0.45">
      <c r="B27" s="43">
        <v>0.06</v>
      </c>
      <c r="C27" s="36">
        <f t="shared" si="0"/>
        <v>21.200000000000003</v>
      </c>
      <c r="D27" s="44" cm="1">
        <f t="array" aca="1" ref="D27" ca="1">_xll.VoseOutput("Победа при 6%","1 = да")+IF(C27&lt;LowComp,1,0)</f>
        <v>1</v>
      </c>
      <c r="E27" s="45" cm="1">
        <f t="array" aca="1" ref="E27" ca="1">_xll.VoseOutput("Прибыль при 6%","млн долл.")+D27*(C27-OurCost)-BidCost</f>
        <v>0.65856649860663408</v>
      </c>
      <c r="F27" s="44" cm="1">
        <f t="array" aca="1" ref="F27" ca="1">_xll.VoseOutput("Убыток по выигранному контракту при 6%","1 = да")+IF(AND(D27=1,C27&lt;OurCost),1,0)</f>
        <v>0</v>
      </c>
      <c r="G27" s="44" cm="1">
        <f t="array" aca="1" ref="G27" ca="1">_xll.VoseOutput("Затраты выше нашей цены при 6%","1 = да")+IF(C27&lt;OurCost,1,0)</f>
        <v>0</v>
      </c>
      <c r="H27" s="28"/>
      <c r="I27" s="26" t="s">
        <v>163</v>
      </c>
    </row>
    <row r="28" spans="2:9" x14ac:dyDescent="0.45">
      <c r="B28" s="43">
        <v>0.08</v>
      </c>
      <c r="C28" s="36">
        <f t="shared" si="0"/>
        <v>21.6</v>
      </c>
      <c r="D28" s="44" cm="1">
        <f t="array" aca="1" ref="D28" ca="1">_xll.VoseOutput("Победа при 8%","1 = да")+IF(C28&lt;LowComp,1,0)</f>
        <v>0</v>
      </c>
      <c r="E28" s="45" cm="1">
        <f t="array" aca="1" ref="E28" ca="1">_xll.VoseOutput("Прибыль при 8%","млн долл.")+D28*(C28-OurCost)-BidCost</f>
        <v>-0.15</v>
      </c>
      <c r="F28" s="44" cm="1">
        <f t="array" aca="1" ref="F28" ca="1">_xll.VoseOutput("Убыток по выигранному контракту при 8%","1 = да")+IF(AND(D28=1,C28&lt;OurCost),1,0)</f>
        <v>0</v>
      </c>
      <c r="G28" s="44" cm="1">
        <f t="array" aca="1" ref="G28" ca="1">_xll.VoseOutput("Затраты выше нашей цены при 8%","1 = да")+IF(C28&lt;OurCost,1,0)</f>
        <v>0</v>
      </c>
      <c r="H28" s="28"/>
      <c r="I28" s="28"/>
    </row>
    <row r="29" spans="2:9" x14ac:dyDescent="0.45">
      <c r="B29" s="43">
        <v>0.1</v>
      </c>
      <c r="C29" s="36">
        <f t="shared" si="0"/>
        <v>22</v>
      </c>
      <c r="D29" s="44" cm="1">
        <f t="array" aca="1" ref="D29" ca="1">_xll.VoseOutput("Победа при 10%","1 = да")+IF(C29&lt;LowComp,1,0)</f>
        <v>0</v>
      </c>
      <c r="E29" s="45" cm="1">
        <f t="array" aca="1" ref="E29" ca="1">_xll.VoseOutput("Прибыль при 10%","млн долл.")+D29*(C29-OurCost)-BidCost</f>
        <v>-0.15</v>
      </c>
      <c r="F29" s="44" cm="1">
        <f t="array" aca="1" ref="F29" ca="1">_xll.VoseOutput("Убыток по выигранному контракту при 10%","1 = да")+IF(AND(D29=1,C29&lt;OurCost),1,0)</f>
        <v>0</v>
      </c>
      <c r="G29" s="44" cm="1">
        <f t="array" aca="1" ref="G29" ca="1">_xll.VoseOutput("Затраты выше нашей цены при 10%","1 = да")+IF(C29&lt;OurCost,1,0)</f>
        <v>0</v>
      </c>
      <c r="H29" s="28"/>
      <c r="I29" s="28"/>
    </row>
    <row r="30" spans="2:9" x14ac:dyDescent="0.45">
      <c r="B30" s="43">
        <v>0.12</v>
      </c>
      <c r="C30" s="36">
        <f t="shared" si="0"/>
        <v>22.400000000000002</v>
      </c>
      <c r="D30" s="44" cm="1">
        <f t="array" aca="1" ref="D30" ca="1">_xll.VoseOutput("Победа при 12%","1 = да")+IF(C30&lt;LowComp,1,0)</f>
        <v>0</v>
      </c>
      <c r="E30" s="45" cm="1">
        <f t="array" aca="1" ref="E30" ca="1">_xll.VoseOutput("Прибыль при 12%","млн долл.")+D30*(C30-OurCost)-BidCost</f>
        <v>-0.15</v>
      </c>
      <c r="F30" s="44" cm="1">
        <f t="array" aca="1" ref="F30" ca="1">_xll.VoseOutput("Убыток по выигранному контракту при 12%","1 = да")+IF(AND(D30=1,C30&lt;OurCost),1,0)</f>
        <v>0</v>
      </c>
      <c r="G30" s="44" cm="1">
        <f t="array" aca="1" ref="G30" ca="1">_xll.VoseOutput("Затраты выше нашей цены при 12%","1 = да")+IF(C30&lt;OurCost,1,0)</f>
        <v>0</v>
      </c>
      <c r="H30" s="28"/>
      <c r="I30" s="28"/>
    </row>
    <row r="31" spans="2:9" x14ac:dyDescent="0.45">
      <c r="B31" s="43">
        <v>0.14000000000000001</v>
      </c>
      <c r="C31" s="36">
        <f t="shared" si="0"/>
        <v>22.800000000000004</v>
      </c>
      <c r="D31" s="44" cm="1">
        <f t="array" aca="1" ref="D31" ca="1">_xll.VoseOutput("Победа при 14%","1 = да")+IF(C31&lt;LowComp,1,0)</f>
        <v>0</v>
      </c>
      <c r="E31" s="45" cm="1">
        <f t="array" aca="1" ref="E31" ca="1">_xll.VoseOutput("Прибыль при 14%","млн долл.")+D31*(C31-OurCost)-BidCost</f>
        <v>-0.15</v>
      </c>
      <c r="F31" s="44" cm="1">
        <f t="array" aca="1" ref="F31" ca="1">_xll.VoseOutput("Убыток по выигранному контракту при 14%","1 = да")+IF(AND(D31=1,C31&lt;OurCost),1,0)</f>
        <v>0</v>
      </c>
      <c r="G31" s="44" cm="1">
        <f t="array" aca="1" ref="G31" ca="1">_xll.VoseOutput("Затраты выше нашей цены при 14%","1 = да")+IF(C31&lt;OurCost,1,0)</f>
        <v>0</v>
      </c>
      <c r="H31" s="28"/>
      <c r="I31" s="28"/>
    </row>
    <row r="32" spans="2:9" x14ac:dyDescent="0.45">
      <c r="B32" s="43">
        <v>0.16</v>
      </c>
      <c r="C32" s="36">
        <f t="shared" si="0"/>
        <v>23.2</v>
      </c>
      <c r="D32" s="44" cm="1">
        <f t="array" aca="1" ref="D32" ca="1">_xll.VoseOutput("Победа при 16%","1 = да")+IF(C32&lt;LowComp,1,0)</f>
        <v>0</v>
      </c>
      <c r="E32" s="45" cm="1">
        <f t="array" aca="1" ref="E32" ca="1">_xll.VoseOutput("Прибыль при 16%","млн долл.")+D32*(C32-OurCost)-BidCost</f>
        <v>-0.15</v>
      </c>
      <c r="F32" s="44" cm="1">
        <f t="array" aca="1" ref="F32" ca="1">_xll.VoseOutput("Убыток по выигранному контракту при 16%","1 = да")+IF(AND(D32=1,C32&lt;OurCost),1,0)</f>
        <v>0</v>
      </c>
      <c r="G32" s="44" cm="1">
        <f t="array" aca="1" ref="G32" ca="1">_xll.VoseOutput("Затраты выше нашей цены при 16%","1 = да")+IF(C32&lt;OurCost,1,0)</f>
        <v>0</v>
      </c>
      <c r="H32" s="28"/>
      <c r="I32" s="28"/>
    </row>
    <row r="33" spans="2:9" x14ac:dyDescent="0.45">
      <c r="B33" s="43">
        <v>0.18</v>
      </c>
      <c r="C33" s="36">
        <f t="shared" si="0"/>
        <v>23.599999999999998</v>
      </c>
      <c r="D33" s="44" cm="1">
        <f t="array" aca="1" ref="D33" ca="1">_xll.VoseOutput("Победа при 18%","1 = да")+IF(C33&lt;LowComp,1,0)</f>
        <v>0</v>
      </c>
      <c r="E33" s="45" cm="1">
        <f t="array" aca="1" ref="E33" ca="1">_xll.VoseOutput("Прибыль при 18%","млн долл.")+D33*(C33-OurCost)-BidCost</f>
        <v>-0.15</v>
      </c>
      <c r="F33" s="44" cm="1">
        <f t="array" aca="1" ref="F33" ca="1">_xll.VoseOutput("Убыток по выигранному контракту при 18%","1 = да")+IF(AND(D33=1,C33&lt;OurCost),1,0)</f>
        <v>0</v>
      </c>
      <c r="G33" s="44" cm="1">
        <f t="array" aca="1" ref="G33" ca="1">_xll.VoseOutput("Затраты выше нашей цены при 18%","1 = да")+IF(C33&lt;OurCost,1,0)</f>
        <v>0</v>
      </c>
      <c r="H33" s="28"/>
      <c r="I33" s="28"/>
    </row>
    <row r="34" spans="2:9" x14ac:dyDescent="0.45">
      <c r="B34" s="43">
        <v>0.2</v>
      </c>
      <c r="C34" s="36">
        <f t="shared" si="0"/>
        <v>24</v>
      </c>
      <c r="D34" s="44" cm="1">
        <f t="array" aca="1" ref="D34" ca="1">_xll.VoseOutput("Победа при 20%","1 = да")+IF(C34&lt;LowComp,1,0)</f>
        <v>0</v>
      </c>
      <c r="E34" s="45" cm="1">
        <f t="array" aca="1" ref="E34" ca="1">_xll.VoseOutput("Прибыль при 20%","млн долл.")+D34*(C34-OurCost)-BidCost</f>
        <v>-0.15</v>
      </c>
      <c r="F34" s="44" cm="1">
        <f t="array" aca="1" ref="F34" ca="1">_xll.VoseOutput("Убыток по выигранному контракту при 20%","1 = да")+IF(AND(D34=1,C34&lt;OurCost),1,0)</f>
        <v>0</v>
      </c>
      <c r="G34" s="44" cm="1">
        <f t="array" aca="1" ref="G34" ca="1">_xll.VoseOutput("Затраты выше нашей цены при 20%","1 = да")+IF(C34&lt;OurCost,1,0)</f>
        <v>0</v>
      </c>
      <c r="H34" s="28"/>
      <c r="I34" s="28"/>
    </row>
    <row r="35" spans="2:9" x14ac:dyDescent="0.45">
      <c r="B35" s="38" t="s">
        <v>164</v>
      </c>
      <c r="C35" s="26" t="s">
        <v>104</v>
      </c>
      <c r="D35" s="28"/>
      <c r="E35" s="45" cm="1">
        <f t="array" aca="1" ref="E35" ca="1">_xll.VoseOutput("Прибыль при выбранной наценке","млн долл.")+INDEX(Profits,MATCH(DetailMarkup,Markups,0))</f>
        <v>-0.15</v>
      </c>
      <c r="F35" s="28"/>
      <c r="G35" s="28"/>
      <c r="H35" s="28"/>
      <c r="I35" s="26" t="s">
        <v>165</v>
      </c>
    </row>
    <row r="36" spans="2:9" ht="8" customHeight="1" x14ac:dyDescent="0.45"/>
    <row r="37" spans="2:9" ht="22.05" customHeight="1" x14ac:dyDescent="0.5">
      <c r="B37" s="7" t="s">
        <v>166</v>
      </c>
      <c r="C37" s="8"/>
      <c r="D37" s="8"/>
      <c r="E37" s="8"/>
      <c r="F37" s="8"/>
      <c r="G37" s="8"/>
      <c r="H37" s="8"/>
      <c r="I37" s="8"/>
    </row>
    <row r="38" spans="2:9" ht="18" customHeight="1" x14ac:dyDescent="0.45">
      <c r="B38" s="13" t="s">
        <v>167</v>
      </c>
    </row>
    <row r="39" spans="2:9" x14ac:dyDescent="0.45">
      <c r="B39" s="25" t="s">
        <v>168</v>
      </c>
      <c r="C39" s="28"/>
      <c r="D39" s="46" t="str">
        <f>IF(AND(Ratio_Lo&lt;=Ratio_ML,Ratio_ML&lt;=Ratio_Hi,Ratio_Lo&lt;Ratio_Hi),"ОК","ПРОВЕРИТЬ")</f>
        <v>ОК</v>
      </c>
      <c r="E39" s="28"/>
      <c r="F39" s="28"/>
      <c r="G39" s="28"/>
      <c r="H39" s="28"/>
      <c r="I39" s="28"/>
    </row>
    <row r="40" spans="2:9" x14ac:dyDescent="0.45">
      <c r="B40" s="25" t="s">
        <v>169</v>
      </c>
      <c r="C40" s="28"/>
      <c r="D40" s="46" t="str">
        <f>IF(COUNTIF(Markups,DetailMarkup)=1,"ОК","ПРОВЕРИТЬ")</f>
        <v>ОК</v>
      </c>
      <c r="E40" s="28"/>
      <c r="F40" s="28"/>
      <c r="G40" s="28"/>
      <c r="H40" s="28"/>
      <c r="I40" s="28"/>
    </row>
    <row r="41" spans="2:9" ht="14" customHeight="1" x14ac:dyDescent="0.45"/>
  </sheetData>
  <conditionalFormatting sqref="D39:D40">
    <cfRule type="expression" dxfId="5" priority="1">
      <formula>D39="CHECK"</formula>
    </cfRule>
  </conditionalFormatting>
  <hyperlinks>
    <hyperlink ref="B4" location="'Исходные данные'!A1" display="◂  Исходные данные" xr:uid="{00000000-0004-0000-0200-000000000000}"/>
    <hyperlink ref="I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84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26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47" t="str" cm="1">
        <f t="array" aca="1" ref="B6" ca="1">IF(ISNUMBER(_xll.VoseSimMean(Profit_4)),"✔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48"/>
      <c r="D6" s="48"/>
      <c r="E6" s="48"/>
      <c r="F6" s="48"/>
      <c r="G6" s="48"/>
    </row>
    <row r="7" spans="1:18" x14ac:dyDescent="0.45">
      <c r="B7" s="49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172</v>
      </c>
      <c r="C9" s="8"/>
      <c r="D9" s="8"/>
      <c r="E9" s="8"/>
      <c r="F9" s="8"/>
      <c r="G9" s="8"/>
      <c r="I9" s="50" t="s">
        <v>173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174</v>
      </c>
    </row>
    <row r="11" spans="1:18" ht="18" customHeight="1" x14ac:dyDescent="0.45">
      <c r="B11" s="51" t="s">
        <v>59</v>
      </c>
      <c r="C11" s="52" t="s">
        <v>175</v>
      </c>
      <c r="D11" s="52" t="s">
        <v>176</v>
      </c>
      <c r="E11" s="52" t="s">
        <v>177</v>
      </c>
      <c r="F11" s="52" t="s">
        <v>178</v>
      </c>
      <c r="G11" s="52" t="s">
        <v>156</v>
      </c>
    </row>
    <row r="12" spans="1:18" x14ac:dyDescent="0.45">
      <c r="B12" s="42"/>
      <c r="C12" s="42" t="s">
        <v>179</v>
      </c>
      <c r="D12" s="42" t="s">
        <v>180</v>
      </c>
      <c r="E12" s="42" t="s">
        <v>181</v>
      </c>
      <c r="F12" s="42" t="s">
        <v>182</v>
      </c>
      <c r="G12" s="42" t="s">
        <v>183</v>
      </c>
    </row>
    <row r="13" spans="1:18" x14ac:dyDescent="0.45">
      <c r="B13" s="53">
        <f>'Заявки'!B24</f>
        <v>0</v>
      </c>
      <c r="C13" s="54" cm="1">
        <f t="array" aca="1" ref="C13" ca="1">_xll.VoseSimMean(Win_0)</f>
        <v>0.94879999999999998</v>
      </c>
      <c r="D13" s="55" cm="1">
        <f t="array" aca="1" ref="D13" ca="1">_xll.VoseSimMean(Profit_0)</f>
        <v>-0.44167100296891793</v>
      </c>
      <c r="E13" s="56">
        <f t="shared" ref="E13:E23" ca="1" si="0">IF(AND(ISNUMBER(C13),C13&gt;0),(D13+BidCost)/C13,"–")</f>
        <v>-0.30741041628258631</v>
      </c>
      <c r="F13" s="54" cm="1">
        <f t="array" aca="1" ref="F13" ca="1">IF(AND(ISNUMBER(C13),C13&gt;0),_xll.VoseSimMean(LossWin_0)/C13,"–")</f>
        <v>0.62004637436762233</v>
      </c>
      <c r="G13" s="54" cm="1">
        <f t="array" aca="1" ref="G13" ca="1">_xll.VoseSimMean(Above_0)</f>
        <v>0.58830000000000005</v>
      </c>
    </row>
    <row r="14" spans="1:18" x14ac:dyDescent="0.45">
      <c r="B14" s="53">
        <f>'Заявки'!B25</f>
        <v>0.02</v>
      </c>
      <c r="C14" s="54" cm="1">
        <f t="array" aca="1" ref="C14" ca="1">_xll.VoseSimMean(Win_1)</f>
        <v>0.88490000000000002</v>
      </c>
      <c r="D14" s="55" cm="1">
        <f t="array" aca="1" ref="D14" ca="1">_xll.VoseSimMean(Profit_1)</f>
        <v>-0.13445594129505764</v>
      </c>
      <c r="E14" s="56">
        <f t="shared" ca="1" si="0"/>
        <v>1.7565892987843095E-2</v>
      </c>
      <c r="F14" s="54" cm="1">
        <f t="array" aca="1" ref="F14" ca="1">IF(AND(ISNUMBER(C14),C14&gt;0),_xll.VoseSimMean(LossWin_1)/C14,"–")</f>
        <v>0.46570233924737259</v>
      </c>
      <c r="G14" s="54" cm="1">
        <f t="array" aca="1" ref="G14" ca="1">_xll.VoseSimMean(Above_1)</f>
        <v>0.41210000000000002</v>
      </c>
    </row>
    <row r="15" spans="1:18" x14ac:dyDescent="0.45">
      <c r="B15" s="53">
        <f>'Заявки'!B26</f>
        <v>0.04</v>
      </c>
      <c r="C15" s="54" cm="1">
        <f t="array" aca="1" ref="C15" ca="1">_xll.VoseSimMean(Win_2)</f>
        <v>0.78080000000000005</v>
      </c>
      <c r="D15" s="55" cm="1">
        <f t="array" aca="1" ref="D15" ca="1">_xll.VoseSimMean(Profit_2)</f>
        <v>8.8614135179047857E-2</v>
      </c>
      <c r="E15" s="56">
        <f t="shared" ca="1" si="0"/>
        <v>0.30560211985021496</v>
      </c>
      <c r="F15" s="54" cm="1">
        <f t="array" aca="1" ref="F15" ca="1">IF(AND(ISNUMBER(C15),C15&gt;0),_xll.VoseSimMean(LossWin_2)/C15,"–")</f>
        <v>0.33273565573770486</v>
      </c>
      <c r="G15" s="54" cm="1">
        <f t="array" aca="1" ref="G15" ca="1">_xll.VoseSimMean(Above_2)</f>
        <v>0.25979999999999998</v>
      </c>
    </row>
    <row r="16" spans="1:18" x14ac:dyDescent="0.45">
      <c r="B16" s="53">
        <f>'Заявки'!B27</f>
        <v>0.06</v>
      </c>
      <c r="C16" s="54" cm="1">
        <f t="array" aca="1" ref="C16" ca="1">_xll.VoseSimMean(Win_3)</f>
        <v>0.65780000000000005</v>
      </c>
      <c r="D16" s="55" cm="1">
        <f t="array" aca="1" ref="D16" ca="1">_xll.VoseSimMean(Profit_3)</f>
        <v>0.22767072513218695</v>
      </c>
      <c r="E16" s="56">
        <f t="shared" ca="1" si="0"/>
        <v>0.57414217867465323</v>
      </c>
      <c r="F16" s="54" cm="1">
        <f t="array" aca="1" ref="F16" ca="1">IF(AND(ISNUMBER(C16),C16&gt;0),_xll.VoseSimMean(LossWin_3)/C16,"–")</f>
        <v>0.20735785953177255</v>
      </c>
      <c r="G16" s="54" cm="1">
        <f t="array" aca="1" ref="G16" ca="1">_xll.VoseSimMean(Above_3)</f>
        <v>0.13639999999999999</v>
      </c>
    </row>
    <row r="17" spans="2:18" x14ac:dyDescent="0.45">
      <c r="B17" s="53">
        <f>'Заявки'!B28</f>
        <v>0.08</v>
      </c>
      <c r="C17" s="54" cm="1">
        <f t="array" aca="1" ref="C17" ca="1">_xll.VoseSimMean(Win_4)</f>
        <v>0.51659999999999995</v>
      </c>
      <c r="D17" s="55" cm="1">
        <f t="array" aca="1" ref="D17" ca="1">_xll.VoseSimMean(Profit_4)</f>
        <v>0.27367692684578337</v>
      </c>
      <c r="E17" s="56">
        <f t="shared" ca="1" si="0"/>
        <v>0.82012568107972017</v>
      </c>
      <c r="F17" s="54" cm="1">
        <f t="array" aca="1" ref="F17" ca="1">IF(AND(ISNUMBER(C17),C17&gt;0),_xll.VoseSimMean(LossWin_4)/C17,"–")</f>
        <v>0.11827332559039877</v>
      </c>
      <c r="G17" s="54" cm="1">
        <f t="array" aca="1" ref="G17" ca="1">_xll.VoseSimMean(Above_4)</f>
        <v>6.1100000000000002E-2</v>
      </c>
    </row>
    <row r="18" spans="2:18" x14ac:dyDescent="0.45">
      <c r="B18" s="53">
        <f>'Заявки'!B29</f>
        <v>0.1</v>
      </c>
      <c r="C18" s="54" cm="1">
        <f t="array" aca="1" ref="C18" ca="1">_xll.VoseSimMean(Win_5)</f>
        <v>0.38469999999999999</v>
      </c>
      <c r="D18" s="55" cm="1">
        <f t="array" aca="1" ref="D18" ca="1">_xll.VoseSimMean(Profit_5)</f>
        <v>0.25698580195608889</v>
      </c>
      <c r="E18" s="56">
        <f t="shared" ca="1" si="0"/>
        <v>1.0579303404109408</v>
      </c>
      <c r="F18" s="54" cm="1">
        <f t="array" aca="1" ref="F18" ca="1">IF(AND(ISNUMBER(C18),C18&gt;0),_xll.VoseSimMean(LossWin_5)/C18,"–")</f>
        <v>5.4328047829477512E-2</v>
      </c>
      <c r="G18" s="54" cm="1">
        <f t="array" aca="1" ref="G18" ca="1">_xll.VoseSimMean(Above_5)</f>
        <v>2.0899999999999998E-2</v>
      </c>
    </row>
    <row r="19" spans="2:18" x14ac:dyDescent="0.45">
      <c r="B19" s="53">
        <f>'Заявки'!B30</f>
        <v>0.12</v>
      </c>
      <c r="C19" s="54" cm="1">
        <f t="array" aca="1" ref="C19" ca="1">_xll.VoseSimMean(Win_6)</f>
        <v>0.26090000000000002</v>
      </c>
      <c r="D19" s="55" cm="1">
        <f t="array" aca="1" ref="D19" ca="1">_xll.VoseSimMean(Profit_6)</f>
        <v>0.1849493985491196</v>
      </c>
      <c r="E19" s="56">
        <f t="shared" ca="1" si="0"/>
        <v>1.2838229150981968</v>
      </c>
      <c r="F19" s="54" cm="1">
        <f t="array" aca="1" ref="F19" ca="1">IF(AND(ISNUMBER(C19),C19&gt;0),_xll.VoseSimMean(LossWin_6)/C19,"–")</f>
        <v>2.146416251437332E-2</v>
      </c>
      <c r="G19" s="54" cm="1">
        <f t="array" aca="1" ref="G19" ca="1">_xll.VoseSimMean(Above_6)</f>
        <v>5.5999999999999999E-3</v>
      </c>
    </row>
    <row r="20" spans="2:18" x14ac:dyDescent="0.45">
      <c r="B20" s="53">
        <f>'Заявки'!B31</f>
        <v>0.14000000000000001</v>
      </c>
      <c r="C20" s="54" cm="1">
        <f t="array" aca="1" ref="C20" ca="1">_xll.VoseSimMean(Win_7)</f>
        <v>0.15989999999999999</v>
      </c>
      <c r="D20" s="55" cm="1">
        <f t="array" aca="1" ref="D20" ca="1">_xll.VoseSimMean(Profit_7)</f>
        <v>9.0991494317504279E-2</v>
      </c>
      <c r="E20" s="56">
        <f t="shared" ca="1" si="0"/>
        <v>1.5071388012351739</v>
      </c>
      <c r="F20" s="54" cm="1">
        <f t="array" aca="1" ref="F20" ca="1">IF(AND(ISNUMBER(C20),C20&gt;0),_xll.VoseSimMean(LossWin_7)/C20,"–")</f>
        <v>5.0031269543464674E-3</v>
      </c>
      <c r="G20" s="54" cm="1">
        <f t="array" aca="1" ref="G20" ca="1">_xll.VoseSimMean(Above_7)</f>
        <v>8.0000000000000004E-4</v>
      </c>
    </row>
    <row r="21" spans="2:18" x14ac:dyDescent="0.45">
      <c r="B21" s="53">
        <f>'Заявки'!B32</f>
        <v>0.16</v>
      </c>
      <c r="C21" s="54" cm="1">
        <f t="array" aca="1" ref="C21" ca="1">_xll.VoseSimMean(Win_8)</f>
        <v>9.3200000000000005E-2</v>
      </c>
      <c r="D21" s="55" cm="1">
        <f t="array" aca="1" ref="D21" ca="1">_xll.VoseSimMean(Profit_8)</f>
        <v>1.1789971197350741E-2</v>
      </c>
      <c r="E21" s="56">
        <f t="shared" ca="1" si="0"/>
        <v>1.7359438969672822</v>
      </c>
      <c r="F21" s="54" cm="1">
        <f t="array" aca="1" ref="F21" ca="1">IF(AND(ISNUMBER(C21),C21&gt;0),_xll.VoseSimMean(LossWin_8)/C21,"–")</f>
        <v>1.0740354087993573E-3</v>
      </c>
      <c r="G21" s="54" cm="1">
        <f t="array" aca="1" ref="G21" ca="1">_xll.VoseSimMean(Above_8)</f>
        <v>1E-4</v>
      </c>
    </row>
    <row r="22" spans="2:18" x14ac:dyDescent="0.45">
      <c r="B22" s="53">
        <f>'Заявки'!B33</f>
        <v>0.18</v>
      </c>
      <c r="C22" s="54" cm="1">
        <f t="array" aca="1" ref="C22" ca="1">_xll.VoseSimMean(Win_9)</f>
        <v>4.7899999999999998E-2</v>
      </c>
      <c r="D22" s="55" cm="1">
        <f t="array" aca="1" ref="D22" ca="1">_xll.VoseSimMean(Profit_9)</f>
        <v>-5.6646812629369686E-2</v>
      </c>
      <c r="E22" s="56">
        <f t="shared" ca="1" si="0"/>
        <v>1.9489183167146202</v>
      </c>
      <c r="F22" s="54" cm="1">
        <f t="array" aca="1" ref="F22" ca="1">IF(AND(ISNUMBER(C22),C22&gt;0),_xll.VoseSimMean(LossWin_9)/C22,"–")</f>
        <v>0</v>
      </c>
      <c r="G22" s="54" cm="1">
        <f t="array" aca="1" ref="G22" ca="1">_xll.VoseSimMean(Above_9)</f>
        <v>0</v>
      </c>
    </row>
    <row r="23" spans="2:18" x14ac:dyDescent="0.45">
      <c r="B23" s="53">
        <f>'Заявки'!B34</f>
        <v>0.2</v>
      </c>
      <c r="C23" s="54" cm="1">
        <f t="array" aca="1" ref="C23" ca="1">_xll.VoseSimMean(Win_10)</f>
        <v>2.29E-2</v>
      </c>
      <c r="D23" s="55" cm="1">
        <f t="array" aca="1" ref="D23" ca="1">_xll.VoseSimMean(Profit_10)</f>
        <v>-0.10033224759767681</v>
      </c>
      <c r="E23" s="56">
        <f t="shared" ca="1" si="0"/>
        <v>2.1688974848176064</v>
      </c>
      <c r="F23" s="54" cm="1">
        <f t="array" aca="1" ref="F23" ca="1">IF(AND(ISNUMBER(C23),C23&gt;0),_xll.VoseSimMean(LossWin_10)/C23,"–")</f>
        <v>0</v>
      </c>
      <c r="G23" s="54" cm="1">
        <f t="array" aca="1" ref="G23" ca="1">_xll.VoseSimMean(Above_10)</f>
        <v>0</v>
      </c>
    </row>
    <row r="24" spans="2:18" ht="22.05" customHeight="1" x14ac:dyDescent="0.45">
      <c r="B24" s="57" t="s">
        <v>184</v>
      </c>
      <c r="C24" s="58"/>
      <c r="D24" s="59">
        <f ca="1">IF(ISNUMBER(D13),INDEX(B13:B23,MATCH(MAX(D13:D23),D13:D23,0)),"–")</f>
        <v>0.08</v>
      </c>
      <c r="E24" s="58"/>
      <c r="F24" s="58"/>
      <c r="G24" s="58"/>
    </row>
    <row r="25" spans="2:18" x14ac:dyDescent="0.45">
      <c r="B25" s="60" t="s">
        <v>185</v>
      </c>
    </row>
    <row r="26" spans="2:18" ht="8" customHeight="1" x14ac:dyDescent="0.45"/>
    <row r="27" spans="2:18" ht="22.05" customHeight="1" x14ac:dyDescent="0.5">
      <c r="B27" s="7" t="s">
        <v>186</v>
      </c>
      <c r="C27" s="8"/>
      <c r="D27" s="8"/>
      <c r="E27" s="8"/>
      <c r="F27" s="8"/>
      <c r="G27" s="8"/>
    </row>
    <row r="28" spans="2:18" ht="18" customHeight="1" x14ac:dyDescent="0.45">
      <c r="B28" s="13" t="s">
        <v>187</v>
      </c>
      <c r="I28" s="50" t="s">
        <v>188</v>
      </c>
      <c r="J28" s="8"/>
      <c r="K28" s="8"/>
      <c r="L28" s="8"/>
      <c r="M28" s="8"/>
      <c r="N28" s="8"/>
      <c r="O28" s="8"/>
      <c r="P28" s="8"/>
      <c r="Q28" s="8"/>
      <c r="R28" s="8"/>
    </row>
    <row r="29" spans="2:18" ht="18" customHeight="1" x14ac:dyDescent="0.45">
      <c r="B29" s="23" t="s">
        <v>189</v>
      </c>
      <c r="C29" s="23" t="s">
        <v>95</v>
      </c>
      <c r="D29" s="24" t="s">
        <v>134</v>
      </c>
      <c r="E29" s="5"/>
      <c r="F29" s="5"/>
      <c r="G29" s="5"/>
    </row>
    <row r="30" spans="2:18" x14ac:dyDescent="0.45">
      <c r="B30" s="25" t="s">
        <v>190</v>
      </c>
      <c r="C30" s="26" t="s">
        <v>104</v>
      </c>
      <c r="D30" s="55" cm="1">
        <f t="array" aca="1" ref="D30" ca="1">_xll.VoseSimPercentile(Profit_2,0.1)</f>
        <v>-0.71218501455166605</v>
      </c>
      <c r="E30" s="28"/>
      <c r="F30" s="28"/>
      <c r="G30" s="28"/>
    </row>
    <row r="31" spans="2:18" x14ac:dyDescent="0.45">
      <c r="B31" s="25" t="s">
        <v>191</v>
      </c>
      <c r="C31" s="26" t="s">
        <v>104</v>
      </c>
      <c r="D31" s="55" cm="1">
        <f t="array" aca="1" ref="D31" ca="1">_xll.VoseSimPercentile(Profit_4,0.1)</f>
        <v>-0.15</v>
      </c>
      <c r="E31" s="28"/>
      <c r="F31" s="28"/>
      <c r="G31" s="28"/>
    </row>
    <row r="32" spans="2:18" x14ac:dyDescent="0.45">
      <c r="B32" s="25" t="s">
        <v>192</v>
      </c>
      <c r="C32" s="26" t="s">
        <v>104</v>
      </c>
      <c r="D32" s="55" cm="1">
        <f t="array" aca="1" ref="D32" ca="1">_xll.VoseSimPercentile(Profit_6,0.1)</f>
        <v>-0.15</v>
      </c>
      <c r="E32" s="28"/>
      <c r="F32" s="28"/>
      <c r="G32" s="28"/>
    </row>
    <row r="33" spans="2:18" x14ac:dyDescent="0.45">
      <c r="B33" s="25" t="s">
        <v>193</v>
      </c>
      <c r="C33" s="26" t="s">
        <v>104</v>
      </c>
      <c r="D33" s="55" cm="1">
        <f t="array" aca="1" ref="D33" ca="1">_xll.VoseSimPercentile(Profit_2,0.9)</f>
        <v>0.99443416116818495</v>
      </c>
      <c r="E33" s="28"/>
      <c r="F33" s="28"/>
      <c r="G33" s="28"/>
    </row>
    <row r="34" spans="2:18" x14ac:dyDescent="0.45">
      <c r="B34" s="25" t="s">
        <v>194</v>
      </c>
      <c r="C34" s="26" t="s">
        <v>104</v>
      </c>
      <c r="D34" s="55" cm="1">
        <f t="array" aca="1" ref="D34" ca="1">_xll.VoseSimPercentile(Profit_4,0.9)</f>
        <v>1.2728933176413961</v>
      </c>
      <c r="E34" s="28"/>
      <c r="F34" s="28"/>
      <c r="G34" s="28"/>
    </row>
    <row r="35" spans="2:18" x14ac:dyDescent="0.45">
      <c r="B35" s="25" t="s">
        <v>195</v>
      </c>
      <c r="C35" s="26" t="s">
        <v>104</v>
      </c>
      <c r="D35" s="55" cm="1">
        <f t="array" aca="1" ref="D35" ca="1">_xll.VoseSimPercentile(Profit_6,0.9)</f>
        <v>1.3325375506963746</v>
      </c>
      <c r="E35" s="28"/>
      <c r="F35" s="28"/>
      <c r="G35" s="28"/>
    </row>
    <row r="44" spans="2:18" ht="22.05" customHeight="1" x14ac:dyDescent="0.5">
      <c r="B44" s="7" t="s">
        <v>196</v>
      </c>
      <c r="C44" s="8"/>
      <c r="D44" s="8"/>
      <c r="E44" s="8"/>
      <c r="F44" s="8"/>
      <c r="G44" s="8"/>
      <c r="I44" s="50" t="s">
        <v>197</v>
      </c>
      <c r="J44" s="8"/>
      <c r="K44" s="8"/>
      <c r="L44" s="8"/>
      <c r="M44" s="8"/>
      <c r="N44" s="8"/>
      <c r="O44" s="8"/>
      <c r="P44" s="8"/>
      <c r="Q44" s="8"/>
      <c r="R44" s="8"/>
    </row>
    <row r="45" spans="2:18" ht="18" customHeight="1" x14ac:dyDescent="0.45">
      <c r="B45" s="13" t="s">
        <v>198</v>
      </c>
    </row>
    <row r="46" spans="2:18" ht="18" customHeight="1" x14ac:dyDescent="0.45">
      <c r="B46" s="23" t="s">
        <v>199</v>
      </c>
      <c r="C46" s="24" t="s">
        <v>200</v>
      </c>
      <c r="D46" s="24" t="s">
        <v>201</v>
      </c>
      <c r="E46" s="61" t="s">
        <v>202</v>
      </c>
      <c r="F46" s="5"/>
      <c r="G46" s="5"/>
    </row>
    <row r="47" spans="2:18" x14ac:dyDescent="0.45">
      <c r="B47" s="25" t="str">
        <f t="array" aca="1" ref="B47:E52" ca="1">_xll.VoseSimSensitivityMean(ProfitDetail,10,1,FALSE)</f>
        <v>Наш коэффициент стоимости</v>
      </c>
      <c r="C47" s="55">
        <f ca="1"/>
        <v>-9.8473787709476748E-2</v>
      </c>
      <c r="D47" s="55">
        <f ca="1"/>
        <v>0.4897746422393599</v>
      </c>
      <c r="E47" s="62">
        <f ca="1"/>
        <v>1</v>
      </c>
      <c r="F47" s="28"/>
      <c r="G47" s="28"/>
    </row>
    <row r="48" spans="2:18" x14ac:dyDescent="0.45">
      <c r="B48" s="25" t="str">
        <f ca="1"/>
        <v>Коэффициент цены конкурента 2</v>
      </c>
      <c r="C48" s="55">
        <f ca="1"/>
        <v>-7.6448827585944526E-2</v>
      </c>
      <c r="D48" s="55">
        <f ca="1"/>
        <v>0.39545782310584887</v>
      </c>
      <c r="E48" s="62">
        <f ca="1"/>
        <v>2</v>
      </c>
      <c r="F48" s="28"/>
      <c r="G48" s="28"/>
    </row>
    <row r="49" spans="2:7" x14ac:dyDescent="0.45">
      <c r="B49" s="25" t="str">
        <f ca="1"/>
        <v>Коэффициент цены конкурента 4</v>
      </c>
      <c r="C49" s="55">
        <f ca="1"/>
        <v>-6.1411433210874146E-2</v>
      </c>
      <c r="D49" s="55">
        <f ca="1"/>
        <v>0.39840590608349641</v>
      </c>
      <c r="E49" s="62">
        <f ca="1"/>
        <v>3</v>
      </c>
      <c r="F49" s="28"/>
      <c r="G49" s="28"/>
    </row>
    <row r="50" spans="2:7" x14ac:dyDescent="0.45">
      <c r="B50" s="25" t="str">
        <f ca="1"/>
        <v>Коэффициент цены конкурента 1</v>
      </c>
      <c r="C50" s="55">
        <f ca="1"/>
        <v>-6.3252513176866518E-2</v>
      </c>
      <c r="D50" s="55">
        <f ca="1"/>
        <v>0.37926870308585892</v>
      </c>
      <c r="E50" s="62">
        <f ca="1"/>
        <v>4</v>
      </c>
      <c r="F50" s="28"/>
      <c r="G50" s="28"/>
    </row>
    <row r="51" spans="2:7" x14ac:dyDescent="0.45">
      <c r="B51" s="25" t="str">
        <f ca="1"/>
        <v>Коэффициент цены конкурента 3</v>
      </c>
      <c r="C51" s="55">
        <f ca="1"/>
        <v>-5.5634971011934264E-2</v>
      </c>
      <c r="D51" s="55">
        <f ca="1"/>
        <v>0.37875793170185951</v>
      </c>
      <c r="E51" s="62">
        <f ca="1"/>
        <v>5</v>
      </c>
      <c r="F51" s="28"/>
      <c r="G51" s="28"/>
    </row>
    <row r="52" spans="2:7" x14ac:dyDescent="0.45">
      <c r="B52" s="25" t="str">
        <f ca="1"/>
        <v>Рыночный коэффициент</v>
      </c>
      <c r="C52" s="55">
        <f ca="1"/>
        <v>0.1500644696205021</v>
      </c>
      <c r="D52" s="55">
        <f ca="1"/>
        <v>0.34343134418590576</v>
      </c>
      <c r="E52" s="62">
        <f ca="1"/>
        <v>6</v>
      </c>
      <c r="F52" s="28"/>
      <c r="G52" s="28"/>
    </row>
    <row r="58" spans="2:7" ht="22.05" customHeight="1" x14ac:dyDescent="0.5">
      <c r="B58" s="7" t="s">
        <v>203</v>
      </c>
      <c r="C58" s="8"/>
      <c r="D58" s="8"/>
      <c r="E58" s="8"/>
      <c r="F58" s="8"/>
      <c r="G58" s="8"/>
    </row>
    <row r="59" spans="2:7" ht="32" customHeight="1" x14ac:dyDescent="0.45">
      <c r="B59" s="71" t="s">
        <v>204</v>
      </c>
      <c r="C59" s="70"/>
      <c r="D59" s="70"/>
      <c r="E59" s="70"/>
      <c r="F59" s="70"/>
      <c r="G59" s="70"/>
    </row>
    <row r="60" spans="2:7" ht="45" customHeight="1" x14ac:dyDescent="0.45">
      <c r="B60" s="71" t="s">
        <v>205</v>
      </c>
      <c r="C60" s="70"/>
      <c r="D60" s="70"/>
      <c r="E60" s="70"/>
      <c r="F60" s="70"/>
      <c r="G60" s="70"/>
    </row>
    <row r="61" spans="2:7" ht="32" customHeight="1" x14ac:dyDescent="0.45">
      <c r="B61" s="71" t="s">
        <v>206</v>
      </c>
      <c r="C61" s="70"/>
      <c r="D61" s="70"/>
      <c r="E61" s="70"/>
      <c r="F61" s="70"/>
      <c r="G61" s="70"/>
    </row>
    <row r="62" spans="2:7" ht="19.05" customHeight="1" x14ac:dyDescent="0.45">
      <c r="B62" s="71" t="s">
        <v>207</v>
      </c>
      <c r="C62" s="70"/>
      <c r="D62" s="70"/>
      <c r="E62" s="70"/>
      <c r="F62" s="70"/>
      <c r="G62" s="70"/>
    </row>
    <row r="63" spans="2:7" ht="14" customHeight="1" x14ac:dyDescent="0.45"/>
    <row r="64" spans="2:7" ht="14" customHeight="1" x14ac:dyDescent="0.45"/>
    <row r="65" spans="2:7" ht="22.05" customHeight="1" x14ac:dyDescent="0.5">
      <c r="B65" s="7" t="s">
        <v>208</v>
      </c>
      <c r="C65" s="8"/>
      <c r="D65" s="8"/>
      <c r="E65" s="8"/>
      <c r="F65" s="8"/>
      <c r="G65" s="8"/>
    </row>
    <row r="66" spans="2:7" ht="18" customHeight="1" x14ac:dyDescent="0.45">
      <c r="B66" s="13" t="s">
        <v>209</v>
      </c>
    </row>
    <row r="67" spans="2:7" ht="28.05" hidden="1" customHeight="1" outlineLevel="1" x14ac:dyDescent="0.45">
      <c r="B67" s="24" t="s">
        <v>210</v>
      </c>
      <c r="C67" s="24" t="s">
        <v>211</v>
      </c>
      <c r="D67" s="24" t="s">
        <v>212</v>
      </c>
      <c r="E67" s="24" t="s">
        <v>213</v>
      </c>
      <c r="F67" s="24" t="s">
        <v>214</v>
      </c>
      <c r="G67" s="5"/>
    </row>
    <row r="68" spans="2:7" hidden="1" outlineLevel="1" x14ac:dyDescent="0.45">
      <c r="B68" s="63">
        <v>0.01</v>
      </c>
      <c r="C68" s="63">
        <f t="shared" ref="C68:C99" si="1">1-B68</f>
        <v>0.99</v>
      </c>
      <c r="D68" s="64" cm="1">
        <f t="array" aca="1" ref="D68" ca="1">IF(ISNUMBER(_xll.VoseSimPercentile(Profit_2,$B68)),_xll.VoseSimPercentile(Profit_2,$B68),NA())</f>
        <v>-1.5920191233392287</v>
      </c>
      <c r="E68" s="64" cm="1">
        <f t="array" aca="1" ref="E68" ca="1">IF(ISNUMBER(_xll.VoseSimPercentile(Profit_4,$B68)),_xll.VoseSimPercentile(Profit_4,$B68),NA())</f>
        <v>-0.79201912333922808</v>
      </c>
      <c r="F68" s="64" cm="1">
        <f t="array" aca="1" ref="F68" ca="1">IF(ISNUMBER(_xll.VoseSimPercentile(Profit_6,$B68)),_xll.VoseSimPercentile(Profit_6,$B68),NA())</f>
        <v>-0.15</v>
      </c>
    </row>
    <row r="69" spans="2:7" hidden="1" outlineLevel="1" x14ac:dyDescent="0.45">
      <c r="B69" s="63">
        <v>0.03</v>
      </c>
      <c r="C69" s="63">
        <f t="shared" si="1"/>
        <v>0.97</v>
      </c>
      <c r="D69" s="64" cm="1">
        <f t="array" aca="1" ref="D69" ca="1">IF(ISNUMBER(_xll.VoseSimPercentile(Profit_2,$B69)),_xll.VoseSimPercentile(Profit_2,$B69),NA())</f>
        <v>-1.2365698520941577</v>
      </c>
      <c r="E69" s="64" cm="1">
        <f t="array" aca="1" ref="E69" ca="1">IF(ISNUMBER(_xll.VoseSimPercentile(Profit_4,$B69)),_xll.VoseSimPercentile(Profit_4,$B69),NA())</f>
        <v>-0.43656985209415711</v>
      </c>
      <c r="F69" s="64" cm="1">
        <f t="array" aca="1" ref="F69" ca="1">IF(ISNUMBER(_xll.VoseSimPercentile(Profit_6,$B69)),_xll.VoseSimPercentile(Profit_6,$B69),NA())</f>
        <v>-0.15</v>
      </c>
    </row>
    <row r="70" spans="2:7" hidden="1" outlineLevel="1" x14ac:dyDescent="0.45">
      <c r="B70" s="63">
        <v>0.05</v>
      </c>
      <c r="C70" s="63">
        <f t="shared" si="1"/>
        <v>0.95</v>
      </c>
      <c r="D70" s="64" cm="1">
        <f t="array" aca="1" ref="D70" ca="1">IF(ISNUMBER(_xll.VoseSimPercentile(Profit_2,$B70)),_xll.VoseSimPercentile(Profit_2,$B70),NA())</f>
        <v>-1.0301330665042996</v>
      </c>
      <c r="E70" s="64" cm="1">
        <f t="array" aca="1" ref="E70" ca="1">IF(ISNUMBER(_xll.VoseSimPercentile(Profit_4,$B70)),_xll.VoseSimPercentile(Profit_4,$B70),NA())</f>
        <v>-0.23013306650429896</v>
      </c>
      <c r="F70" s="64" cm="1">
        <f t="array" aca="1" ref="F70" ca="1">IF(ISNUMBER(_xll.VoseSimPercentile(Profit_6,$B70)),_xll.VoseSimPercentile(Profit_6,$B70),NA())</f>
        <v>-0.15</v>
      </c>
    </row>
    <row r="71" spans="2:7" hidden="1" outlineLevel="1" x14ac:dyDescent="0.45">
      <c r="B71" s="63">
        <v>7.0000000000000007E-2</v>
      </c>
      <c r="C71" s="63">
        <f t="shared" si="1"/>
        <v>0.92999999999999994</v>
      </c>
      <c r="D71" s="64" cm="1">
        <f t="array" aca="1" ref="D71" ca="1">IF(ISNUMBER(_xll.VoseSimPercentile(Profit_2,$B71)),_xll.VoseSimPercentile(Profit_2,$B71),NA())</f>
        <v>-0.88451720219750884</v>
      </c>
      <c r="E71" s="64" cm="1">
        <f t="array" aca="1" ref="E71" ca="1">IF(ISNUMBER(_xll.VoseSimPercentile(Profit_4,$B71)),_xll.VoseSimPercentile(Profit_4,$B71),NA())</f>
        <v>-0.15</v>
      </c>
      <c r="F71" s="64" cm="1">
        <f t="array" aca="1" ref="F71" ca="1">IF(ISNUMBER(_xll.VoseSimPercentile(Profit_6,$B71)),_xll.VoseSimPercentile(Profit_6,$B71),NA())</f>
        <v>-0.15</v>
      </c>
    </row>
    <row r="72" spans="2:7" hidden="1" outlineLevel="1" x14ac:dyDescent="0.45">
      <c r="B72" s="63">
        <v>0.09</v>
      </c>
      <c r="C72" s="63">
        <f t="shared" si="1"/>
        <v>0.91</v>
      </c>
      <c r="D72" s="64" cm="1">
        <f t="array" aca="1" ref="D72" ca="1">IF(ISNUMBER(_xll.VoseSimPercentile(Profit_2,$B72)),_xll.VoseSimPercentile(Profit_2,$B72),NA())</f>
        <v>-0.76807704191035742</v>
      </c>
      <c r="E72" s="64" cm="1">
        <f t="array" aca="1" ref="E72" ca="1">IF(ISNUMBER(_xll.VoseSimPercentile(Profit_4,$B72)),_xll.VoseSimPercentile(Profit_4,$B72),NA())</f>
        <v>-0.15</v>
      </c>
      <c r="F72" s="64" cm="1">
        <f t="array" aca="1" ref="F72" ca="1">IF(ISNUMBER(_xll.VoseSimPercentile(Profit_6,$B72)),_xll.VoseSimPercentile(Profit_6,$B72),NA())</f>
        <v>-0.15</v>
      </c>
    </row>
    <row r="73" spans="2:7" hidden="1" outlineLevel="1" x14ac:dyDescent="0.45">
      <c r="B73" s="63">
        <v>0.11</v>
      </c>
      <c r="C73" s="63">
        <f t="shared" si="1"/>
        <v>0.89</v>
      </c>
      <c r="D73" s="64" cm="1">
        <f t="array" aca="1" ref="D73" ca="1">IF(ISNUMBER(_xll.VoseSimPercentile(Profit_2,$B73)),_xll.VoseSimPercentile(Profit_2,$B73),NA())</f>
        <v>-0.66052994907161067</v>
      </c>
      <c r="E73" s="64" cm="1">
        <f t="array" aca="1" ref="E73" ca="1">IF(ISNUMBER(_xll.VoseSimPercentile(Profit_4,$B73)),_xll.VoseSimPercentile(Profit_4,$B73),NA())</f>
        <v>-0.15</v>
      </c>
      <c r="F73" s="64" cm="1">
        <f t="array" aca="1" ref="F73" ca="1">IF(ISNUMBER(_xll.VoseSimPercentile(Profit_6,$B73)),_xll.VoseSimPercentile(Profit_6,$B73),NA())</f>
        <v>-0.15</v>
      </c>
    </row>
    <row r="74" spans="2:7" hidden="1" outlineLevel="1" x14ac:dyDescent="0.45">
      <c r="B74" s="63">
        <v>0.13</v>
      </c>
      <c r="C74" s="63">
        <f t="shared" si="1"/>
        <v>0.87</v>
      </c>
      <c r="D74" s="64" cm="1">
        <f t="array" aca="1" ref="D74" ca="1">IF(ISNUMBER(_xll.VoseSimPercentile(Profit_2,$B74)),_xll.VoseSimPercentile(Profit_2,$B74),NA())</f>
        <v>-0.57282453081586626</v>
      </c>
      <c r="E74" s="64" cm="1">
        <f t="array" aca="1" ref="E74" ca="1">IF(ISNUMBER(_xll.VoseSimPercentile(Profit_4,$B74)),_xll.VoseSimPercentile(Profit_4,$B74),NA())</f>
        <v>-0.15</v>
      </c>
      <c r="F74" s="64" cm="1">
        <f t="array" aca="1" ref="F74" ca="1">IF(ISNUMBER(_xll.VoseSimPercentile(Profit_6,$B74)),_xll.VoseSimPercentile(Profit_6,$B74),NA())</f>
        <v>-0.15</v>
      </c>
    </row>
    <row r="75" spans="2:7" hidden="1" outlineLevel="1" x14ac:dyDescent="0.45">
      <c r="B75" s="63">
        <v>0.15</v>
      </c>
      <c r="C75" s="63">
        <f t="shared" si="1"/>
        <v>0.85</v>
      </c>
      <c r="D75" s="64" cm="1">
        <f t="array" aca="1" ref="D75" ca="1">IF(ISNUMBER(_xll.VoseSimPercentile(Profit_2,$B75)),_xll.VoseSimPercentile(Profit_2,$B75),NA())</f>
        <v>-0.49447316172161992</v>
      </c>
      <c r="E75" s="64" cm="1">
        <f t="array" aca="1" ref="E75" ca="1">IF(ISNUMBER(_xll.VoseSimPercentile(Profit_4,$B75)),_xll.VoseSimPercentile(Profit_4,$B75),NA())</f>
        <v>-0.15</v>
      </c>
      <c r="F75" s="64" cm="1">
        <f t="array" aca="1" ref="F75" ca="1">IF(ISNUMBER(_xll.VoseSimPercentile(Profit_6,$B75)),_xll.VoseSimPercentile(Profit_6,$B75),NA())</f>
        <v>-0.15</v>
      </c>
    </row>
    <row r="76" spans="2:7" hidden="1" outlineLevel="1" x14ac:dyDescent="0.45">
      <c r="B76" s="63">
        <v>0.17</v>
      </c>
      <c r="C76" s="63">
        <f t="shared" si="1"/>
        <v>0.83</v>
      </c>
      <c r="D76" s="64" cm="1">
        <f t="array" aca="1" ref="D76" ca="1">IF(ISNUMBER(_xll.VoseSimPercentile(Profit_2,$B76)),_xll.VoseSimPercentile(Profit_2,$B76),NA())</f>
        <v>-0.42129887547267375</v>
      </c>
      <c r="E76" s="64" cm="1">
        <f t="array" aca="1" ref="E76" ca="1">IF(ISNUMBER(_xll.VoseSimPercentile(Profit_4,$B76)),_xll.VoseSimPercentile(Profit_4,$B76),NA())</f>
        <v>-0.15</v>
      </c>
      <c r="F76" s="64" cm="1">
        <f t="array" aca="1" ref="F76" ca="1">IF(ISNUMBER(_xll.VoseSimPercentile(Profit_6,$B76)),_xll.VoseSimPercentile(Profit_6,$B76),NA())</f>
        <v>-0.15</v>
      </c>
    </row>
    <row r="77" spans="2:7" hidden="1" outlineLevel="1" x14ac:dyDescent="0.45">
      <c r="B77" s="63">
        <v>0.19</v>
      </c>
      <c r="C77" s="63">
        <f t="shared" si="1"/>
        <v>0.81</v>
      </c>
      <c r="D77" s="64" cm="1">
        <f t="array" aca="1" ref="D77" ca="1">IF(ISNUMBER(_xll.VoseSimPercentile(Profit_2,$B77)),_xll.VoseSimPercentile(Profit_2,$B77),NA())</f>
        <v>-0.35233130823921288</v>
      </c>
      <c r="E77" s="64" cm="1">
        <f t="array" aca="1" ref="E77" ca="1">IF(ISNUMBER(_xll.VoseSimPercentile(Profit_4,$B77)),_xll.VoseSimPercentile(Profit_4,$B77),NA())</f>
        <v>-0.15</v>
      </c>
      <c r="F77" s="64" cm="1">
        <f t="array" aca="1" ref="F77" ca="1">IF(ISNUMBER(_xll.VoseSimPercentile(Profit_6,$B77)),_xll.VoseSimPercentile(Profit_6,$B77),NA())</f>
        <v>-0.15</v>
      </c>
    </row>
    <row r="78" spans="2:7" hidden="1" outlineLevel="1" x14ac:dyDescent="0.45">
      <c r="B78" s="63">
        <v>0.21</v>
      </c>
      <c r="C78" s="63">
        <f t="shared" si="1"/>
        <v>0.79</v>
      </c>
      <c r="D78" s="64" cm="1">
        <f t="array" aca="1" ref="D78" ca="1">IF(ISNUMBER(_xll.VoseSimPercentile(Profit_2,$B78)),_xll.VoseSimPercentile(Profit_2,$B78),NA())</f>
        <v>-0.28919284159532455</v>
      </c>
      <c r="E78" s="64" cm="1">
        <f t="array" aca="1" ref="E78" ca="1">IF(ISNUMBER(_xll.VoseSimPercentile(Profit_4,$B78)),_xll.VoseSimPercentile(Profit_4,$B78),NA())</f>
        <v>-0.15</v>
      </c>
      <c r="F78" s="64" cm="1">
        <f t="array" aca="1" ref="F78" ca="1">IF(ISNUMBER(_xll.VoseSimPercentile(Profit_6,$B78)),_xll.VoseSimPercentile(Profit_6,$B78),NA())</f>
        <v>-0.15</v>
      </c>
    </row>
    <row r="79" spans="2:7" hidden="1" outlineLevel="1" x14ac:dyDescent="0.45">
      <c r="B79" s="63">
        <v>0.23</v>
      </c>
      <c r="C79" s="63">
        <f t="shared" si="1"/>
        <v>0.77</v>
      </c>
      <c r="D79" s="64" cm="1">
        <f t="array" aca="1" ref="D79" ca="1">IF(ISNUMBER(_xll.VoseSimPercentile(Profit_2,$B79)),_xll.VoseSimPercentile(Profit_2,$B79),NA())</f>
        <v>-0.22946142623583796</v>
      </c>
      <c r="E79" s="64" cm="1">
        <f t="array" aca="1" ref="E79" ca="1">IF(ISNUMBER(_xll.VoseSimPercentile(Profit_4,$B79)),_xll.VoseSimPercentile(Profit_4,$B79),NA())</f>
        <v>-0.15</v>
      </c>
      <c r="F79" s="64" cm="1">
        <f t="array" aca="1" ref="F79" ca="1">IF(ISNUMBER(_xll.VoseSimPercentile(Profit_6,$B79)),_xll.VoseSimPercentile(Profit_6,$B79),NA())</f>
        <v>-0.15</v>
      </c>
    </row>
    <row r="80" spans="2:7" hidden="1" outlineLevel="1" x14ac:dyDescent="0.45">
      <c r="B80" s="63">
        <v>0.25</v>
      </c>
      <c r="C80" s="63">
        <f t="shared" si="1"/>
        <v>0.75</v>
      </c>
      <c r="D80" s="64" cm="1">
        <f t="array" aca="1" ref="D80" ca="1">IF(ISNUMBER(_xll.VoseSimPercentile(Profit_2,$B80)),_xll.VoseSimPercentile(Profit_2,$B80),NA())</f>
        <v>-0.17267956664147519</v>
      </c>
      <c r="E80" s="64" cm="1">
        <f t="array" aca="1" ref="E80" ca="1">IF(ISNUMBER(_xll.VoseSimPercentile(Profit_4,$B80)),_xll.VoseSimPercentile(Profit_4,$B80),NA())</f>
        <v>-0.15</v>
      </c>
      <c r="F80" s="64" cm="1">
        <f t="array" aca="1" ref="F80" ca="1">IF(ISNUMBER(_xll.VoseSimPercentile(Profit_6,$B80)),_xll.VoseSimPercentile(Profit_6,$B80),NA())</f>
        <v>-0.15</v>
      </c>
    </row>
    <row r="81" spans="2:6" hidden="1" outlineLevel="1" x14ac:dyDescent="0.45">
      <c r="B81" s="63">
        <v>0.27</v>
      </c>
      <c r="C81" s="63">
        <f t="shared" si="1"/>
        <v>0.73</v>
      </c>
      <c r="D81" s="64" cm="1">
        <f t="array" aca="1" ref="D81" ca="1">IF(ISNUMBER(_xll.VoseSimPercentile(Profit_2,$B81)),_xll.VoseSimPercentile(Profit_2,$B81),NA())</f>
        <v>-0.15</v>
      </c>
      <c r="E81" s="64" cm="1">
        <f t="array" aca="1" ref="E81" ca="1">IF(ISNUMBER(_xll.VoseSimPercentile(Profit_4,$B81)),_xll.VoseSimPercentile(Profit_4,$B81),NA())</f>
        <v>-0.15</v>
      </c>
      <c r="F81" s="64" cm="1">
        <f t="array" aca="1" ref="F81" ca="1">IF(ISNUMBER(_xll.VoseSimPercentile(Profit_6,$B81)),_xll.VoseSimPercentile(Profit_6,$B81),NA())</f>
        <v>-0.15</v>
      </c>
    </row>
    <row r="82" spans="2:6" hidden="1" outlineLevel="1" x14ac:dyDescent="0.45">
      <c r="B82" s="63">
        <v>0.28999999999999998</v>
      </c>
      <c r="C82" s="63">
        <f t="shared" si="1"/>
        <v>0.71</v>
      </c>
      <c r="D82" s="64" cm="1">
        <f t="array" aca="1" ref="D82" ca="1">IF(ISNUMBER(_xll.VoseSimPercentile(Profit_2,$B82)),_xll.VoseSimPercentile(Profit_2,$B82),NA())</f>
        <v>-0.15</v>
      </c>
      <c r="E82" s="64" cm="1">
        <f t="array" aca="1" ref="E82" ca="1">IF(ISNUMBER(_xll.VoseSimPercentile(Profit_4,$B82)),_xll.VoseSimPercentile(Profit_4,$B82),NA())</f>
        <v>-0.15</v>
      </c>
      <c r="F82" s="64" cm="1">
        <f t="array" aca="1" ref="F82" ca="1">IF(ISNUMBER(_xll.VoseSimPercentile(Profit_6,$B82)),_xll.VoseSimPercentile(Profit_6,$B82),NA())</f>
        <v>-0.15</v>
      </c>
    </row>
    <row r="83" spans="2:6" hidden="1" outlineLevel="1" x14ac:dyDescent="0.45">
      <c r="B83" s="63">
        <v>0.31</v>
      </c>
      <c r="C83" s="63">
        <f t="shared" si="1"/>
        <v>0.69</v>
      </c>
      <c r="D83" s="64" cm="1">
        <f t="array" aca="1" ref="D83" ca="1">IF(ISNUMBER(_xll.VoseSimPercentile(Profit_2,$B83)),_xll.VoseSimPercentile(Profit_2,$B83),NA())</f>
        <v>-0.15</v>
      </c>
      <c r="E83" s="64" cm="1">
        <f t="array" aca="1" ref="E83" ca="1">IF(ISNUMBER(_xll.VoseSimPercentile(Profit_4,$B83)),_xll.VoseSimPercentile(Profit_4,$B83),NA())</f>
        <v>-0.15</v>
      </c>
      <c r="F83" s="64" cm="1">
        <f t="array" aca="1" ref="F83" ca="1">IF(ISNUMBER(_xll.VoseSimPercentile(Profit_6,$B83)),_xll.VoseSimPercentile(Profit_6,$B83),NA())</f>
        <v>-0.15</v>
      </c>
    </row>
    <row r="84" spans="2:6" hidden="1" outlineLevel="1" x14ac:dyDescent="0.45">
      <c r="B84" s="63">
        <v>0.33</v>
      </c>
      <c r="C84" s="63">
        <f t="shared" si="1"/>
        <v>0.66999999999999993</v>
      </c>
      <c r="D84" s="64" cm="1">
        <f t="array" aca="1" ref="D84" ca="1">IF(ISNUMBER(_xll.VoseSimPercentile(Profit_2,$B84)),_xll.VoseSimPercentile(Profit_2,$B84),NA())</f>
        <v>-0.15</v>
      </c>
      <c r="E84" s="64" cm="1">
        <f t="array" aca="1" ref="E84" ca="1">IF(ISNUMBER(_xll.VoseSimPercentile(Profit_4,$B84)),_xll.VoseSimPercentile(Profit_4,$B84),NA())</f>
        <v>-0.15</v>
      </c>
      <c r="F84" s="64" cm="1">
        <f t="array" aca="1" ref="F84" ca="1">IF(ISNUMBER(_xll.VoseSimPercentile(Profit_6,$B84)),_xll.VoseSimPercentile(Profit_6,$B84),NA())</f>
        <v>-0.15</v>
      </c>
    </row>
    <row r="85" spans="2:6" hidden="1" outlineLevel="1" x14ac:dyDescent="0.45">
      <c r="B85" s="63">
        <v>0.35</v>
      </c>
      <c r="C85" s="63">
        <f t="shared" si="1"/>
        <v>0.65</v>
      </c>
      <c r="D85" s="64" cm="1">
        <f t="array" aca="1" ref="D85" ca="1">IF(ISNUMBER(_xll.VoseSimPercentile(Profit_2,$B85)),_xll.VoseSimPercentile(Profit_2,$B85),NA())</f>
        <v>-0.15</v>
      </c>
      <c r="E85" s="64" cm="1">
        <f t="array" aca="1" ref="E85" ca="1">IF(ISNUMBER(_xll.VoseSimPercentile(Profit_4,$B85)),_xll.VoseSimPercentile(Profit_4,$B85),NA())</f>
        <v>-0.15</v>
      </c>
      <c r="F85" s="64" cm="1">
        <f t="array" aca="1" ref="F85" ca="1">IF(ISNUMBER(_xll.VoseSimPercentile(Profit_6,$B85)),_xll.VoseSimPercentile(Profit_6,$B85),NA())</f>
        <v>-0.15</v>
      </c>
    </row>
    <row r="86" spans="2:6" hidden="1" outlineLevel="1" x14ac:dyDescent="0.45">
      <c r="B86" s="63">
        <v>0.37</v>
      </c>
      <c r="C86" s="63">
        <f t="shared" si="1"/>
        <v>0.63</v>
      </c>
      <c r="D86" s="64" cm="1">
        <f t="array" aca="1" ref="D86" ca="1">IF(ISNUMBER(_xll.VoseSimPercentile(Profit_2,$B86)),_xll.VoseSimPercentile(Profit_2,$B86),NA())</f>
        <v>-0.15</v>
      </c>
      <c r="E86" s="64" cm="1">
        <f t="array" aca="1" ref="E86" ca="1">IF(ISNUMBER(_xll.VoseSimPercentile(Profit_4,$B86)),_xll.VoseSimPercentile(Profit_4,$B86),NA())</f>
        <v>-0.15</v>
      </c>
      <c r="F86" s="64" cm="1">
        <f t="array" aca="1" ref="F86" ca="1">IF(ISNUMBER(_xll.VoseSimPercentile(Profit_6,$B86)),_xll.VoseSimPercentile(Profit_6,$B86),NA())</f>
        <v>-0.15</v>
      </c>
    </row>
    <row r="87" spans="2:6" hidden="1" outlineLevel="1" x14ac:dyDescent="0.45">
      <c r="B87" s="63">
        <v>0.39</v>
      </c>
      <c r="C87" s="63">
        <f t="shared" si="1"/>
        <v>0.61</v>
      </c>
      <c r="D87" s="64" cm="1">
        <f t="array" aca="1" ref="D87" ca="1">IF(ISNUMBER(_xll.VoseSimPercentile(Profit_2,$B87)),_xll.VoseSimPercentile(Profit_2,$B87),NA())</f>
        <v>-0.15</v>
      </c>
      <c r="E87" s="64" cm="1">
        <f t="array" aca="1" ref="E87" ca="1">IF(ISNUMBER(_xll.VoseSimPercentile(Profit_4,$B87)),_xll.VoseSimPercentile(Profit_4,$B87),NA())</f>
        <v>-0.15</v>
      </c>
      <c r="F87" s="64" cm="1">
        <f t="array" aca="1" ref="F87" ca="1">IF(ISNUMBER(_xll.VoseSimPercentile(Profit_6,$B87)),_xll.VoseSimPercentile(Profit_6,$B87),NA())</f>
        <v>-0.15</v>
      </c>
    </row>
    <row r="88" spans="2:6" hidden="1" outlineLevel="1" x14ac:dyDescent="0.45">
      <c r="B88" s="63">
        <v>0.41</v>
      </c>
      <c r="C88" s="63">
        <f t="shared" si="1"/>
        <v>0.59000000000000008</v>
      </c>
      <c r="D88" s="64" cm="1">
        <f t="array" aca="1" ref="D88" ca="1">IF(ISNUMBER(_xll.VoseSimPercentile(Profit_2,$B88)),_xll.VoseSimPercentile(Profit_2,$B88),NA())</f>
        <v>-0.15</v>
      </c>
      <c r="E88" s="64" cm="1">
        <f t="array" aca="1" ref="E88" ca="1">IF(ISNUMBER(_xll.VoseSimPercentile(Profit_4,$B88)),_xll.VoseSimPercentile(Profit_4,$B88),NA())</f>
        <v>-0.15</v>
      </c>
      <c r="F88" s="64" cm="1">
        <f t="array" aca="1" ref="F88" ca="1">IF(ISNUMBER(_xll.VoseSimPercentile(Profit_6,$B88)),_xll.VoseSimPercentile(Profit_6,$B88),NA())</f>
        <v>-0.15</v>
      </c>
    </row>
    <row r="89" spans="2:6" hidden="1" outlineLevel="1" x14ac:dyDescent="0.45">
      <c r="B89" s="63">
        <v>0.43</v>
      </c>
      <c r="C89" s="63">
        <f t="shared" si="1"/>
        <v>0.57000000000000006</v>
      </c>
      <c r="D89" s="64" cm="1">
        <f t="array" aca="1" ref="D89" ca="1">IF(ISNUMBER(_xll.VoseSimPercentile(Profit_2,$B89)),_xll.VoseSimPercentile(Profit_2,$B89),NA())</f>
        <v>-0.15</v>
      </c>
      <c r="E89" s="64" cm="1">
        <f t="array" aca="1" ref="E89" ca="1">IF(ISNUMBER(_xll.VoseSimPercentile(Profit_4,$B89)),_xll.VoseSimPercentile(Profit_4,$B89),NA())</f>
        <v>-0.15</v>
      </c>
      <c r="F89" s="64" cm="1">
        <f t="array" aca="1" ref="F89" ca="1">IF(ISNUMBER(_xll.VoseSimPercentile(Profit_6,$B89)),_xll.VoseSimPercentile(Profit_6,$B89),NA())</f>
        <v>-0.15</v>
      </c>
    </row>
    <row r="90" spans="2:6" hidden="1" outlineLevel="1" x14ac:dyDescent="0.45">
      <c r="B90" s="63">
        <v>0.45</v>
      </c>
      <c r="C90" s="63">
        <f t="shared" si="1"/>
        <v>0.55000000000000004</v>
      </c>
      <c r="D90" s="64" cm="1">
        <f t="array" aca="1" ref="D90" ca="1">IF(ISNUMBER(_xll.VoseSimPercentile(Profit_2,$B90)),_xll.VoseSimPercentile(Profit_2,$B90),NA())</f>
        <v>-0.15</v>
      </c>
      <c r="E90" s="64" cm="1">
        <f t="array" aca="1" ref="E90" ca="1">IF(ISNUMBER(_xll.VoseSimPercentile(Profit_4,$B90)),_xll.VoseSimPercentile(Profit_4,$B90),NA())</f>
        <v>-0.15</v>
      </c>
      <c r="F90" s="64" cm="1">
        <f t="array" aca="1" ref="F90" ca="1">IF(ISNUMBER(_xll.VoseSimPercentile(Profit_6,$B90)),_xll.VoseSimPercentile(Profit_6,$B90),NA())</f>
        <v>-0.15</v>
      </c>
    </row>
    <row r="91" spans="2:6" hidden="1" outlineLevel="1" x14ac:dyDescent="0.45">
      <c r="B91" s="63">
        <v>0.47</v>
      </c>
      <c r="C91" s="63">
        <f t="shared" si="1"/>
        <v>0.53</v>
      </c>
      <c r="D91" s="64" cm="1">
        <f t="array" aca="1" ref="D91" ca="1">IF(ISNUMBER(_xll.VoseSimPercentile(Profit_2,$B91)),_xll.VoseSimPercentile(Profit_2,$B91),NA())</f>
        <v>-0.15</v>
      </c>
      <c r="E91" s="64" cm="1">
        <f t="array" aca="1" ref="E91" ca="1">IF(ISNUMBER(_xll.VoseSimPercentile(Profit_4,$B91)),_xll.VoseSimPercentile(Profit_4,$B91),NA())</f>
        <v>-0.15</v>
      </c>
      <c r="F91" s="64" cm="1">
        <f t="array" aca="1" ref="F91" ca="1">IF(ISNUMBER(_xll.VoseSimPercentile(Profit_6,$B91)),_xll.VoseSimPercentile(Profit_6,$B91),NA())</f>
        <v>-0.15</v>
      </c>
    </row>
    <row r="92" spans="2:6" hidden="1" outlineLevel="1" x14ac:dyDescent="0.45">
      <c r="B92" s="63">
        <v>0.49</v>
      </c>
      <c r="C92" s="63">
        <f t="shared" si="1"/>
        <v>0.51</v>
      </c>
      <c r="D92" s="64" cm="1">
        <f t="array" aca="1" ref="D92" ca="1">IF(ISNUMBER(_xll.VoseSimPercentile(Profit_2,$B92)),_xll.VoseSimPercentile(Profit_2,$B92),NA())</f>
        <v>-0.11743732862346476</v>
      </c>
      <c r="E92" s="64" cm="1">
        <f t="array" aca="1" ref="E92" ca="1">IF(ISNUMBER(_xll.VoseSimPercentile(Profit_4,$B92)),_xll.VoseSimPercentile(Profit_4,$B92),NA())</f>
        <v>-0.15</v>
      </c>
      <c r="F92" s="64" cm="1">
        <f t="array" aca="1" ref="F92" ca="1">IF(ISNUMBER(_xll.VoseSimPercentile(Profit_6,$B92)),_xll.VoseSimPercentile(Profit_6,$B92),NA())</f>
        <v>-0.15</v>
      </c>
    </row>
    <row r="93" spans="2:6" hidden="1" outlineLevel="1" x14ac:dyDescent="0.45">
      <c r="B93" s="63">
        <v>0.51</v>
      </c>
      <c r="C93" s="63">
        <f t="shared" si="1"/>
        <v>0.49</v>
      </c>
      <c r="D93" s="64" cm="1">
        <f t="array" aca="1" ref="D93" ca="1">IF(ISNUMBER(_xll.VoseSimPercentile(Profit_2,$B93)),_xll.VoseSimPercentile(Profit_2,$B93),NA())</f>
        <v>-6.7155437447846106E-2</v>
      </c>
      <c r="E93" s="64" cm="1">
        <f t="array" aca="1" ref="E93" ca="1">IF(ISNUMBER(_xll.VoseSimPercentile(Profit_4,$B93)),_xll.VoseSimPercentile(Profit_4,$B93),NA())</f>
        <v>-0.15</v>
      </c>
      <c r="F93" s="64" cm="1">
        <f t="array" aca="1" ref="F93" ca="1">IF(ISNUMBER(_xll.VoseSimPercentile(Profit_6,$B93)),_xll.VoseSimPercentile(Profit_6,$B93),NA())</f>
        <v>-0.15</v>
      </c>
    </row>
    <row r="94" spans="2:6" hidden="1" outlineLevel="1" x14ac:dyDescent="0.45">
      <c r="B94" s="63">
        <v>0.53</v>
      </c>
      <c r="C94" s="63">
        <f t="shared" si="1"/>
        <v>0.47</v>
      </c>
      <c r="D94" s="64" cm="1">
        <f t="array" aca="1" ref="D94" ca="1">IF(ISNUMBER(_xll.VoseSimPercentile(Profit_2,$B94)),_xll.VoseSimPercentile(Profit_2,$B94),NA())</f>
        <v>-1.3772260335966985E-2</v>
      </c>
      <c r="E94" s="64" cm="1">
        <f t="array" aca="1" ref="E94" ca="1">IF(ISNUMBER(_xll.VoseSimPercentile(Profit_4,$B94)),_xll.VoseSimPercentile(Profit_4,$B94),NA())</f>
        <v>-0.15</v>
      </c>
      <c r="F94" s="64" cm="1">
        <f t="array" aca="1" ref="F94" ca="1">IF(ISNUMBER(_xll.VoseSimPercentile(Profit_6,$B94)),_xll.VoseSimPercentile(Profit_6,$B94),NA())</f>
        <v>-0.15</v>
      </c>
    </row>
    <row r="95" spans="2:6" hidden="1" outlineLevel="1" x14ac:dyDescent="0.45">
      <c r="B95" s="63">
        <v>0.55000000000000004</v>
      </c>
      <c r="C95" s="63">
        <f t="shared" si="1"/>
        <v>0.44999999999999996</v>
      </c>
      <c r="D95" s="64" cm="1">
        <f t="array" aca="1" ref="D95" ca="1">IF(ISNUMBER(_xll.VoseSimPercentile(Profit_2,$B95)),_xll.VoseSimPercentile(Profit_2,$B95),NA())</f>
        <v>3.1002777022818867E-2</v>
      </c>
      <c r="E95" s="64" cm="1">
        <f t="array" aca="1" ref="E95" ca="1">IF(ISNUMBER(_xll.VoseSimPercentile(Profit_4,$B95)),_xll.VoseSimPercentile(Profit_4,$B95),NA())</f>
        <v>-0.11137989385225353</v>
      </c>
      <c r="F95" s="64" cm="1">
        <f t="array" aca="1" ref="F95" ca="1">IF(ISNUMBER(_xll.VoseSimPercentile(Profit_6,$B95)),_xll.VoseSimPercentile(Profit_6,$B95),NA())</f>
        <v>-0.15</v>
      </c>
    </row>
    <row r="96" spans="2:6" hidden="1" outlineLevel="1" x14ac:dyDescent="0.45">
      <c r="B96" s="63">
        <v>0.56999999999999995</v>
      </c>
      <c r="C96" s="63">
        <f t="shared" si="1"/>
        <v>0.43000000000000005</v>
      </c>
      <c r="D96" s="64" cm="1">
        <f t="array" aca="1" ref="D96" ca="1">IF(ISNUMBER(_xll.VoseSimPercentile(Profit_2,$B96)),_xll.VoseSimPercentile(Profit_2,$B96),NA())</f>
        <v>8.4218009157718404E-2</v>
      </c>
      <c r="E96" s="64" cm="1">
        <f t="array" aca="1" ref="E96" ca="1">IF(ISNUMBER(_xll.VoseSimPercentile(Profit_4,$B96)),_xll.VoseSimPercentile(Profit_4,$B96),NA())</f>
        <v>1.6236993123721538E-2</v>
      </c>
      <c r="F96" s="64" cm="1">
        <f t="array" aca="1" ref="F96" ca="1">IF(ISNUMBER(_xll.VoseSimPercentile(Profit_6,$B96)),_xll.VoseSimPercentile(Profit_6,$B96),NA())</f>
        <v>-0.15</v>
      </c>
    </row>
    <row r="97" spans="2:6" hidden="1" outlineLevel="1" x14ac:dyDescent="0.45">
      <c r="B97" s="63">
        <v>0.59</v>
      </c>
      <c r="C97" s="63">
        <f t="shared" si="1"/>
        <v>0.41000000000000003</v>
      </c>
      <c r="D97" s="64" cm="1">
        <f t="array" aca="1" ref="D97" ca="1">IF(ISNUMBER(_xll.VoseSimPercentile(Profit_2,$B97)),_xll.VoseSimPercentile(Profit_2,$B97),NA())</f>
        <v>0.14103765674664928</v>
      </c>
      <c r="E97" s="64" cm="1">
        <f t="array" aca="1" ref="E97" ca="1">IF(ISNUMBER(_xll.VoseSimPercentile(Profit_4,$B97)),_xll.VoseSimPercentile(Profit_4,$B97),NA())</f>
        <v>0.12161674678580639</v>
      </c>
      <c r="F97" s="64" cm="1">
        <f t="array" aca="1" ref="F97" ca="1">IF(ISNUMBER(_xll.VoseSimPercentile(Profit_6,$B97)),_xll.VoseSimPercentile(Profit_6,$B97),NA())</f>
        <v>-0.15</v>
      </c>
    </row>
    <row r="98" spans="2:6" hidden="1" outlineLevel="1" x14ac:dyDescent="0.45">
      <c r="B98" s="63">
        <v>0.61</v>
      </c>
      <c r="C98" s="63">
        <f t="shared" si="1"/>
        <v>0.39</v>
      </c>
      <c r="D98" s="64" cm="1">
        <f t="array" aca="1" ref="D98" ca="1">IF(ISNUMBER(_xll.VoseSimPercentile(Profit_2,$B98)),_xll.VoseSimPercentile(Profit_2,$B98),NA())</f>
        <v>0.19374780601100242</v>
      </c>
      <c r="E98" s="64" cm="1">
        <f t="array" aca="1" ref="E98" ca="1">IF(ISNUMBER(_xll.VoseSimPercentile(Profit_4,$B98)),_xll.VoseSimPercentile(Profit_4,$B98),NA())</f>
        <v>0.21542600016764837</v>
      </c>
      <c r="F98" s="64" cm="1">
        <f t="array" aca="1" ref="F98" ca="1">IF(ISNUMBER(_xll.VoseSimPercentile(Profit_6,$B98)),_xll.VoseSimPercentile(Profit_6,$B98),NA())</f>
        <v>-0.15</v>
      </c>
    </row>
    <row r="99" spans="2:6" hidden="1" outlineLevel="1" x14ac:dyDescent="0.45">
      <c r="B99" s="63">
        <v>0.63</v>
      </c>
      <c r="C99" s="63">
        <f t="shared" si="1"/>
        <v>0.37</v>
      </c>
      <c r="D99" s="64" cm="1">
        <f t="array" aca="1" ref="D99" ca="1">IF(ISNUMBER(_xll.VoseSimPercentile(Profit_2,$B99)),_xll.VoseSimPercentile(Profit_2,$B99),NA())</f>
        <v>0.24963764234503075</v>
      </c>
      <c r="E99" s="64" cm="1">
        <f t="array" aca="1" ref="E99" ca="1">IF(ISNUMBER(_xll.VoseSimPercentile(Profit_4,$B99)),_xll.VoseSimPercentile(Profit_4,$B99),NA())</f>
        <v>0.29674549936108929</v>
      </c>
      <c r="F99" s="64" cm="1">
        <f t="array" aca="1" ref="F99" ca="1">IF(ISNUMBER(_xll.VoseSimPercentile(Profit_6,$B99)),_xll.VoseSimPercentile(Profit_6,$B99),NA())</f>
        <v>-0.15</v>
      </c>
    </row>
    <row r="100" spans="2:6" hidden="1" outlineLevel="1" x14ac:dyDescent="0.45">
      <c r="B100" s="63">
        <v>0.65</v>
      </c>
      <c r="C100" s="63">
        <f t="shared" ref="C100:C131" si="2">1-B100</f>
        <v>0.35</v>
      </c>
      <c r="D100" s="64" cm="1">
        <f t="array" aca="1" ref="D100" ca="1">IF(ISNUMBER(_xll.VoseSimPercentile(Profit_2,$B100)),_xll.VoseSimPercentile(Profit_2,$B100),NA())</f>
        <v>0.29194406834941444</v>
      </c>
      <c r="E100" s="64" cm="1">
        <f t="array" aca="1" ref="E100" ca="1">IF(ISNUMBER(_xll.VoseSimPercentile(Profit_4,$B100)),_xll.VoseSimPercentile(Profit_4,$B100),NA())</f>
        <v>0.37389344729368046</v>
      </c>
      <c r="F100" s="64" cm="1">
        <f t="array" aca="1" ref="F100" ca="1">IF(ISNUMBER(_xll.VoseSimPercentile(Profit_6,$B100)),_xll.VoseSimPercentile(Profit_6,$B100),NA())</f>
        <v>-0.15</v>
      </c>
    </row>
    <row r="101" spans="2:6" hidden="1" outlineLevel="1" x14ac:dyDescent="0.45">
      <c r="B101" s="63">
        <v>0.67</v>
      </c>
      <c r="C101" s="63">
        <f t="shared" si="2"/>
        <v>0.32999999999999996</v>
      </c>
      <c r="D101" s="64" cm="1">
        <f t="array" aca="1" ref="D101" ca="1">IF(ISNUMBER(_xll.VoseSimPercentile(Profit_2,$B101)),_xll.VoseSimPercentile(Profit_2,$B101),NA())</f>
        <v>0.344234894559451</v>
      </c>
      <c r="E101" s="64" cm="1">
        <f t="array" aca="1" ref="E101" ca="1">IF(ISNUMBER(_xll.VoseSimPercentile(Profit_4,$B101)),_xll.VoseSimPercentile(Profit_4,$B101),NA())</f>
        <v>0.44805073416539043</v>
      </c>
      <c r="F101" s="64" cm="1">
        <f t="array" aca="1" ref="F101" ca="1">IF(ISNUMBER(_xll.VoseSimPercentile(Profit_6,$B101)),_xll.VoseSimPercentile(Profit_6,$B101),NA())</f>
        <v>-0.15</v>
      </c>
    </row>
    <row r="102" spans="2:6" hidden="1" outlineLevel="1" x14ac:dyDescent="0.45">
      <c r="B102" s="63">
        <v>0.69</v>
      </c>
      <c r="C102" s="63">
        <f t="shared" si="2"/>
        <v>0.31000000000000005</v>
      </c>
      <c r="D102" s="64" cm="1">
        <f t="array" aca="1" ref="D102" ca="1">IF(ISNUMBER(_xll.VoseSimPercentile(Profit_2,$B102)),_xll.VoseSimPercentile(Profit_2,$B102),NA())</f>
        <v>0.39542187138233087</v>
      </c>
      <c r="E102" s="64" cm="1">
        <f t="array" aca="1" ref="E102" ca="1">IF(ISNUMBER(_xll.VoseSimPercentile(Profit_4,$B102)),_xll.VoseSimPercentile(Profit_4,$B102),NA())</f>
        <v>0.51487615256394503</v>
      </c>
      <c r="F102" s="64" cm="1">
        <f t="array" aca="1" ref="F102" ca="1">IF(ISNUMBER(_xll.VoseSimPercentile(Profit_6,$B102)),_xll.VoseSimPercentile(Profit_6,$B102),NA())</f>
        <v>-0.15</v>
      </c>
    </row>
    <row r="103" spans="2:6" hidden="1" outlineLevel="1" x14ac:dyDescent="0.45">
      <c r="B103" s="63">
        <v>0.71</v>
      </c>
      <c r="C103" s="63">
        <f t="shared" si="2"/>
        <v>0.29000000000000004</v>
      </c>
      <c r="D103" s="64" cm="1">
        <f t="array" aca="1" ref="D103" ca="1">IF(ISNUMBER(_xll.VoseSimPercentile(Profit_2,$B103)),_xll.VoseSimPercentile(Profit_2,$B103),NA())</f>
        <v>0.44354649154289871</v>
      </c>
      <c r="E103" s="64" cm="1">
        <f t="array" aca="1" ref="E103" ca="1">IF(ISNUMBER(_xll.VoseSimPercentile(Profit_4,$B103)),_xll.VoseSimPercentile(Profit_4,$B103),NA())</f>
        <v>0.58414263817927858</v>
      </c>
      <c r="F103" s="64" cm="1">
        <f t="array" aca="1" ref="F103" ca="1">IF(ISNUMBER(_xll.VoseSimPercentile(Profit_6,$B103)),_xll.VoseSimPercentile(Profit_6,$B103),NA())</f>
        <v>-0.15</v>
      </c>
    </row>
    <row r="104" spans="2:6" hidden="1" outlineLevel="1" x14ac:dyDescent="0.45">
      <c r="B104" s="63">
        <v>0.73</v>
      </c>
      <c r="C104" s="63">
        <f t="shared" si="2"/>
        <v>0.27</v>
      </c>
      <c r="D104" s="64" cm="1">
        <f t="array" aca="1" ref="D104" ca="1">IF(ISNUMBER(_xll.VoseSimPercentile(Profit_2,$B104)),_xll.VoseSimPercentile(Profit_2,$B104),NA())</f>
        <v>0.4975099511943547</v>
      </c>
      <c r="E104" s="64" cm="1">
        <f t="array" aca="1" ref="E104" ca="1">IF(ISNUMBER(_xll.VoseSimPercentile(Profit_4,$B104)),_xll.VoseSimPercentile(Profit_4,$B104),NA())</f>
        <v>0.64506026403105776</v>
      </c>
      <c r="F104" s="64" cm="1">
        <f t="array" aca="1" ref="F104" ca="1">IF(ISNUMBER(_xll.VoseSimPercentile(Profit_6,$B104)),_xll.VoseSimPercentile(Profit_6,$B104),NA())</f>
        <v>-0.15</v>
      </c>
    </row>
    <row r="105" spans="2:6" hidden="1" outlineLevel="1" x14ac:dyDescent="0.45">
      <c r="B105" s="63">
        <v>0.75</v>
      </c>
      <c r="C105" s="63">
        <f t="shared" si="2"/>
        <v>0.25</v>
      </c>
      <c r="D105" s="64" cm="1">
        <f t="array" aca="1" ref="D105" ca="1">IF(ISNUMBER(_xll.VoseSimPercentile(Profit_2,$B105)),_xll.VoseSimPercentile(Profit_2,$B105),NA())</f>
        <v>0.54348303013984134</v>
      </c>
      <c r="E105" s="64" cm="1">
        <f t="array" aca="1" ref="E105" ca="1">IF(ISNUMBER(_xll.VoseSimPercentile(Profit_4,$B105)),_xll.VoseSimPercentile(Profit_4,$B105),NA())</f>
        <v>0.71005972676511531</v>
      </c>
      <c r="F105" s="64" cm="1">
        <f t="array" aca="1" ref="F105" ca="1">IF(ISNUMBER(_xll.VoseSimPercentile(Profit_6,$B105)),_xll.VoseSimPercentile(Profit_6,$B105),NA())</f>
        <v>3.11115822610816E-2</v>
      </c>
    </row>
    <row r="106" spans="2:6" hidden="1" outlineLevel="1" x14ac:dyDescent="0.45">
      <c r="B106" s="63">
        <v>0.77</v>
      </c>
      <c r="C106" s="63">
        <f t="shared" si="2"/>
        <v>0.22999999999999998</v>
      </c>
      <c r="D106" s="64" cm="1">
        <f t="array" aca="1" ref="D106" ca="1">IF(ISNUMBER(_xll.VoseSimPercentile(Profit_2,$B106)),_xll.VoseSimPercentile(Profit_2,$B106),NA())</f>
        <v>0.59308108893270484</v>
      </c>
      <c r="E106" s="64" cm="1">
        <f t="array" aca="1" ref="E106" ca="1">IF(ISNUMBER(_xll.VoseSimPercentile(Profit_4,$B106)),_xll.VoseSimPercentile(Profit_4,$B106),NA())</f>
        <v>0.77348167455658012</v>
      </c>
      <c r="F106" s="64" cm="1">
        <f t="array" aca="1" ref="F106" ca="1">IF(ISNUMBER(_xll.VoseSimPercentile(Profit_6,$B106)),_xll.VoseSimPercentile(Profit_6,$B106),NA())</f>
        <v>0.37417765013161242</v>
      </c>
    </row>
    <row r="107" spans="2:6" hidden="1" outlineLevel="1" x14ac:dyDescent="0.45">
      <c r="B107" s="63">
        <v>0.79</v>
      </c>
      <c r="C107" s="63">
        <f t="shared" si="2"/>
        <v>0.20999999999999996</v>
      </c>
      <c r="D107" s="64" cm="1">
        <f t="array" aca="1" ref="D107" ca="1">IF(ISNUMBER(_xll.VoseSimPercentile(Profit_2,$B107)),_xll.VoseSimPercentile(Profit_2,$B107),NA())</f>
        <v>0.64895065733975199</v>
      </c>
      <c r="E107" s="64" cm="1">
        <f t="array" aca="1" ref="E107" ca="1">IF(ISNUMBER(_xll.VoseSimPercentile(Profit_4,$B107)),_xll.VoseSimPercentile(Profit_4,$B107),NA())</f>
        <v>0.83506002608385754</v>
      </c>
      <c r="F107" s="64" cm="1">
        <f t="array" aca="1" ref="F107" ca="1">IF(ISNUMBER(_xll.VoseSimPercentile(Profit_6,$B107)),_xll.VoseSimPercentile(Profit_6,$B107),NA())</f>
        <v>0.59146755432550291</v>
      </c>
    </row>
    <row r="108" spans="2:6" hidden="1" outlineLevel="1" x14ac:dyDescent="0.45">
      <c r="B108" s="63">
        <v>0.81</v>
      </c>
      <c r="C108" s="63">
        <f t="shared" si="2"/>
        <v>0.18999999999999995</v>
      </c>
      <c r="D108" s="64" cm="1">
        <f t="array" aca="1" ref="D108" ca="1">IF(ISNUMBER(_xll.VoseSimPercentile(Profit_2,$B108)),_xll.VoseSimPercentile(Profit_2,$B108),NA())</f>
        <v>0.70343564959670457</v>
      </c>
      <c r="E108" s="64" cm="1">
        <f t="array" aca="1" ref="E108" ca="1">IF(ISNUMBER(_xll.VoseSimPercentile(Profit_4,$B108)),_xll.VoseSimPercentile(Profit_4,$B108),NA())</f>
        <v>0.90745868206703617</v>
      </c>
      <c r="F108" s="64" cm="1">
        <f t="array" aca="1" ref="F108" ca="1">IF(ISNUMBER(_xll.VoseSimPercentile(Profit_6,$B108)),_xll.VoseSimPercentile(Profit_6,$B108),NA())</f>
        <v>0.75824125363119277</v>
      </c>
    </row>
    <row r="109" spans="2:6" hidden="1" outlineLevel="1" x14ac:dyDescent="0.45">
      <c r="B109" s="63">
        <v>0.83</v>
      </c>
      <c r="C109" s="63">
        <f t="shared" si="2"/>
        <v>0.17000000000000004</v>
      </c>
      <c r="D109" s="64" cm="1">
        <f t="array" aca="1" ref="D109" ca="1">IF(ISNUMBER(_xll.VoseSimPercentile(Profit_2,$B109)),_xll.VoseSimPercentile(Profit_2,$B109),NA())</f>
        <v>0.75778612465538442</v>
      </c>
      <c r="E109" s="64" cm="1">
        <f t="array" aca="1" ref="E109" ca="1">IF(ISNUMBER(_xll.VoseSimPercentile(Profit_4,$B109)),_xll.VoseSimPercentile(Profit_4,$B109),NA())</f>
        <v>0.98444819531735417</v>
      </c>
      <c r="F109" s="64" cm="1">
        <f t="array" aca="1" ref="F109" ca="1">IF(ISNUMBER(_xll.VoseSimPercentile(Profit_6,$B109)),_xll.VoseSimPercentile(Profit_6,$B109),NA())</f>
        <v>0.89556994152561697</v>
      </c>
    </row>
    <row r="110" spans="2:6" hidden="1" outlineLevel="1" x14ac:dyDescent="0.45">
      <c r="B110" s="63">
        <v>0.85</v>
      </c>
      <c r="C110" s="63">
        <f t="shared" si="2"/>
        <v>0.15000000000000002</v>
      </c>
      <c r="D110" s="64" cm="1">
        <f t="array" aca="1" ref="D110" ca="1">IF(ISNUMBER(_xll.VoseSimPercentile(Profit_2,$B110)),_xll.VoseSimPercentile(Profit_2,$B110),NA())</f>
        <v>0.81987089780708045</v>
      </c>
      <c r="E110" s="64" cm="1">
        <f t="array" aca="1" ref="E110" ca="1">IF(ISNUMBER(_xll.VoseSimPercentile(Profit_4,$B110)),_xll.VoseSimPercentile(Profit_4,$B110),NA())</f>
        <v>1.0636458257588601</v>
      </c>
      <c r="F110" s="64" cm="1">
        <f t="array" aca="1" ref="F110" ca="1">IF(ISNUMBER(_xll.VoseSimPercentile(Profit_6,$B110)),_xll.VoseSimPercentile(Profit_6,$B110),NA())</f>
        <v>1.0281571810333703</v>
      </c>
    </row>
    <row r="111" spans="2:6" hidden="1" outlineLevel="1" x14ac:dyDescent="0.45">
      <c r="B111" s="63">
        <v>0.87</v>
      </c>
      <c r="C111" s="63">
        <f t="shared" si="2"/>
        <v>0.13</v>
      </c>
      <c r="D111" s="64" cm="1">
        <f t="array" aca="1" ref="D111" ca="1">IF(ISNUMBER(_xll.VoseSimPercentile(Profit_2,$B111)),_xll.VoseSimPercentile(Profit_2,$B111),NA())</f>
        <v>0.89331752681129328</v>
      </c>
      <c r="E111" s="64" cm="1">
        <f t="array" aca="1" ref="E111" ca="1">IF(ISNUMBER(_xll.VoseSimPercentile(Profit_4,$B111)),_xll.VoseSimPercentile(Profit_4,$B111),NA())</f>
        <v>1.1339000736856719</v>
      </c>
      <c r="F111" s="64" cm="1">
        <f t="array" aca="1" ref="F111" ca="1">IF(ISNUMBER(_xll.VoseSimPercentile(Profit_6,$B111)),_xll.VoseSimPercentile(Profit_6,$B111),NA())</f>
        <v>1.1470146890222304</v>
      </c>
    </row>
    <row r="112" spans="2:6" hidden="1" outlineLevel="1" x14ac:dyDescent="0.45">
      <c r="B112" s="63">
        <v>0.89</v>
      </c>
      <c r="C112" s="63">
        <f t="shared" si="2"/>
        <v>0.10999999999999999</v>
      </c>
      <c r="D112" s="64" cm="1">
        <f t="array" aca="1" ref="D112" ca="1">IF(ISNUMBER(_xll.VoseSimPercentile(Profit_2,$B112)),_xll.VoseSimPercentile(Profit_2,$B112),NA())</f>
        <v>0.959552500624126</v>
      </c>
      <c r="E112" s="64" cm="1">
        <f t="array" aca="1" ref="E112" ca="1">IF(ISNUMBER(_xll.VoseSimPercentile(Profit_4,$B112)),_xll.VoseSimPercentile(Profit_4,$B112),NA())</f>
        <v>1.2273611455596076</v>
      </c>
      <c r="F112" s="64" cm="1">
        <f t="array" aca="1" ref="F112" ca="1">IF(ISNUMBER(_xll.VoseSimPercentile(Profit_6,$B112)),_xll.VoseSimPercentile(Profit_6,$B112),NA())</f>
        <v>1.2682223341186671</v>
      </c>
    </row>
    <row r="113" spans="2:7" hidden="1" outlineLevel="1" x14ac:dyDescent="0.45">
      <c r="B113" s="63">
        <v>0.91</v>
      </c>
      <c r="C113" s="63">
        <f t="shared" si="2"/>
        <v>8.9999999999999969E-2</v>
      </c>
      <c r="D113" s="64" cm="1">
        <f t="array" aca="1" ref="D113" ca="1">IF(ISNUMBER(_xll.VoseSimPercentile(Profit_2,$B113)),_xll.VoseSimPercentile(Profit_2,$B113),NA())</f>
        <v>1.0329531436621395</v>
      </c>
      <c r="E113" s="64" cm="1">
        <f t="array" aca="1" ref="E113" ca="1">IF(ISNUMBER(_xll.VoseSimPercentile(Profit_4,$B113)),_xll.VoseSimPercentile(Profit_4,$B113),NA())</f>
        <v>1.3190761236689164</v>
      </c>
      <c r="F113" s="64" cm="1">
        <f t="array" aca="1" ref="F113" ca="1">IF(ISNUMBER(_xll.VoseSimPercentile(Profit_6,$B113)),_xll.VoseSimPercentile(Profit_6,$B113),NA())</f>
        <v>1.396835057037253</v>
      </c>
    </row>
    <row r="114" spans="2:7" hidden="1" outlineLevel="1" x14ac:dyDescent="0.45">
      <c r="B114" s="63">
        <v>0.93</v>
      </c>
      <c r="C114" s="63">
        <f t="shared" si="2"/>
        <v>6.9999999999999951E-2</v>
      </c>
      <c r="D114" s="64" cm="1">
        <f t="array" aca="1" ref="D114" ca="1">IF(ISNUMBER(_xll.VoseSimPercentile(Profit_2,$B114)),_xll.VoseSimPercentile(Profit_2,$B114),NA())</f>
        <v>1.1376588277823836</v>
      </c>
      <c r="E114" s="64" cm="1">
        <f t="array" aca="1" ref="E114" ca="1">IF(ISNUMBER(_xll.VoseSimPercentile(Profit_4,$B114)),_xll.VoseSimPercentile(Profit_4,$B114),NA())</f>
        <v>1.4150996810090946</v>
      </c>
      <c r="F114" s="64" cm="1">
        <f t="array" aca="1" ref="F114" ca="1">IF(ISNUMBER(_xll.VoseSimPercentile(Profit_6,$B114)),_xll.VoseSimPercentile(Profit_6,$B114),NA())</f>
        <v>1.5251847407761319</v>
      </c>
    </row>
    <row r="115" spans="2:7" hidden="1" outlineLevel="1" x14ac:dyDescent="0.45">
      <c r="B115" s="63">
        <v>0.95</v>
      </c>
      <c r="C115" s="63">
        <f t="shared" si="2"/>
        <v>5.0000000000000044E-2</v>
      </c>
      <c r="D115" s="64" cm="1">
        <f t="array" aca="1" ref="D115" ca="1">IF(ISNUMBER(_xll.VoseSimPercentile(Profit_2,$B115)),_xll.VoseSimPercentile(Profit_2,$B115),NA())</f>
        <v>1.2465149066794603</v>
      </c>
      <c r="E115" s="64" cm="1">
        <f t="array" aca="1" ref="E115" ca="1">IF(ISNUMBER(_xll.VoseSimPercentile(Profit_4,$B115)),_xll.VoseSimPercentile(Profit_4,$B115),NA())</f>
        <v>1.5533156044021781</v>
      </c>
      <c r="F115" s="64" cm="1">
        <f t="array" aca="1" ref="F115" ca="1">IF(ISNUMBER(_xll.VoseSimPercentile(Profit_6,$B115)),_xll.VoseSimPercentile(Profit_6,$B115),NA())</f>
        <v>1.6727775318828919</v>
      </c>
    </row>
    <row r="116" spans="2:7" hidden="1" outlineLevel="1" x14ac:dyDescent="0.45">
      <c r="B116" s="63">
        <v>0.97</v>
      </c>
      <c r="C116" s="63">
        <f t="shared" si="2"/>
        <v>3.0000000000000027E-2</v>
      </c>
      <c r="D116" s="64" cm="1">
        <f t="array" aca="1" ref="D116" ca="1">IF(ISNUMBER(_xll.VoseSimPercentile(Profit_2,$B116)),_xll.VoseSimPercentile(Profit_2,$B116),NA())</f>
        <v>1.3877405902428728</v>
      </c>
      <c r="E116" s="64" cm="1">
        <f t="array" aca="1" ref="E116" ca="1">IF(ISNUMBER(_xll.VoseSimPercentile(Profit_4,$B116)),_xll.VoseSimPercentile(Profit_4,$B116),NA())</f>
        <v>1.7187498369943186</v>
      </c>
      <c r="F116" s="64" cm="1">
        <f t="array" aca="1" ref="F116" ca="1">IF(ISNUMBER(_xll.VoseSimPercentile(Profit_6,$B116)),_xll.VoseSimPercentile(Profit_6,$B116),NA())</f>
        <v>1.8809495772864389</v>
      </c>
    </row>
    <row r="117" spans="2:7" hidden="1" outlineLevel="1" x14ac:dyDescent="0.45">
      <c r="B117" s="63">
        <v>0.99</v>
      </c>
      <c r="C117" s="63">
        <f t="shared" si="2"/>
        <v>1.0000000000000009E-2</v>
      </c>
      <c r="D117" s="64" cm="1">
        <f t="array" aca="1" ref="D117" ca="1">IF(ISNUMBER(_xll.VoseSimPercentile(Profit_2,$B117)),_xll.VoseSimPercentile(Profit_2,$B117),NA())</f>
        <v>1.6075521631297058</v>
      </c>
      <c r="E117" s="64" cm="1">
        <f t="array" aca="1" ref="E117" ca="1">IF(ISNUMBER(_xll.VoseSimPercentile(Profit_4,$B117)),_xll.VoseSimPercentile(Profit_4,$B117),NA())</f>
        <v>2.0189970617240811</v>
      </c>
      <c r="F117" s="64" cm="1">
        <f t="array" aca="1" ref="F117" ca="1">IF(ISNUMBER(_xll.VoseSimPercentile(Profit_6,$B117)),_xll.VoseSimPercentile(Profit_6,$B117),NA())</f>
        <v>2.23424047022286</v>
      </c>
    </row>
    <row r="118" spans="2:7" hidden="1" outlineLevel="1" x14ac:dyDescent="0.45"/>
    <row r="119" spans="2:7" hidden="1" outlineLevel="1" x14ac:dyDescent="0.45">
      <c r="B119" s="65" t="s">
        <v>215</v>
      </c>
      <c r="D119" s="66" cm="1">
        <f t="array" aca="1" ref="D119" ca="1">_xll.VoseSimMean(ProfitDetail)</f>
        <v>0.27367692684578337</v>
      </c>
    </row>
    <row r="120" spans="2:7" ht="18" hidden="1" customHeight="1" outlineLevel="1" x14ac:dyDescent="0.45">
      <c r="B120" s="23" t="s">
        <v>216</v>
      </c>
      <c r="C120" s="5"/>
      <c r="D120" s="5"/>
      <c r="E120" s="5"/>
      <c r="F120" s="24" t="s">
        <v>217</v>
      </c>
      <c r="G120" s="24" t="s">
        <v>218</v>
      </c>
    </row>
    <row r="121" spans="2:7" hidden="1" outlineLevel="1" x14ac:dyDescent="0.45">
      <c r="B121" s="67" t="str">
        <f t="shared" ref="B121:B126" ca="1" si="3">B47</f>
        <v>Наш коэффициент стоимости</v>
      </c>
      <c r="F121" s="68">
        <f t="shared" ref="F121:F126" ca="1" si="4">IFERROR(D47-$D$119,NA())</f>
        <v>0.21609771539357653</v>
      </c>
      <c r="G121" s="68">
        <f t="shared" ref="G121:G126" ca="1" si="5">IFERROR(C47-$D$119,NA())</f>
        <v>-0.37215071455526011</v>
      </c>
    </row>
    <row r="122" spans="2:7" hidden="1" outlineLevel="1" x14ac:dyDescent="0.45">
      <c r="B122" s="67" t="str">
        <f t="shared" ca="1" si="3"/>
        <v>Коэффициент цены конкурента 2</v>
      </c>
      <c r="F122" s="68">
        <f t="shared" ca="1" si="4"/>
        <v>0.1217808962600655</v>
      </c>
      <c r="G122" s="68">
        <f t="shared" ca="1" si="5"/>
        <v>-0.35012575443172789</v>
      </c>
    </row>
    <row r="123" spans="2:7" hidden="1" outlineLevel="1" x14ac:dyDescent="0.45">
      <c r="B123" s="67" t="str">
        <f t="shared" ca="1" si="3"/>
        <v>Коэффициент цены конкурента 4</v>
      </c>
      <c r="F123" s="68">
        <f t="shared" ca="1" si="4"/>
        <v>0.12472897923771303</v>
      </c>
      <c r="G123" s="68">
        <f t="shared" ca="1" si="5"/>
        <v>-0.33508836005665754</v>
      </c>
    </row>
    <row r="124" spans="2:7" hidden="1" outlineLevel="1" x14ac:dyDescent="0.45">
      <c r="B124" s="67" t="str">
        <f t="shared" ca="1" si="3"/>
        <v>Коэффициент цены конкурента 1</v>
      </c>
      <c r="F124" s="68">
        <f t="shared" ca="1" si="4"/>
        <v>0.10559177624007554</v>
      </c>
      <c r="G124" s="68">
        <f t="shared" ca="1" si="5"/>
        <v>-0.33692944002264991</v>
      </c>
    </row>
    <row r="125" spans="2:7" hidden="1" outlineLevel="1" x14ac:dyDescent="0.45">
      <c r="B125" s="67" t="str">
        <f t="shared" ca="1" si="3"/>
        <v>Коэффициент цены конкурента 3</v>
      </c>
      <c r="F125" s="68">
        <f t="shared" ca="1" si="4"/>
        <v>0.10508100485607613</v>
      </c>
      <c r="G125" s="68">
        <f t="shared" ca="1" si="5"/>
        <v>-0.32931189785771764</v>
      </c>
    </row>
    <row r="126" spans="2:7" hidden="1" outlineLevel="1" x14ac:dyDescent="0.45">
      <c r="B126" s="67" t="str">
        <f t="shared" ca="1" si="3"/>
        <v>Рыночный коэффициент</v>
      </c>
      <c r="F126" s="68">
        <f t="shared" ca="1" si="4"/>
        <v>6.9754417340122388E-2</v>
      </c>
      <c r="G126" s="68">
        <f t="shared" ca="1" si="5"/>
        <v>-0.12361245722528127</v>
      </c>
    </row>
  </sheetData>
  <mergeCells count="4">
    <mergeCell ref="B60:G60"/>
    <mergeCell ref="B62:G62"/>
    <mergeCell ref="B61:G61"/>
    <mergeCell ref="B59:G59"/>
  </mergeCells>
  <conditionalFormatting sqref="B7">
    <cfRule type="expression" dxfId="4" priority="2">
      <formula>LEFT($B$7,1)="✗"</formula>
    </cfRule>
  </conditionalFormatting>
  <conditionalFormatting sqref="B6:G6">
    <cfRule type="expression" dxfId="3" priority="1">
      <formula>LEFT($B$6,1)&lt;&gt;"✔"</formula>
    </cfRule>
  </conditionalFormatting>
  <conditionalFormatting sqref="B13:G23">
    <cfRule type="expression" dxfId="2" priority="3">
      <formula>AND(ISNUMBER($D13),$D13=MAX($D$13:$D$23))</formula>
    </cfRule>
  </conditionalFormatting>
  <conditionalFormatting sqref="D68:F117">
    <cfRule type="expression" dxfId="1" priority="4">
      <formula>ISNA(D68)</formula>
    </cfRule>
  </conditionalFormatting>
  <conditionalFormatting sqref="F121:G126">
    <cfRule type="expression" dxfId="0" priority="5">
      <formula>ISNA(F121)</formula>
    </cfRule>
  </conditionalFormatting>
  <hyperlinks>
    <hyperlink ref="B4" location="'Заявки'!A1" display="◂  Заявки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9A590-D3B6-41D8-BAFB-6DF7258A89AA}">
  <dimension ref="A1:B1"/>
  <sheetViews>
    <sheetView workbookViewId="0"/>
  </sheetViews>
  <sheetFormatPr defaultRowHeight="14.25" x14ac:dyDescent="0.45"/>
  <sheetData>
    <row r="1" spans="1:2" x14ac:dyDescent="0.45">
      <c r="A1" s="73" t="s">
        <v>219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DA800-0CB9-41DB-94EC-C46B3BB2D1CB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7D87A-3C71-490D-9EFA-0C3ED7A2F31C}">
  <dimension ref="B3:B512"/>
  <sheetViews>
    <sheetView workbookViewId="0"/>
  </sheetViews>
  <sheetFormatPr defaultRowHeight="14.25" x14ac:dyDescent="0.45"/>
  <sheetData>
    <row r="3" spans="2:2" x14ac:dyDescent="0.45">
      <c r="B3">
        <v>51</v>
      </c>
    </row>
    <row r="4" spans="2:2" x14ac:dyDescent="0.45">
      <c r="B4">
        <v>133</v>
      </c>
    </row>
    <row r="5" spans="2:2" x14ac:dyDescent="0.45">
      <c r="B5">
        <v>269</v>
      </c>
    </row>
    <row r="6" spans="2:2" x14ac:dyDescent="0.45">
      <c r="B6">
        <v>336</v>
      </c>
    </row>
    <row r="7" spans="2:2" x14ac:dyDescent="0.45">
      <c r="B7">
        <v>371</v>
      </c>
    </row>
    <row r="8" spans="2:2" x14ac:dyDescent="0.45">
      <c r="B8">
        <v>315</v>
      </c>
    </row>
    <row r="9" spans="2:2" x14ac:dyDescent="0.45">
      <c r="B9">
        <v>261</v>
      </c>
    </row>
    <row r="10" spans="2:2" x14ac:dyDescent="0.45">
      <c r="B10">
        <v>171</v>
      </c>
    </row>
    <row r="11" spans="2:2" x14ac:dyDescent="0.45">
      <c r="B11">
        <v>81</v>
      </c>
    </row>
    <row r="12" spans="2:2" x14ac:dyDescent="0.45">
      <c r="B12">
        <v>12</v>
      </c>
    </row>
    <row r="13" spans="2:2" x14ac:dyDescent="0.45">
      <c r="B13">
        <v>45</v>
      </c>
    </row>
    <row r="14" spans="2:2" x14ac:dyDescent="0.45">
      <c r="B14">
        <v>152</v>
      </c>
    </row>
    <row r="15" spans="2:2" x14ac:dyDescent="0.45">
      <c r="B15">
        <v>272</v>
      </c>
    </row>
    <row r="16" spans="2:2" x14ac:dyDescent="0.45">
      <c r="B16">
        <v>329</v>
      </c>
    </row>
    <row r="17" spans="2:2" x14ac:dyDescent="0.45">
      <c r="B17">
        <v>370</v>
      </c>
    </row>
    <row r="18" spans="2:2" x14ac:dyDescent="0.45">
      <c r="B18">
        <v>274</v>
      </c>
    </row>
    <row r="19" spans="2:2" x14ac:dyDescent="0.45">
      <c r="B19">
        <v>263</v>
      </c>
    </row>
    <row r="20" spans="2:2" x14ac:dyDescent="0.45">
      <c r="B20">
        <v>189</v>
      </c>
    </row>
    <row r="21" spans="2:2" x14ac:dyDescent="0.45">
      <c r="B21">
        <v>81</v>
      </c>
    </row>
    <row r="22" spans="2:2" x14ac:dyDescent="0.45">
      <c r="B22">
        <v>25</v>
      </c>
    </row>
    <row r="23" spans="2:2" x14ac:dyDescent="0.45">
      <c r="B23">
        <v>40</v>
      </c>
    </row>
    <row r="24" spans="2:2" x14ac:dyDescent="0.45">
      <c r="B24">
        <v>173</v>
      </c>
    </row>
    <row r="25" spans="2:2" x14ac:dyDescent="0.45">
      <c r="B25">
        <v>252</v>
      </c>
    </row>
    <row r="26" spans="2:2" x14ac:dyDescent="0.45">
      <c r="B26">
        <v>351</v>
      </c>
    </row>
    <row r="27" spans="2:2" x14ac:dyDescent="0.45">
      <c r="B27">
        <v>345</v>
      </c>
    </row>
    <row r="28" spans="2:2" x14ac:dyDescent="0.45">
      <c r="B28">
        <v>319</v>
      </c>
    </row>
    <row r="29" spans="2:2" x14ac:dyDescent="0.45">
      <c r="B29">
        <v>268</v>
      </c>
    </row>
    <row r="30" spans="2:2" x14ac:dyDescent="0.45">
      <c r="B30">
        <v>151</v>
      </c>
    </row>
    <row r="31" spans="2:2" x14ac:dyDescent="0.45">
      <c r="B31">
        <v>82</v>
      </c>
    </row>
    <row r="32" spans="2:2" x14ac:dyDescent="0.45">
      <c r="B32">
        <v>19</v>
      </c>
    </row>
    <row r="33" spans="2:2" x14ac:dyDescent="0.45">
      <c r="B33">
        <v>30</v>
      </c>
    </row>
    <row r="34" spans="2:2" x14ac:dyDescent="0.45">
      <c r="B34">
        <v>156</v>
      </c>
    </row>
    <row r="35" spans="2:2" x14ac:dyDescent="0.45">
      <c r="B35">
        <v>263</v>
      </c>
    </row>
    <row r="36" spans="2:2" x14ac:dyDescent="0.45">
      <c r="B36">
        <v>316</v>
      </c>
    </row>
    <row r="37" spans="2:2" x14ac:dyDescent="0.45">
      <c r="B37">
        <v>323</v>
      </c>
    </row>
    <row r="38" spans="2:2" x14ac:dyDescent="0.45">
      <c r="B38">
        <v>344</v>
      </c>
    </row>
    <row r="39" spans="2:2" x14ac:dyDescent="0.45">
      <c r="B39">
        <v>259</v>
      </c>
    </row>
    <row r="40" spans="2:2" x14ac:dyDescent="0.45">
      <c r="B40">
        <v>186</v>
      </c>
    </row>
    <row r="41" spans="2:2" x14ac:dyDescent="0.45">
      <c r="B41">
        <v>96</v>
      </c>
    </row>
    <row r="42" spans="2:2" x14ac:dyDescent="0.45">
      <c r="B42">
        <v>27</v>
      </c>
    </row>
    <row r="43" spans="2:2" x14ac:dyDescent="0.45">
      <c r="B43">
        <v>103</v>
      </c>
    </row>
    <row r="44" spans="2:2" x14ac:dyDescent="0.45">
      <c r="B44">
        <v>0</v>
      </c>
    </row>
    <row r="45" spans="2:2" x14ac:dyDescent="0.45">
      <c r="B45">
        <v>0</v>
      </c>
    </row>
    <row r="46" spans="2:2" x14ac:dyDescent="0.45">
      <c r="B46">
        <v>0</v>
      </c>
    </row>
    <row r="47" spans="2:2" x14ac:dyDescent="0.45">
      <c r="B47">
        <v>0</v>
      </c>
    </row>
    <row r="48" spans="2:2" x14ac:dyDescent="0.45">
      <c r="B48">
        <v>0</v>
      </c>
    </row>
    <row r="49" spans="2:2" x14ac:dyDescent="0.45">
      <c r="B49">
        <v>0</v>
      </c>
    </row>
    <row r="50" spans="2:2" x14ac:dyDescent="0.45">
      <c r="B50">
        <v>0</v>
      </c>
    </row>
    <row r="51" spans="2:2" x14ac:dyDescent="0.45">
      <c r="B51">
        <v>0</v>
      </c>
    </row>
    <row r="52" spans="2:2" x14ac:dyDescent="0.45">
      <c r="B52">
        <v>1897</v>
      </c>
    </row>
    <row r="53" spans="2:2" x14ac:dyDescent="0.45">
      <c r="B53">
        <v>1</v>
      </c>
    </row>
    <row r="54" spans="2:2" x14ac:dyDescent="0.45">
      <c r="B54">
        <v>21</v>
      </c>
    </row>
    <row r="55" spans="2:2" x14ac:dyDescent="0.45">
      <c r="B55">
        <v>67</v>
      </c>
    </row>
    <row r="56" spans="2:2" x14ac:dyDescent="0.45">
      <c r="B56">
        <v>173</v>
      </c>
    </row>
    <row r="57" spans="2:2" x14ac:dyDescent="0.45">
      <c r="B57">
        <v>354</v>
      </c>
    </row>
    <row r="58" spans="2:2" x14ac:dyDescent="0.45">
      <c r="B58">
        <v>457</v>
      </c>
    </row>
    <row r="59" spans="2:2" x14ac:dyDescent="0.45">
      <c r="B59">
        <v>553</v>
      </c>
    </row>
    <row r="60" spans="2:2" x14ac:dyDescent="0.45">
      <c r="B60">
        <v>290</v>
      </c>
    </row>
    <row r="61" spans="2:2" x14ac:dyDescent="0.45">
      <c r="B61">
        <v>75</v>
      </c>
    </row>
    <row r="62" spans="2:2" x14ac:dyDescent="0.45">
      <c r="B62">
        <v>9</v>
      </c>
    </row>
    <row r="63" spans="2:2" x14ac:dyDescent="0.45">
      <c r="B63">
        <v>822</v>
      </c>
    </row>
    <row r="64" spans="2:2" x14ac:dyDescent="0.45">
      <c r="B64">
        <v>0</v>
      </c>
    </row>
    <row r="65" spans="2:2" x14ac:dyDescent="0.45">
      <c r="B65">
        <v>0</v>
      </c>
    </row>
    <row r="66" spans="2:2" x14ac:dyDescent="0.45">
      <c r="B66">
        <v>0</v>
      </c>
    </row>
    <row r="67" spans="2:2" x14ac:dyDescent="0.45">
      <c r="B67">
        <v>0</v>
      </c>
    </row>
    <row r="68" spans="2:2" x14ac:dyDescent="0.45">
      <c r="B68">
        <v>0</v>
      </c>
    </row>
    <row r="69" spans="2:2" x14ac:dyDescent="0.45">
      <c r="B69">
        <v>0</v>
      </c>
    </row>
    <row r="70" spans="2:2" x14ac:dyDescent="0.45">
      <c r="B70">
        <v>0</v>
      </c>
    </row>
    <row r="71" spans="2:2" x14ac:dyDescent="0.45">
      <c r="B71">
        <v>0</v>
      </c>
    </row>
    <row r="72" spans="2:2" x14ac:dyDescent="0.45">
      <c r="B72">
        <v>1178</v>
      </c>
    </row>
    <row r="73" spans="2:2" x14ac:dyDescent="0.45">
      <c r="B73">
        <v>822</v>
      </c>
    </row>
    <row r="74" spans="2:2" x14ac:dyDescent="0.45">
      <c r="B74">
        <v>0</v>
      </c>
    </row>
    <row r="75" spans="2:2" x14ac:dyDescent="0.45">
      <c r="B75">
        <v>0</v>
      </c>
    </row>
    <row r="76" spans="2:2" x14ac:dyDescent="0.45">
      <c r="B76">
        <v>0</v>
      </c>
    </row>
    <row r="77" spans="2:2" x14ac:dyDescent="0.45">
      <c r="B77">
        <v>0</v>
      </c>
    </row>
    <row r="78" spans="2:2" x14ac:dyDescent="0.45">
      <c r="B78">
        <v>0</v>
      </c>
    </row>
    <row r="79" spans="2:2" x14ac:dyDescent="0.45">
      <c r="B79">
        <v>0</v>
      </c>
    </row>
    <row r="80" spans="2:2" x14ac:dyDescent="0.45">
      <c r="B80">
        <v>0</v>
      </c>
    </row>
    <row r="81" spans="2:2" x14ac:dyDescent="0.45">
      <c r="B81">
        <v>0</v>
      </c>
    </row>
    <row r="82" spans="2:2" x14ac:dyDescent="0.45">
      <c r="B82">
        <v>1178</v>
      </c>
    </row>
    <row r="83" spans="2:2" x14ac:dyDescent="0.45">
      <c r="B83">
        <v>235</v>
      </c>
    </row>
    <row r="84" spans="2:2" x14ac:dyDescent="0.45">
      <c r="B84">
        <v>0</v>
      </c>
    </row>
    <row r="85" spans="2:2" x14ac:dyDescent="0.45">
      <c r="B85">
        <v>0</v>
      </c>
    </row>
    <row r="86" spans="2:2" x14ac:dyDescent="0.45">
      <c r="B86">
        <v>0</v>
      </c>
    </row>
    <row r="87" spans="2:2" x14ac:dyDescent="0.45">
      <c r="B87">
        <v>0</v>
      </c>
    </row>
    <row r="88" spans="2:2" x14ac:dyDescent="0.45">
      <c r="B88">
        <v>0</v>
      </c>
    </row>
    <row r="89" spans="2:2" x14ac:dyDescent="0.45">
      <c r="B89">
        <v>0</v>
      </c>
    </row>
    <row r="90" spans="2:2" x14ac:dyDescent="0.45">
      <c r="B90">
        <v>0</v>
      </c>
    </row>
    <row r="91" spans="2:2" x14ac:dyDescent="0.45">
      <c r="B91">
        <v>0</v>
      </c>
    </row>
    <row r="92" spans="2:2" x14ac:dyDescent="0.45">
      <c r="B92">
        <v>1765</v>
      </c>
    </row>
    <row r="93" spans="2:2" x14ac:dyDescent="0.45">
      <c r="B93">
        <v>1</v>
      </c>
    </row>
    <row r="94" spans="2:2" x14ac:dyDescent="0.45">
      <c r="B94">
        <v>18</v>
      </c>
    </row>
    <row r="95" spans="2:2" x14ac:dyDescent="0.45">
      <c r="B95">
        <v>49</v>
      </c>
    </row>
    <row r="96" spans="2:2" x14ac:dyDescent="0.45">
      <c r="B96">
        <v>146</v>
      </c>
    </row>
    <row r="97" spans="2:2" x14ac:dyDescent="0.45">
      <c r="B97">
        <v>305</v>
      </c>
    </row>
    <row r="98" spans="2:2" x14ac:dyDescent="0.45">
      <c r="B98">
        <v>639</v>
      </c>
    </row>
    <row r="99" spans="2:2" x14ac:dyDescent="0.45">
      <c r="B99">
        <v>443</v>
      </c>
    </row>
    <row r="100" spans="2:2" x14ac:dyDescent="0.45">
      <c r="B100">
        <v>289</v>
      </c>
    </row>
    <row r="101" spans="2:2" x14ac:dyDescent="0.45">
      <c r="B101">
        <v>96</v>
      </c>
    </row>
    <row r="102" spans="2:2" x14ac:dyDescent="0.45">
      <c r="B102">
        <v>14</v>
      </c>
    </row>
    <row r="103" spans="2:2" x14ac:dyDescent="0.45">
      <c r="B103">
        <v>1175</v>
      </c>
    </row>
    <row r="104" spans="2:2" x14ac:dyDescent="0.45">
      <c r="B104">
        <v>0</v>
      </c>
    </row>
    <row r="105" spans="2:2" x14ac:dyDescent="0.45">
      <c r="B105">
        <v>0</v>
      </c>
    </row>
    <row r="106" spans="2:2" x14ac:dyDescent="0.45">
      <c r="B106">
        <v>0</v>
      </c>
    </row>
    <row r="107" spans="2:2" x14ac:dyDescent="0.45">
      <c r="B107">
        <v>0</v>
      </c>
    </row>
    <row r="108" spans="2:2" x14ac:dyDescent="0.45">
      <c r="B108">
        <v>0</v>
      </c>
    </row>
    <row r="109" spans="2:2" x14ac:dyDescent="0.45">
      <c r="B109">
        <v>0</v>
      </c>
    </row>
    <row r="110" spans="2:2" x14ac:dyDescent="0.45">
      <c r="B110">
        <v>0</v>
      </c>
    </row>
    <row r="111" spans="2:2" x14ac:dyDescent="0.45">
      <c r="B111">
        <v>0</v>
      </c>
    </row>
    <row r="112" spans="2:2" x14ac:dyDescent="0.45">
      <c r="B112">
        <v>825</v>
      </c>
    </row>
    <row r="113" spans="2:2" x14ac:dyDescent="0.45">
      <c r="B113">
        <v>1175</v>
      </c>
    </row>
    <row r="114" spans="2:2" x14ac:dyDescent="0.45">
      <c r="B114">
        <v>0</v>
      </c>
    </row>
    <row r="115" spans="2:2" x14ac:dyDescent="0.45">
      <c r="B115">
        <v>0</v>
      </c>
    </row>
    <row r="116" spans="2:2" x14ac:dyDescent="0.45">
      <c r="B116">
        <v>0</v>
      </c>
    </row>
    <row r="117" spans="2:2" x14ac:dyDescent="0.45">
      <c r="B117">
        <v>0</v>
      </c>
    </row>
    <row r="118" spans="2:2" x14ac:dyDescent="0.45">
      <c r="B118">
        <v>0</v>
      </c>
    </row>
    <row r="119" spans="2:2" x14ac:dyDescent="0.45">
      <c r="B119">
        <v>0</v>
      </c>
    </row>
    <row r="120" spans="2:2" x14ac:dyDescent="0.45">
      <c r="B120">
        <v>0</v>
      </c>
    </row>
    <row r="121" spans="2:2" x14ac:dyDescent="0.45">
      <c r="B121">
        <v>0</v>
      </c>
    </row>
    <row r="122" spans="2:2" x14ac:dyDescent="0.45">
      <c r="B122">
        <v>825</v>
      </c>
    </row>
    <row r="123" spans="2:2" x14ac:dyDescent="0.45">
      <c r="B123">
        <v>439</v>
      </c>
    </row>
    <row r="124" spans="2:2" x14ac:dyDescent="0.45">
      <c r="B124">
        <v>0</v>
      </c>
    </row>
    <row r="125" spans="2:2" x14ac:dyDescent="0.45">
      <c r="B125">
        <v>0</v>
      </c>
    </row>
    <row r="126" spans="2:2" x14ac:dyDescent="0.45">
      <c r="B126">
        <v>0</v>
      </c>
    </row>
    <row r="127" spans="2:2" x14ac:dyDescent="0.45">
      <c r="B127">
        <v>0</v>
      </c>
    </row>
    <row r="128" spans="2:2" x14ac:dyDescent="0.45">
      <c r="B128">
        <v>0</v>
      </c>
    </row>
    <row r="129" spans="2:2" x14ac:dyDescent="0.45">
      <c r="B129">
        <v>0</v>
      </c>
    </row>
    <row r="130" spans="2:2" x14ac:dyDescent="0.45">
      <c r="B130">
        <v>0</v>
      </c>
    </row>
    <row r="131" spans="2:2" x14ac:dyDescent="0.45">
      <c r="B131">
        <v>0</v>
      </c>
    </row>
    <row r="132" spans="2:2" x14ac:dyDescent="0.45">
      <c r="B132">
        <v>1561</v>
      </c>
    </row>
    <row r="133" spans="2:2" x14ac:dyDescent="0.45">
      <c r="B133">
        <v>1</v>
      </c>
    </row>
    <row r="134" spans="2:2" x14ac:dyDescent="0.45">
      <c r="B134">
        <v>15</v>
      </c>
    </row>
    <row r="135" spans="2:2" x14ac:dyDescent="0.45">
      <c r="B135">
        <v>42</v>
      </c>
    </row>
    <row r="136" spans="2:2" x14ac:dyDescent="0.45">
      <c r="B136">
        <v>125</v>
      </c>
    </row>
    <row r="137" spans="2:2" x14ac:dyDescent="0.45">
      <c r="B137">
        <v>255</v>
      </c>
    </row>
    <row r="138" spans="2:2" x14ac:dyDescent="0.45">
      <c r="B138">
        <v>818</v>
      </c>
    </row>
    <row r="139" spans="2:2" x14ac:dyDescent="0.45">
      <c r="B139">
        <v>400</v>
      </c>
    </row>
    <row r="140" spans="2:2" x14ac:dyDescent="0.45">
      <c r="B140">
        <v>248</v>
      </c>
    </row>
    <row r="141" spans="2:2" x14ac:dyDescent="0.45">
      <c r="B141">
        <v>87</v>
      </c>
    </row>
    <row r="142" spans="2:2" x14ac:dyDescent="0.45">
      <c r="B142">
        <v>9</v>
      </c>
    </row>
    <row r="143" spans="2:2" x14ac:dyDescent="0.45">
      <c r="B143">
        <v>1468</v>
      </c>
    </row>
    <row r="144" spans="2:2" x14ac:dyDescent="0.45">
      <c r="B144">
        <v>0</v>
      </c>
    </row>
    <row r="145" spans="2:2" x14ac:dyDescent="0.45">
      <c r="B145">
        <v>0</v>
      </c>
    </row>
    <row r="146" spans="2:2" x14ac:dyDescent="0.45">
      <c r="B146">
        <v>0</v>
      </c>
    </row>
    <row r="147" spans="2:2" x14ac:dyDescent="0.45">
      <c r="B147">
        <v>0</v>
      </c>
    </row>
    <row r="148" spans="2:2" x14ac:dyDescent="0.45">
      <c r="B148">
        <v>0</v>
      </c>
    </row>
    <row r="149" spans="2:2" x14ac:dyDescent="0.45">
      <c r="B149">
        <v>0</v>
      </c>
    </row>
    <row r="150" spans="2:2" x14ac:dyDescent="0.45">
      <c r="B150">
        <v>0</v>
      </c>
    </row>
    <row r="151" spans="2:2" x14ac:dyDescent="0.45">
      <c r="B151">
        <v>0</v>
      </c>
    </row>
    <row r="152" spans="2:2" x14ac:dyDescent="0.45">
      <c r="B152">
        <v>532</v>
      </c>
    </row>
    <row r="153" spans="2:2" x14ac:dyDescent="0.45">
      <c r="B153">
        <v>1468</v>
      </c>
    </row>
    <row r="154" spans="2:2" x14ac:dyDescent="0.45">
      <c r="B154">
        <v>0</v>
      </c>
    </row>
    <row r="155" spans="2:2" x14ac:dyDescent="0.45">
      <c r="B155">
        <v>0</v>
      </c>
    </row>
    <row r="156" spans="2:2" x14ac:dyDescent="0.45">
      <c r="B156">
        <v>0</v>
      </c>
    </row>
    <row r="157" spans="2:2" x14ac:dyDescent="0.45">
      <c r="B157">
        <v>0</v>
      </c>
    </row>
    <row r="158" spans="2:2" x14ac:dyDescent="0.45">
      <c r="B158">
        <v>0</v>
      </c>
    </row>
    <row r="159" spans="2:2" x14ac:dyDescent="0.45">
      <c r="B159">
        <v>0</v>
      </c>
    </row>
    <row r="160" spans="2:2" x14ac:dyDescent="0.45">
      <c r="B160">
        <v>0</v>
      </c>
    </row>
    <row r="161" spans="2:2" x14ac:dyDescent="0.45">
      <c r="B161">
        <v>0</v>
      </c>
    </row>
    <row r="162" spans="2:2" x14ac:dyDescent="0.45">
      <c r="B162">
        <v>532</v>
      </c>
    </row>
    <row r="163" spans="2:2" x14ac:dyDescent="0.45">
      <c r="B163">
        <v>681</v>
      </c>
    </row>
    <row r="164" spans="2:2" x14ac:dyDescent="0.45">
      <c r="B164">
        <v>0</v>
      </c>
    </row>
    <row r="165" spans="2:2" x14ac:dyDescent="0.45">
      <c r="B165">
        <v>0</v>
      </c>
    </row>
    <row r="166" spans="2:2" x14ac:dyDescent="0.45">
      <c r="B166">
        <v>0</v>
      </c>
    </row>
    <row r="167" spans="2:2" x14ac:dyDescent="0.45">
      <c r="B167">
        <v>0</v>
      </c>
    </row>
    <row r="168" spans="2:2" x14ac:dyDescent="0.45">
      <c r="B168">
        <v>0</v>
      </c>
    </row>
    <row r="169" spans="2:2" x14ac:dyDescent="0.45">
      <c r="B169">
        <v>0</v>
      </c>
    </row>
    <row r="170" spans="2:2" x14ac:dyDescent="0.45">
      <c r="B170">
        <v>0</v>
      </c>
    </row>
    <row r="171" spans="2:2" x14ac:dyDescent="0.45">
      <c r="B171">
        <v>0</v>
      </c>
    </row>
    <row r="172" spans="2:2" x14ac:dyDescent="0.45">
      <c r="B172">
        <v>1319</v>
      </c>
    </row>
    <row r="173" spans="2:2" x14ac:dyDescent="0.45">
      <c r="B173">
        <v>1</v>
      </c>
    </row>
    <row r="174" spans="2:2" x14ac:dyDescent="0.45">
      <c r="B174">
        <v>15</v>
      </c>
    </row>
    <row r="175" spans="2:2" x14ac:dyDescent="0.45">
      <c r="B175">
        <v>42</v>
      </c>
    </row>
    <row r="176" spans="2:2" x14ac:dyDescent="0.45">
      <c r="B176">
        <v>125</v>
      </c>
    </row>
    <row r="177" spans="2:2" x14ac:dyDescent="0.45">
      <c r="B177">
        <v>935</v>
      </c>
    </row>
    <row r="178" spans="2:2" x14ac:dyDescent="0.45">
      <c r="B178">
        <v>358</v>
      </c>
    </row>
    <row r="179" spans="2:2" x14ac:dyDescent="0.45">
      <c r="B179">
        <v>320</v>
      </c>
    </row>
    <row r="180" spans="2:2" x14ac:dyDescent="0.45">
      <c r="B180">
        <v>155</v>
      </c>
    </row>
    <row r="181" spans="2:2" x14ac:dyDescent="0.45">
      <c r="B181">
        <v>46</v>
      </c>
    </row>
    <row r="182" spans="2:2" x14ac:dyDescent="0.45">
      <c r="B182">
        <v>3</v>
      </c>
    </row>
    <row r="183" spans="2:2" x14ac:dyDescent="0.45">
      <c r="B183">
        <v>1723</v>
      </c>
    </row>
    <row r="184" spans="2:2" x14ac:dyDescent="0.45">
      <c r="B184">
        <v>0</v>
      </c>
    </row>
    <row r="185" spans="2:2" x14ac:dyDescent="0.45">
      <c r="B185">
        <v>0</v>
      </c>
    </row>
    <row r="186" spans="2:2" x14ac:dyDescent="0.45">
      <c r="B186">
        <v>0</v>
      </c>
    </row>
    <row r="187" spans="2:2" x14ac:dyDescent="0.45">
      <c r="B187">
        <v>0</v>
      </c>
    </row>
    <row r="188" spans="2:2" x14ac:dyDescent="0.45">
      <c r="B188">
        <v>0</v>
      </c>
    </row>
    <row r="189" spans="2:2" x14ac:dyDescent="0.45">
      <c r="B189">
        <v>0</v>
      </c>
    </row>
    <row r="190" spans="2:2" x14ac:dyDescent="0.45">
      <c r="B190">
        <v>0</v>
      </c>
    </row>
    <row r="191" spans="2:2" x14ac:dyDescent="0.45">
      <c r="B191">
        <v>0</v>
      </c>
    </row>
    <row r="192" spans="2:2" x14ac:dyDescent="0.45">
      <c r="B192">
        <v>277</v>
      </c>
    </row>
    <row r="193" spans="2:2" x14ac:dyDescent="0.45">
      <c r="B193">
        <v>1723</v>
      </c>
    </row>
    <row r="194" spans="2:2" x14ac:dyDescent="0.45">
      <c r="B194">
        <v>0</v>
      </c>
    </row>
    <row r="195" spans="2:2" x14ac:dyDescent="0.45">
      <c r="B195">
        <v>0</v>
      </c>
    </row>
    <row r="196" spans="2:2" x14ac:dyDescent="0.45">
      <c r="B196">
        <v>0</v>
      </c>
    </row>
    <row r="197" spans="2:2" x14ac:dyDescent="0.45">
      <c r="B197">
        <v>0</v>
      </c>
    </row>
    <row r="198" spans="2:2" x14ac:dyDescent="0.45">
      <c r="B198">
        <v>0</v>
      </c>
    </row>
    <row r="199" spans="2:2" x14ac:dyDescent="0.45">
      <c r="B199">
        <v>0</v>
      </c>
    </row>
    <row r="200" spans="2:2" x14ac:dyDescent="0.45">
      <c r="B200">
        <v>0</v>
      </c>
    </row>
    <row r="201" spans="2:2" x14ac:dyDescent="0.45">
      <c r="B201">
        <v>0</v>
      </c>
    </row>
    <row r="202" spans="2:2" x14ac:dyDescent="0.45">
      <c r="B202">
        <v>277</v>
      </c>
    </row>
    <row r="203" spans="2:2" x14ac:dyDescent="0.45">
      <c r="B203">
        <v>977</v>
      </c>
    </row>
    <row r="204" spans="2:2" x14ac:dyDescent="0.45">
      <c r="B204">
        <v>0</v>
      </c>
    </row>
    <row r="205" spans="2:2" x14ac:dyDescent="0.45">
      <c r="B205">
        <v>0</v>
      </c>
    </row>
    <row r="206" spans="2:2" x14ac:dyDescent="0.45">
      <c r="B206">
        <v>0</v>
      </c>
    </row>
    <row r="207" spans="2:2" x14ac:dyDescent="0.45">
      <c r="B207">
        <v>0</v>
      </c>
    </row>
    <row r="208" spans="2:2" x14ac:dyDescent="0.45">
      <c r="B208">
        <v>0</v>
      </c>
    </row>
    <row r="209" spans="2:2" x14ac:dyDescent="0.45">
      <c r="B209">
        <v>0</v>
      </c>
    </row>
    <row r="210" spans="2:2" x14ac:dyDescent="0.45">
      <c r="B210">
        <v>0</v>
      </c>
    </row>
    <row r="211" spans="2:2" x14ac:dyDescent="0.45">
      <c r="B211">
        <v>0</v>
      </c>
    </row>
    <row r="212" spans="2:2" x14ac:dyDescent="0.45">
      <c r="B212">
        <v>1023</v>
      </c>
    </row>
    <row r="213" spans="2:2" x14ac:dyDescent="0.45">
      <c r="B213">
        <v>1</v>
      </c>
    </row>
    <row r="214" spans="2:2" x14ac:dyDescent="0.45">
      <c r="B214">
        <v>15</v>
      </c>
    </row>
    <row r="215" spans="2:2" x14ac:dyDescent="0.45">
      <c r="B215">
        <v>42</v>
      </c>
    </row>
    <row r="216" spans="2:2" x14ac:dyDescent="0.45">
      <c r="B216">
        <v>1101</v>
      </c>
    </row>
    <row r="217" spans="2:2" x14ac:dyDescent="0.45">
      <c r="B217">
        <v>244</v>
      </c>
    </row>
    <row r="218" spans="2:2" x14ac:dyDescent="0.45">
      <c r="B218">
        <v>301</v>
      </c>
    </row>
    <row r="219" spans="2:2" x14ac:dyDescent="0.45">
      <c r="B219">
        <v>200</v>
      </c>
    </row>
    <row r="220" spans="2:2" x14ac:dyDescent="0.45">
      <c r="B220">
        <v>76</v>
      </c>
    </row>
    <row r="221" spans="2:2" x14ac:dyDescent="0.45">
      <c r="B221">
        <v>19</v>
      </c>
    </row>
    <row r="222" spans="2:2" x14ac:dyDescent="0.45">
      <c r="B222">
        <v>1</v>
      </c>
    </row>
    <row r="223" spans="2:2" x14ac:dyDescent="0.45">
      <c r="B223">
        <v>1872</v>
      </c>
    </row>
    <row r="224" spans="2:2" x14ac:dyDescent="0.45">
      <c r="B224">
        <v>0</v>
      </c>
    </row>
    <row r="225" spans="2:2" x14ac:dyDescent="0.45">
      <c r="B225">
        <v>0</v>
      </c>
    </row>
    <row r="226" spans="2:2" x14ac:dyDescent="0.45">
      <c r="B226">
        <v>0</v>
      </c>
    </row>
    <row r="227" spans="2:2" x14ac:dyDescent="0.45">
      <c r="B227">
        <v>0</v>
      </c>
    </row>
    <row r="228" spans="2:2" x14ac:dyDescent="0.45">
      <c r="B228">
        <v>0</v>
      </c>
    </row>
    <row r="229" spans="2:2" x14ac:dyDescent="0.45">
      <c r="B229">
        <v>0</v>
      </c>
    </row>
    <row r="230" spans="2:2" x14ac:dyDescent="0.45">
      <c r="B230">
        <v>0</v>
      </c>
    </row>
    <row r="231" spans="2:2" x14ac:dyDescent="0.45">
      <c r="B231">
        <v>0</v>
      </c>
    </row>
    <row r="232" spans="2:2" x14ac:dyDescent="0.45">
      <c r="B232">
        <v>128</v>
      </c>
    </row>
    <row r="233" spans="2:2" x14ac:dyDescent="0.45">
      <c r="B233">
        <v>1872</v>
      </c>
    </row>
    <row r="234" spans="2:2" x14ac:dyDescent="0.45">
      <c r="B234">
        <v>0</v>
      </c>
    </row>
    <row r="235" spans="2:2" x14ac:dyDescent="0.45">
      <c r="B235">
        <v>0</v>
      </c>
    </row>
    <row r="236" spans="2:2" x14ac:dyDescent="0.45">
      <c r="B236">
        <v>0</v>
      </c>
    </row>
    <row r="237" spans="2:2" x14ac:dyDescent="0.45">
      <c r="B237">
        <v>0</v>
      </c>
    </row>
    <row r="238" spans="2:2" x14ac:dyDescent="0.45">
      <c r="B238">
        <v>0</v>
      </c>
    </row>
    <row r="239" spans="2:2" x14ac:dyDescent="0.45">
      <c r="B239">
        <v>0</v>
      </c>
    </row>
    <row r="240" spans="2:2" x14ac:dyDescent="0.45">
      <c r="B240">
        <v>0</v>
      </c>
    </row>
    <row r="241" spans="2:2" x14ac:dyDescent="0.45">
      <c r="B241">
        <v>0</v>
      </c>
    </row>
    <row r="242" spans="2:2" x14ac:dyDescent="0.45">
      <c r="B242">
        <v>128</v>
      </c>
    </row>
    <row r="243" spans="2:2" x14ac:dyDescent="0.45">
      <c r="B243">
        <v>1228</v>
      </c>
    </row>
    <row r="244" spans="2:2" x14ac:dyDescent="0.45">
      <c r="B244">
        <v>0</v>
      </c>
    </row>
    <row r="245" spans="2:2" x14ac:dyDescent="0.45">
      <c r="B245">
        <v>0</v>
      </c>
    </row>
    <row r="246" spans="2:2" x14ac:dyDescent="0.45">
      <c r="B246">
        <v>0</v>
      </c>
    </row>
    <row r="247" spans="2:2" x14ac:dyDescent="0.45">
      <c r="B247">
        <v>0</v>
      </c>
    </row>
    <row r="248" spans="2:2" x14ac:dyDescent="0.45">
      <c r="B248">
        <v>0</v>
      </c>
    </row>
    <row r="249" spans="2:2" x14ac:dyDescent="0.45">
      <c r="B249">
        <v>0</v>
      </c>
    </row>
    <row r="250" spans="2:2" x14ac:dyDescent="0.45">
      <c r="B250">
        <v>0</v>
      </c>
    </row>
    <row r="251" spans="2:2" x14ac:dyDescent="0.45">
      <c r="B251">
        <v>0</v>
      </c>
    </row>
    <row r="252" spans="2:2" x14ac:dyDescent="0.45">
      <c r="B252">
        <v>772</v>
      </c>
    </row>
    <row r="253" spans="2:2" x14ac:dyDescent="0.45">
      <c r="B253">
        <v>1</v>
      </c>
    </row>
    <row r="254" spans="2:2" x14ac:dyDescent="0.45">
      <c r="B254">
        <v>8</v>
      </c>
    </row>
    <row r="255" spans="2:2" x14ac:dyDescent="0.45">
      <c r="B255">
        <v>23</v>
      </c>
    </row>
    <row r="256" spans="2:2" x14ac:dyDescent="0.45">
      <c r="B256">
        <v>1294</v>
      </c>
    </row>
    <row r="257" spans="2:2" x14ac:dyDescent="0.45">
      <c r="B257">
        <v>118</v>
      </c>
    </row>
    <row r="258" spans="2:2" x14ac:dyDescent="0.45">
      <c r="B258">
        <v>191</v>
      </c>
    </row>
    <row r="259" spans="2:2" x14ac:dyDescent="0.45">
      <c r="B259">
        <v>199</v>
      </c>
    </row>
    <row r="260" spans="2:2" x14ac:dyDescent="0.45">
      <c r="B260">
        <v>113</v>
      </c>
    </row>
    <row r="261" spans="2:2" x14ac:dyDescent="0.45">
      <c r="B261">
        <v>40</v>
      </c>
    </row>
    <row r="262" spans="2:2" x14ac:dyDescent="0.45">
      <c r="B262">
        <v>13</v>
      </c>
    </row>
    <row r="263" spans="2:2" x14ac:dyDescent="0.45">
      <c r="B263">
        <v>1956</v>
      </c>
    </row>
    <row r="264" spans="2:2" x14ac:dyDescent="0.45">
      <c r="B264">
        <v>0</v>
      </c>
    </row>
    <row r="265" spans="2:2" x14ac:dyDescent="0.45">
      <c r="B265">
        <v>0</v>
      </c>
    </row>
    <row r="266" spans="2:2" x14ac:dyDescent="0.45">
      <c r="B266">
        <v>0</v>
      </c>
    </row>
    <row r="267" spans="2:2" x14ac:dyDescent="0.45">
      <c r="B267">
        <v>0</v>
      </c>
    </row>
    <row r="268" spans="2:2" x14ac:dyDescent="0.45">
      <c r="B268">
        <v>0</v>
      </c>
    </row>
    <row r="269" spans="2:2" x14ac:dyDescent="0.45">
      <c r="B269">
        <v>0</v>
      </c>
    </row>
    <row r="270" spans="2:2" x14ac:dyDescent="0.45">
      <c r="B270">
        <v>0</v>
      </c>
    </row>
    <row r="271" spans="2:2" x14ac:dyDescent="0.45">
      <c r="B271">
        <v>0</v>
      </c>
    </row>
    <row r="272" spans="2:2" x14ac:dyDescent="0.45">
      <c r="B272">
        <v>44</v>
      </c>
    </row>
    <row r="273" spans="2:2" x14ac:dyDescent="0.45">
      <c r="B273">
        <v>1956</v>
      </c>
    </row>
    <row r="274" spans="2:2" x14ac:dyDescent="0.45">
      <c r="B274">
        <v>0</v>
      </c>
    </row>
    <row r="275" spans="2:2" x14ac:dyDescent="0.45">
      <c r="B275">
        <v>0</v>
      </c>
    </row>
    <row r="276" spans="2:2" x14ac:dyDescent="0.45">
      <c r="B276">
        <v>0</v>
      </c>
    </row>
    <row r="277" spans="2:2" x14ac:dyDescent="0.45">
      <c r="B277">
        <v>0</v>
      </c>
    </row>
    <row r="278" spans="2:2" x14ac:dyDescent="0.45">
      <c r="B278">
        <v>0</v>
      </c>
    </row>
    <row r="279" spans="2:2" x14ac:dyDescent="0.45">
      <c r="B279">
        <v>0</v>
      </c>
    </row>
    <row r="280" spans="2:2" x14ac:dyDescent="0.45">
      <c r="B280">
        <v>0</v>
      </c>
    </row>
    <row r="281" spans="2:2" x14ac:dyDescent="0.45">
      <c r="B281">
        <v>0</v>
      </c>
    </row>
    <row r="282" spans="2:2" x14ac:dyDescent="0.45">
      <c r="B282">
        <v>44</v>
      </c>
    </row>
    <row r="283" spans="2:2" x14ac:dyDescent="0.45">
      <c r="B283">
        <v>1470</v>
      </c>
    </row>
    <row r="284" spans="2:2" x14ac:dyDescent="0.45">
      <c r="B284">
        <v>0</v>
      </c>
    </row>
    <row r="285" spans="2:2" x14ac:dyDescent="0.45">
      <c r="B285">
        <v>0</v>
      </c>
    </row>
    <row r="286" spans="2:2" x14ac:dyDescent="0.45">
      <c r="B286">
        <v>0</v>
      </c>
    </row>
    <row r="287" spans="2:2" x14ac:dyDescent="0.45">
      <c r="B287">
        <v>0</v>
      </c>
    </row>
    <row r="288" spans="2:2" x14ac:dyDescent="0.45">
      <c r="B288">
        <v>0</v>
      </c>
    </row>
    <row r="289" spans="2:2" x14ac:dyDescent="0.45">
      <c r="B289">
        <v>0</v>
      </c>
    </row>
    <row r="290" spans="2:2" x14ac:dyDescent="0.45">
      <c r="B290">
        <v>0</v>
      </c>
    </row>
    <row r="291" spans="2:2" x14ac:dyDescent="0.45">
      <c r="B291">
        <v>0</v>
      </c>
    </row>
    <row r="292" spans="2:2" x14ac:dyDescent="0.45">
      <c r="B292">
        <v>530</v>
      </c>
    </row>
    <row r="293" spans="2:2" x14ac:dyDescent="0.45">
      <c r="B293">
        <v>1</v>
      </c>
    </row>
    <row r="294" spans="2:2" x14ac:dyDescent="0.45">
      <c r="B294">
        <v>8</v>
      </c>
    </row>
    <row r="295" spans="2:2" x14ac:dyDescent="0.45">
      <c r="B295">
        <v>1493</v>
      </c>
    </row>
    <row r="296" spans="2:2" x14ac:dyDescent="0.45">
      <c r="B296">
        <v>64</v>
      </c>
    </row>
    <row r="297" spans="2:2" x14ac:dyDescent="0.45">
      <c r="B297">
        <v>101</v>
      </c>
    </row>
    <row r="298" spans="2:2" x14ac:dyDescent="0.45">
      <c r="B298">
        <v>131</v>
      </c>
    </row>
    <row r="299" spans="2:2" x14ac:dyDescent="0.45">
      <c r="B299">
        <v>122</v>
      </c>
    </row>
    <row r="300" spans="2:2" x14ac:dyDescent="0.45">
      <c r="B300">
        <v>61</v>
      </c>
    </row>
    <row r="301" spans="2:2" x14ac:dyDescent="0.45">
      <c r="B301">
        <v>16</v>
      </c>
    </row>
    <row r="302" spans="2:2" x14ac:dyDescent="0.45">
      <c r="B302">
        <v>3</v>
      </c>
    </row>
    <row r="303" spans="2:2" x14ac:dyDescent="0.45">
      <c r="B303">
        <v>1984</v>
      </c>
    </row>
    <row r="304" spans="2:2" x14ac:dyDescent="0.45">
      <c r="B304">
        <v>0</v>
      </c>
    </row>
    <row r="305" spans="2:2" x14ac:dyDescent="0.45">
      <c r="B305">
        <v>0</v>
      </c>
    </row>
    <row r="306" spans="2:2" x14ac:dyDescent="0.45">
      <c r="B306">
        <v>0</v>
      </c>
    </row>
    <row r="307" spans="2:2" x14ac:dyDescent="0.45">
      <c r="B307">
        <v>0</v>
      </c>
    </row>
    <row r="308" spans="2:2" x14ac:dyDescent="0.45">
      <c r="B308">
        <v>0</v>
      </c>
    </row>
    <row r="309" spans="2:2" x14ac:dyDescent="0.45">
      <c r="B309">
        <v>0</v>
      </c>
    </row>
    <row r="310" spans="2:2" x14ac:dyDescent="0.45">
      <c r="B310">
        <v>0</v>
      </c>
    </row>
    <row r="311" spans="2:2" x14ac:dyDescent="0.45">
      <c r="B311">
        <v>0</v>
      </c>
    </row>
    <row r="312" spans="2:2" x14ac:dyDescent="0.45">
      <c r="B312">
        <v>16</v>
      </c>
    </row>
    <row r="313" spans="2:2" x14ac:dyDescent="0.45">
      <c r="B313">
        <v>1984</v>
      </c>
    </row>
    <row r="314" spans="2:2" x14ac:dyDescent="0.45">
      <c r="B314">
        <v>0</v>
      </c>
    </row>
    <row r="315" spans="2:2" x14ac:dyDescent="0.45">
      <c r="B315">
        <v>0</v>
      </c>
    </row>
    <row r="316" spans="2:2" x14ac:dyDescent="0.45">
      <c r="B316">
        <v>0</v>
      </c>
    </row>
    <row r="317" spans="2:2" x14ac:dyDescent="0.45">
      <c r="B317">
        <v>0</v>
      </c>
    </row>
    <row r="318" spans="2:2" x14ac:dyDescent="0.45">
      <c r="B318">
        <v>0</v>
      </c>
    </row>
    <row r="319" spans="2:2" x14ac:dyDescent="0.45">
      <c r="B319">
        <v>0</v>
      </c>
    </row>
    <row r="320" spans="2:2" x14ac:dyDescent="0.45">
      <c r="B320">
        <v>0</v>
      </c>
    </row>
    <row r="321" spans="2:2" x14ac:dyDescent="0.45">
      <c r="B321">
        <v>0</v>
      </c>
    </row>
    <row r="322" spans="2:2" x14ac:dyDescent="0.45">
      <c r="B322">
        <v>16</v>
      </c>
    </row>
    <row r="323" spans="2:2" x14ac:dyDescent="0.45">
      <c r="B323">
        <v>1668</v>
      </c>
    </row>
    <row r="324" spans="2:2" x14ac:dyDescent="0.45">
      <c r="B324">
        <v>0</v>
      </c>
    </row>
    <row r="325" spans="2:2" x14ac:dyDescent="0.45">
      <c r="B325">
        <v>0</v>
      </c>
    </row>
    <row r="326" spans="2:2" x14ac:dyDescent="0.45">
      <c r="B326">
        <v>0</v>
      </c>
    </row>
    <row r="327" spans="2:2" x14ac:dyDescent="0.45">
      <c r="B327">
        <v>0</v>
      </c>
    </row>
    <row r="328" spans="2:2" x14ac:dyDescent="0.45">
      <c r="B328">
        <v>0</v>
      </c>
    </row>
    <row r="329" spans="2:2" x14ac:dyDescent="0.45">
      <c r="B329">
        <v>0</v>
      </c>
    </row>
    <row r="330" spans="2:2" x14ac:dyDescent="0.45">
      <c r="B330">
        <v>0</v>
      </c>
    </row>
    <row r="331" spans="2:2" x14ac:dyDescent="0.45">
      <c r="B331">
        <v>0</v>
      </c>
    </row>
    <row r="332" spans="2:2" x14ac:dyDescent="0.45">
      <c r="B332">
        <v>332</v>
      </c>
    </row>
    <row r="333" spans="2:2" x14ac:dyDescent="0.45">
      <c r="B333">
        <v>1</v>
      </c>
    </row>
    <row r="334" spans="2:2" x14ac:dyDescent="0.45">
      <c r="B334">
        <v>1673</v>
      </c>
    </row>
    <row r="335" spans="2:2" x14ac:dyDescent="0.45">
      <c r="B335">
        <v>17</v>
      </c>
    </row>
    <row r="336" spans="2:2" x14ac:dyDescent="0.45">
      <c r="B336">
        <v>33</v>
      </c>
    </row>
    <row r="337" spans="2:2" x14ac:dyDescent="0.45">
      <c r="B337">
        <v>64</v>
      </c>
    </row>
    <row r="338" spans="2:2" x14ac:dyDescent="0.45">
      <c r="B338">
        <v>77</v>
      </c>
    </row>
    <row r="339" spans="2:2" x14ac:dyDescent="0.45">
      <c r="B339">
        <v>66</v>
      </c>
    </row>
    <row r="340" spans="2:2" x14ac:dyDescent="0.45">
      <c r="B340">
        <v>43</v>
      </c>
    </row>
    <row r="341" spans="2:2" x14ac:dyDescent="0.45">
      <c r="B341">
        <v>20</v>
      </c>
    </row>
    <row r="342" spans="2:2" x14ac:dyDescent="0.45">
      <c r="B342">
        <v>6</v>
      </c>
    </row>
    <row r="343" spans="2:2" x14ac:dyDescent="0.45">
      <c r="B343">
        <v>1999</v>
      </c>
    </row>
    <row r="344" spans="2:2" x14ac:dyDescent="0.45">
      <c r="B344">
        <v>0</v>
      </c>
    </row>
    <row r="345" spans="2:2" x14ac:dyDescent="0.45">
      <c r="B345">
        <v>0</v>
      </c>
    </row>
    <row r="346" spans="2:2" x14ac:dyDescent="0.45">
      <c r="B346">
        <v>0</v>
      </c>
    </row>
    <row r="347" spans="2:2" x14ac:dyDescent="0.45">
      <c r="B347">
        <v>0</v>
      </c>
    </row>
    <row r="348" spans="2:2" x14ac:dyDescent="0.45">
      <c r="B348">
        <v>0</v>
      </c>
    </row>
    <row r="349" spans="2:2" x14ac:dyDescent="0.45">
      <c r="B349">
        <v>0</v>
      </c>
    </row>
    <row r="350" spans="2:2" x14ac:dyDescent="0.45">
      <c r="B350">
        <v>0</v>
      </c>
    </row>
    <row r="351" spans="2:2" x14ac:dyDescent="0.45">
      <c r="B351">
        <v>0</v>
      </c>
    </row>
    <row r="352" spans="2:2" x14ac:dyDescent="0.45">
      <c r="B352">
        <v>1</v>
      </c>
    </row>
    <row r="353" spans="2:2" x14ac:dyDescent="0.45">
      <c r="B353">
        <v>1999</v>
      </c>
    </row>
    <row r="354" spans="2:2" x14ac:dyDescent="0.45">
      <c r="B354">
        <v>0</v>
      </c>
    </row>
    <row r="355" spans="2:2" x14ac:dyDescent="0.45">
      <c r="B355">
        <v>0</v>
      </c>
    </row>
    <row r="356" spans="2:2" x14ac:dyDescent="0.45">
      <c r="B356">
        <v>0</v>
      </c>
    </row>
    <row r="357" spans="2:2" x14ac:dyDescent="0.45">
      <c r="B357">
        <v>0</v>
      </c>
    </row>
    <row r="358" spans="2:2" x14ac:dyDescent="0.45">
      <c r="B358">
        <v>0</v>
      </c>
    </row>
    <row r="359" spans="2:2" x14ac:dyDescent="0.45">
      <c r="B359">
        <v>0</v>
      </c>
    </row>
    <row r="360" spans="2:2" x14ac:dyDescent="0.45">
      <c r="B360">
        <v>0</v>
      </c>
    </row>
    <row r="361" spans="2:2" x14ac:dyDescent="0.45">
      <c r="B361">
        <v>0</v>
      </c>
    </row>
    <row r="362" spans="2:2" x14ac:dyDescent="0.45">
      <c r="B362">
        <v>1</v>
      </c>
    </row>
    <row r="363" spans="2:2" x14ac:dyDescent="0.45">
      <c r="B363">
        <v>1803</v>
      </c>
    </row>
    <row r="364" spans="2:2" x14ac:dyDescent="0.45">
      <c r="B364">
        <v>0</v>
      </c>
    </row>
    <row r="365" spans="2:2" x14ac:dyDescent="0.45">
      <c r="B365">
        <v>0</v>
      </c>
    </row>
    <row r="366" spans="2:2" x14ac:dyDescent="0.45">
      <c r="B366">
        <v>0</v>
      </c>
    </row>
    <row r="367" spans="2:2" x14ac:dyDescent="0.45">
      <c r="B367">
        <v>0</v>
      </c>
    </row>
    <row r="368" spans="2:2" x14ac:dyDescent="0.45">
      <c r="B368">
        <v>0</v>
      </c>
    </row>
    <row r="369" spans="2:2" x14ac:dyDescent="0.45">
      <c r="B369">
        <v>0</v>
      </c>
    </row>
    <row r="370" spans="2:2" x14ac:dyDescent="0.45">
      <c r="B370">
        <v>0</v>
      </c>
    </row>
    <row r="371" spans="2:2" x14ac:dyDescent="0.45">
      <c r="B371">
        <v>0</v>
      </c>
    </row>
    <row r="372" spans="2:2" x14ac:dyDescent="0.45">
      <c r="B372">
        <v>197</v>
      </c>
    </row>
    <row r="373" spans="2:2" x14ac:dyDescent="0.45">
      <c r="B373">
        <v>1804</v>
      </c>
    </row>
    <row r="374" spans="2:2" x14ac:dyDescent="0.45">
      <c r="B374">
        <v>4</v>
      </c>
    </row>
    <row r="375" spans="2:2" x14ac:dyDescent="0.45">
      <c r="B375">
        <v>11</v>
      </c>
    </row>
    <row r="376" spans="2:2" x14ac:dyDescent="0.45">
      <c r="B376">
        <v>17</v>
      </c>
    </row>
    <row r="377" spans="2:2" x14ac:dyDescent="0.45">
      <c r="B377">
        <v>41</v>
      </c>
    </row>
    <row r="378" spans="2:2" x14ac:dyDescent="0.45">
      <c r="B378">
        <v>44</v>
      </c>
    </row>
    <row r="379" spans="2:2" x14ac:dyDescent="0.45">
      <c r="B379">
        <v>41</v>
      </c>
    </row>
    <row r="380" spans="2:2" x14ac:dyDescent="0.45">
      <c r="B380">
        <v>30</v>
      </c>
    </row>
    <row r="381" spans="2:2" x14ac:dyDescent="0.45">
      <c r="B381">
        <v>6</v>
      </c>
    </row>
    <row r="382" spans="2:2" x14ac:dyDescent="0.45">
      <c r="B382">
        <v>2</v>
      </c>
    </row>
    <row r="383" spans="2:2" x14ac:dyDescent="0.45">
      <c r="B383">
        <v>1999</v>
      </c>
    </row>
    <row r="384" spans="2:2" x14ac:dyDescent="0.45">
      <c r="B384">
        <v>0</v>
      </c>
    </row>
    <row r="385" spans="2:2" x14ac:dyDescent="0.45">
      <c r="B385">
        <v>0</v>
      </c>
    </row>
    <row r="386" spans="2:2" x14ac:dyDescent="0.45">
      <c r="B386">
        <v>0</v>
      </c>
    </row>
    <row r="387" spans="2:2" x14ac:dyDescent="0.45">
      <c r="B387">
        <v>0</v>
      </c>
    </row>
    <row r="388" spans="2:2" x14ac:dyDescent="0.45">
      <c r="B388">
        <v>0</v>
      </c>
    </row>
    <row r="389" spans="2:2" x14ac:dyDescent="0.45">
      <c r="B389">
        <v>0</v>
      </c>
    </row>
    <row r="390" spans="2:2" x14ac:dyDescent="0.45">
      <c r="B390">
        <v>0</v>
      </c>
    </row>
    <row r="391" spans="2:2" x14ac:dyDescent="0.45">
      <c r="B391">
        <v>0</v>
      </c>
    </row>
    <row r="392" spans="2:2" x14ac:dyDescent="0.45">
      <c r="B392">
        <v>1</v>
      </c>
    </row>
    <row r="393" spans="2:2" x14ac:dyDescent="0.45">
      <c r="B393">
        <v>1999</v>
      </c>
    </row>
    <row r="394" spans="2:2" x14ac:dyDescent="0.45">
      <c r="B394">
        <v>0</v>
      </c>
    </row>
    <row r="395" spans="2:2" x14ac:dyDescent="0.45">
      <c r="B395">
        <v>0</v>
      </c>
    </row>
    <row r="396" spans="2:2" x14ac:dyDescent="0.45">
      <c r="B396">
        <v>0</v>
      </c>
    </row>
    <row r="397" spans="2:2" x14ac:dyDescent="0.45">
      <c r="B397">
        <v>0</v>
      </c>
    </row>
    <row r="398" spans="2:2" x14ac:dyDescent="0.45">
      <c r="B398">
        <v>0</v>
      </c>
    </row>
    <row r="399" spans="2:2" x14ac:dyDescent="0.45">
      <c r="B399">
        <v>0</v>
      </c>
    </row>
    <row r="400" spans="2:2" x14ac:dyDescent="0.45">
      <c r="B400">
        <v>0</v>
      </c>
    </row>
    <row r="401" spans="2:2" x14ac:dyDescent="0.45">
      <c r="B401">
        <v>0</v>
      </c>
    </row>
    <row r="402" spans="2:2" x14ac:dyDescent="0.45">
      <c r="B402">
        <v>1</v>
      </c>
    </row>
    <row r="403" spans="2:2" x14ac:dyDescent="0.45">
      <c r="B403">
        <v>1903</v>
      </c>
    </row>
    <row r="404" spans="2:2" x14ac:dyDescent="0.45">
      <c r="B404">
        <v>0</v>
      </c>
    </row>
    <row r="405" spans="2:2" x14ac:dyDescent="0.45">
      <c r="B405">
        <v>0</v>
      </c>
    </row>
    <row r="406" spans="2:2" x14ac:dyDescent="0.45">
      <c r="B406">
        <v>0</v>
      </c>
    </row>
    <row r="407" spans="2:2" x14ac:dyDescent="0.45">
      <c r="B407">
        <v>0</v>
      </c>
    </row>
    <row r="408" spans="2:2" x14ac:dyDescent="0.45">
      <c r="B408">
        <v>0</v>
      </c>
    </row>
    <row r="409" spans="2:2" x14ac:dyDescent="0.45">
      <c r="B409">
        <v>0</v>
      </c>
    </row>
    <row r="410" spans="2:2" x14ac:dyDescent="0.45">
      <c r="B410">
        <v>0</v>
      </c>
    </row>
    <row r="411" spans="2:2" x14ac:dyDescent="0.45">
      <c r="B411">
        <v>0</v>
      </c>
    </row>
    <row r="412" spans="2:2" x14ac:dyDescent="0.45">
      <c r="B412">
        <v>97</v>
      </c>
    </row>
    <row r="413" spans="2:2" x14ac:dyDescent="0.45">
      <c r="B413">
        <v>1904</v>
      </c>
    </row>
    <row r="414" spans="2:2" x14ac:dyDescent="0.45">
      <c r="B414">
        <v>0</v>
      </c>
    </row>
    <row r="415" spans="2:2" x14ac:dyDescent="0.45">
      <c r="B415">
        <v>3</v>
      </c>
    </row>
    <row r="416" spans="2:2" x14ac:dyDescent="0.45">
      <c r="B416">
        <v>10</v>
      </c>
    </row>
    <row r="417" spans="2:2" x14ac:dyDescent="0.45">
      <c r="B417">
        <v>9</v>
      </c>
    </row>
    <row r="418" spans="2:2" x14ac:dyDescent="0.45">
      <c r="B418">
        <v>23</v>
      </c>
    </row>
    <row r="419" spans="2:2" x14ac:dyDescent="0.45">
      <c r="B419">
        <v>17</v>
      </c>
    </row>
    <row r="420" spans="2:2" x14ac:dyDescent="0.45">
      <c r="B420">
        <v>21</v>
      </c>
    </row>
    <row r="421" spans="2:2" x14ac:dyDescent="0.45">
      <c r="B421">
        <v>9</v>
      </c>
    </row>
    <row r="422" spans="2:2" x14ac:dyDescent="0.45">
      <c r="B422">
        <v>4</v>
      </c>
    </row>
    <row r="423" spans="2:2" x14ac:dyDescent="0.45">
      <c r="B423">
        <v>0</v>
      </c>
    </row>
    <row r="424" spans="2:2" x14ac:dyDescent="0.45">
      <c r="B424">
        <v>0</v>
      </c>
    </row>
    <row r="425" spans="2:2" x14ac:dyDescent="0.45">
      <c r="B425">
        <v>0</v>
      </c>
    </row>
    <row r="426" spans="2:2" x14ac:dyDescent="0.45">
      <c r="B426">
        <v>0</v>
      </c>
    </row>
    <row r="427" spans="2:2" x14ac:dyDescent="0.45">
      <c r="B427">
        <v>0</v>
      </c>
    </row>
    <row r="428" spans="2:2" x14ac:dyDescent="0.45">
      <c r="B428">
        <v>2000</v>
      </c>
    </row>
    <row r="429" spans="2:2" x14ac:dyDescent="0.45">
      <c r="B429">
        <v>0</v>
      </c>
    </row>
    <row r="430" spans="2:2" x14ac:dyDescent="0.45">
      <c r="B430">
        <v>0</v>
      </c>
    </row>
    <row r="431" spans="2:2" x14ac:dyDescent="0.45">
      <c r="B431">
        <v>0</v>
      </c>
    </row>
    <row r="432" spans="2:2" x14ac:dyDescent="0.45">
      <c r="B432">
        <v>0</v>
      </c>
    </row>
    <row r="433" spans="2:2" x14ac:dyDescent="0.45">
      <c r="B433">
        <v>0</v>
      </c>
    </row>
    <row r="434" spans="2:2" x14ac:dyDescent="0.45">
      <c r="B434">
        <v>0</v>
      </c>
    </row>
    <row r="435" spans="2:2" x14ac:dyDescent="0.45">
      <c r="B435">
        <v>0</v>
      </c>
    </row>
    <row r="436" spans="2:2" x14ac:dyDescent="0.45">
      <c r="B436">
        <v>0</v>
      </c>
    </row>
    <row r="437" spans="2:2" x14ac:dyDescent="0.45">
      <c r="B437">
        <v>0</v>
      </c>
    </row>
    <row r="438" spans="2:2" x14ac:dyDescent="0.45">
      <c r="B438">
        <v>2000</v>
      </c>
    </row>
    <row r="439" spans="2:2" x14ac:dyDescent="0.45">
      <c r="B439">
        <v>0</v>
      </c>
    </row>
    <row r="440" spans="2:2" x14ac:dyDescent="0.45">
      <c r="B440">
        <v>0</v>
      </c>
    </row>
    <row r="441" spans="2:2" x14ac:dyDescent="0.45">
      <c r="B441">
        <v>0</v>
      </c>
    </row>
    <row r="442" spans="2:2" x14ac:dyDescent="0.45">
      <c r="B442">
        <v>0</v>
      </c>
    </row>
    <row r="443" spans="2:2" x14ac:dyDescent="0.45">
      <c r="B443">
        <v>1959</v>
      </c>
    </row>
    <row r="444" spans="2:2" x14ac:dyDescent="0.45">
      <c r="B444">
        <v>0</v>
      </c>
    </row>
    <row r="445" spans="2:2" x14ac:dyDescent="0.45">
      <c r="B445">
        <v>0</v>
      </c>
    </row>
    <row r="446" spans="2:2" x14ac:dyDescent="0.45">
      <c r="B446">
        <v>0</v>
      </c>
    </row>
    <row r="447" spans="2:2" x14ac:dyDescent="0.45">
      <c r="B447">
        <v>0</v>
      </c>
    </row>
    <row r="448" spans="2:2" x14ac:dyDescent="0.45">
      <c r="B448">
        <v>0</v>
      </c>
    </row>
    <row r="449" spans="2:2" x14ac:dyDescent="0.45">
      <c r="B449">
        <v>0</v>
      </c>
    </row>
    <row r="450" spans="2:2" x14ac:dyDescent="0.45">
      <c r="B450">
        <v>0</v>
      </c>
    </row>
    <row r="451" spans="2:2" x14ac:dyDescent="0.45">
      <c r="B451">
        <v>0</v>
      </c>
    </row>
    <row r="452" spans="2:2" x14ac:dyDescent="0.45">
      <c r="B452">
        <v>41</v>
      </c>
    </row>
    <row r="453" spans="2:2" x14ac:dyDescent="0.45">
      <c r="B453">
        <v>1959</v>
      </c>
    </row>
    <row r="454" spans="2:2" x14ac:dyDescent="0.45">
      <c r="B454">
        <v>1</v>
      </c>
    </row>
    <row r="455" spans="2:2" x14ac:dyDescent="0.45">
      <c r="B455">
        <v>0</v>
      </c>
    </row>
    <row r="456" spans="2:2" x14ac:dyDescent="0.45">
      <c r="B456">
        <v>2</v>
      </c>
    </row>
    <row r="457" spans="2:2" x14ac:dyDescent="0.45">
      <c r="B457">
        <v>4</v>
      </c>
    </row>
    <row r="458" spans="2:2" x14ac:dyDescent="0.45">
      <c r="B458">
        <v>7</v>
      </c>
    </row>
    <row r="459" spans="2:2" x14ac:dyDescent="0.45">
      <c r="B459">
        <v>12</v>
      </c>
    </row>
    <row r="460" spans="2:2" x14ac:dyDescent="0.45">
      <c r="B460">
        <v>6</v>
      </c>
    </row>
    <row r="461" spans="2:2" x14ac:dyDescent="0.45">
      <c r="B461">
        <v>7</v>
      </c>
    </row>
    <row r="462" spans="2:2" x14ac:dyDescent="0.45">
      <c r="B462">
        <v>2</v>
      </c>
    </row>
    <row r="463" spans="2:2" x14ac:dyDescent="0.45">
      <c r="B463">
        <v>0</v>
      </c>
    </row>
    <row r="464" spans="2:2" x14ac:dyDescent="0.45">
      <c r="B464">
        <v>0</v>
      </c>
    </row>
    <row r="465" spans="2:2" x14ac:dyDescent="0.45">
      <c r="B465">
        <v>0</v>
      </c>
    </row>
    <row r="466" spans="2:2" x14ac:dyDescent="0.45">
      <c r="B466">
        <v>0</v>
      </c>
    </row>
    <row r="467" spans="2:2" x14ac:dyDescent="0.45">
      <c r="B467">
        <v>0</v>
      </c>
    </row>
    <row r="468" spans="2:2" x14ac:dyDescent="0.45">
      <c r="B468">
        <v>2000</v>
      </c>
    </row>
    <row r="469" spans="2:2" x14ac:dyDescent="0.45">
      <c r="B469">
        <v>0</v>
      </c>
    </row>
    <row r="470" spans="2:2" x14ac:dyDescent="0.45">
      <c r="B470">
        <v>0</v>
      </c>
    </row>
    <row r="471" spans="2:2" x14ac:dyDescent="0.45">
      <c r="B471">
        <v>0</v>
      </c>
    </row>
    <row r="472" spans="2:2" x14ac:dyDescent="0.45">
      <c r="B472">
        <v>0</v>
      </c>
    </row>
    <row r="473" spans="2:2" x14ac:dyDescent="0.45">
      <c r="B473">
        <v>0</v>
      </c>
    </row>
    <row r="474" spans="2:2" x14ac:dyDescent="0.45">
      <c r="B474">
        <v>0</v>
      </c>
    </row>
    <row r="475" spans="2:2" x14ac:dyDescent="0.45">
      <c r="B475">
        <v>0</v>
      </c>
    </row>
    <row r="476" spans="2:2" x14ac:dyDescent="0.45">
      <c r="B476">
        <v>0</v>
      </c>
    </row>
    <row r="477" spans="2:2" x14ac:dyDescent="0.45">
      <c r="B477">
        <v>0</v>
      </c>
    </row>
    <row r="478" spans="2:2" x14ac:dyDescent="0.45">
      <c r="B478">
        <v>2000</v>
      </c>
    </row>
    <row r="479" spans="2:2" x14ac:dyDescent="0.45">
      <c r="B479">
        <v>0</v>
      </c>
    </row>
    <row r="480" spans="2:2" x14ac:dyDescent="0.45">
      <c r="B480">
        <v>0</v>
      </c>
    </row>
    <row r="481" spans="2:2" x14ac:dyDescent="0.45">
      <c r="B481">
        <v>0</v>
      </c>
    </row>
    <row r="482" spans="2:2" x14ac:dyDescent="0.45">
      <c r="B482">
        <v>0</v>
      </c>
    </row>
    <row r="483" spans="2:2" x14ac:dyDescent="0.45">
      <c r="B483">
        <v>1</v>
      </c>
    </row>
    <row r="484" spans="2:2" x14ac:dyDescent="0.45">
      <c r="B484">
        <v>15</v>
      </c>
    </row>
    <row r="485" spans="2:2" x14ac:dyDescent="0.45">
      <c r="B485">
        <v>42</v>
      </c>
    </row>
    <row r="486" spans="2:2" x14ac:dyDescent="0.45">
      <c r="B486">
        <v>1101</v>
      </c>
    </row>
    <row r="487" spans="2:2" x14ac:dyDescent="0.45">
      <c r="B487">
        <v>244</v>
      </c>
    </row>
    <row r="488" spans="2:2" x14ac:dyDescent="0.45">
      <c r="B488">
        <v>301</v>
      </c>
    </row>
    <row r="489" spans="2:2" x14ac:dyDescent="0.45">
      <c r="B489">
        <v>200</v>
      </c>
    </row>
    <row r="490" spans="2:2" x14ac:dyDescent="0.45">
      <c r="B490">
        <v>76</v>
      </c>
    </row>
    <row r="491" spans="2:2" x14ac:dyDescent="0.45">
      <c r="B491">
        <v>19</v>
      </c>
    </row>
    <row r="492" spans="2:2" x14ac:dyDescent="0.45">
      <c r="B492">
        <v>1</v>
      </c>
    </row>
    <row r="493" spans="2:2" x14ac:dyDescent="0.45">
      <c r="B493">
        <v>72</v>
      </c>
    </row>
    <row r="494" spans="2:2" x14ac:dyDescent="0.45">
      <c r="B494">
        <v>200</v>
      </c>
    </row>
    <row r="495" spans="2:2" x14ac:dyDescent="0.45">
      <c r="B495">
        <v>301</v>
      </c>
    </row>
    <row r="496" spans="2:2" x14ac:dyDescent="0.45">
      <c r="B496">
        <v>359</v>
      </c>
    </row>
    <row r="497" spans="2:2" x14ac:dyDescent="0.45">
      <c r="B497">
        <v>326</v>
      </c>
    </row>
    <row r="498" spans="2:2" x14ac:dyDescent="0.45">
      <c r="B498">
        <v>303</v>
      </c>
    </row>
    <row r="499" spans="2:2" x14ac:dyDescent="0.45">
      <c r="B499">
        <v>230</v>
      </c>
    </row>
    <row r="500" spans="2:2" x14ac:dyDescent="0.45">
      <c r="B500">
        <v>132</v>
      </c>
    </row>
    <row r="501" spans="2:2" x14ac:dyDescent="0.45">
      <c r="B501">
        <v>56</v>
      </c>
    </row>
    <row r="502" spans="2:2" x14ac:dyDescent="0.45">
      <c r="B502">
        <v>21</v>
      </c>
    </row>
    <row r="503" spans="2:2" x14ac:dyDescent="0.45">
      <c r="B503">
        <v>63</v>
      </c>
    </row>
    <row r="504" spans="2:2" x14ac:dyDescent="0.45">
      <c r="B504">
        <v>177</v>
      </c>
    </row>
    <row r="505" spans="2:2" x14ac:dyDescent="0.45">
      <c r="B505">
        <v>279</v>
      </c>
    </row>
    <row r="506" spans="2:2" x14ac:dyDescent="0.45">
      <c r="B506">
        <v>375</v>
      </c>
    </row>
    <row r="507" spans="2:2" x14ac:dyDescent="0.45">
      <c r="B507">
        <v>353</v>
      </c>
    </row>
    <row r="508" spans="2:2" x14ac:dyDescent="0.45">
      <c r="B508">
        <v>304</v>
      </c>
    </row>
    <row r="509" spans="2:2" x14ac:dyDescent="0.45">
      <c r="B509">
        <v>216</v>
      </c>
    </row>
    <row r="510" spans="2:2" x14ac:dyDescent="0.45">
      <c r="B510">
        <v>156</v>
      </c>
    </row>
    <row r="511" spans="2:2" x14ac:dyDescent="0.45">
      <c r="B511">
        <v>60</v>
      </c>
    </row>
    <row r="512" spans="2:2" x14ac:dyDescent="0.45">
      <c r="B512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58629EE0-2717-46F5-BCF9-42E5A900754E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78</vt:i4>
      </vt:variant>
    </vt:vector>
  </HeadingPairs>
  <TitlesOfParts>
    <vt:vector size="85" baseType="lpstr">
      <vt:lpstr>Описание</vt:lpstr>
      <vt:lpstr>Исходные данные</vt:lpstr>
      <vt:lpstr>Заявки</vt:lpstr>
      <vt:lpstr>Результаты</vt:lpstr>
      <vt:lpstr>ModelRiskDSN</vt:lpstr>
      <vt:lpstr>ModelRiskSYS1</vt:lpstr>
      <vt:lpstr>ModelRiskCharts</vt:lpstr>
      <vt:lpstr>Above_0</vt:lpstr>
      <vt:lpstr>Above_1</vt:lpstr>
      <vt:lpstr>Above_10</vt:lpstr>
      <vt:lpstr>Above_2</vt:lpstr>
      <vt:lpstr>Above_3</vt:lpstr>
      <vt:lpstr>Above_4</vt:lpstr>
      <vt:lpstr>Above_5</vt:lpstr>
      <vt:lpstr>Above_6</vt:lpstr>
      <vt:lpstr>Above_7</vt:lpstr>
      <vt:lpstr>Above_8</vt:lpstr>
      <vt:lpstr>Above_9</vt:lpstr>
      <vt:lpstr>BaseEstimate</vt:lpstr>
      <vt:lpstr>BidCost</vt:lpstr>
      <vt:lpstr>Checks</vt:lpstr>
      <vt:lpstr>Comp1</vt:lpstr>
      <vt:lpstr>Comp2</vt:lpstr>
      <vt:lpstr>Comp3</vt:lpstr>
      <vt:lpstr>Comp4</vt:lpstr>
      <vt:lpstr>CostFactor</vt:lpstr>
      <vt:lpstr>CostFactor_Hi</vt:lpstr>
      <vt:lpstr>CostFactor_Lo</vt:lpstr>
      <vt:lpstr>CostFactor_Mean</vt:lpstr>
      <vt:lpstr>CostFactor_ML</vt:lpstr>
      <vt:lpstr>DetailMarkup</vt:lpstr>
      <vt:lpstr>InputMeans</vt:lpstr>
      <vt:lpstr>LossWin_0</vt:lpstr>
      <vt:lpstr>LossWin_1</vt:lpstr>
      <vt:lpstr>LossWin_10</vt:lpstr>
      <vt:lpstr>LossWin_2</vt:lpstr>
      <vt:lpstr>LossWin_3</vt:lpstr>
      <vt:lpstr>LossWin_4</vt:lpstr>
      <vt:lpstr>LossWin_5</vt:lpstr>
      <vt:lpstr>LossWin_6</vt:lpstr>
      <vt:lpstr>LossWin_7</vt:lpstr>
      <vt:lpstr>LossWin_8</vt:lpstr>
      <vt:lpstr>LossWin_9</vt:lpstr>
      <vt:lpstr>LowComp</vt:lpstr>
      <vt:lpstr>Market</vt:lpstr>
      <vt:lpstr>Market_Hi</vt:lpstr>
      <vt:lpstr>Market_Lo</vt:lpstr>
      <vt:lpstr>Market_Mean</vt:lpstr>
      <vt:lpstr>Market_ML</vt:lpstr>
      <vt:lpstr>Markups</vt:lpstr>
      <vt:lpstr>OurCost</vt:lpstr>
      <vt:lpstr>Results!Print_Area</vt:lpstr>
      <vt:lpstr>Inputs!Print_Titles</vt:lpstr>
      <vt:lpstr>Results!Print_Titles</vt:lpstr>
      <vt:lpstr>Profit_0</vt:lpstr>
      <vt:lpstr>Profit_1</vt:lpstr>
      <vt:lpstr>Profit_10</vt:lpstr>
      <vt:lpstr>Profit_2</vt:lpstr>
      <vt:lpstr>Profit_3</vt:lpstr>
      <vt:lpstr>Profit_4</vt:lpstr>
      <vt:lpstr>Profit_5</vt:lpstr>
      <vt:lpstr>Profit_6</vt:lpstr>
      <vt:lpstr>Profit_7</vt:lpstr>
      <vt:lpstr>Profit_8</vt:lpstr>
      <vt:lpstr>Profit_9</vt:lpstr>
      <vt:lpstr>ProfitDetail</vt:lpstr>
      <vt:lpstr>Profits</vt:lpstr>
      <vt:lpstr>Ratio_Hi</vt:lpstr>
      <vt:lpstr>Ratio_Lo</vt:lpstr>
      <vt:lpstr>Ratio_ML</vt:lpstr>
      <vt:lpstr>Ratio1</vt:lpstr>
      <vt:lpstr>Ratio2</vt:lpstr>
      <vt:lpstr>Ratio3</vt:lpstr>
      <vt:lpstr>Ratio4</vt:lpstr>
      <vt:lpstr>Win_0</vt:lpstr>
      <vt:lpstr>Win_1</vt:lpstr>
      <vt:lpstr>Win_10</vt:lpstr>
      <vt:lpstr>Win_2</vt:lpstr>
      <vt:lpstr>Win_3</vt:lpstr>
      <vt:lpstr>Win_4</vt:lpstr>
      <vt:lpstr>Win_5</vt:lpstr>
      <vt:lpstr>Win_6</vt:lpstr>
      <vt:lpstr>Win_7</vt:lpstr>
      <vt:lpstr>Win_8</vt:lpstr>
      <vt:lpstr>Win_9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PC-05 Цена тендерной заявки: наценка против вероятности победы</dc:title>
  <dc:subject>Отраслевые примеры моделей МоделРиск — Проекты и строительство</dc:subject>
  <dc:creator>ООО «Стратегия Риска»</dc:creator>
  <cp:keywords>МоделРиск; Монте-Карло; проекты и строительство</cp:keywords>
  <dc:description>Выбор наценки в тендере: вероятность победы, ожидаемая прибыль и риск убытка для одиннадцати наценок против четырех конкурентов.</dc:description>
  <cp:lastModifiedBy>ООО «Стратегия Риска»</cp:lastModifiedBy>
  <cp:lastPrinted>2026-10-05T10:37:58Z</cp:lastPrinted>
  <dcterms:created xsi:type="dcterms:W3CDTF">2026-10-05T10:35:08Z</dcterms:created>
  <dcterms:modified xsi:type="dcterms:W3CDTF">2026-10-05T10:37:59Z</dcterms:modified>
</cp:coreProperties>
</file>