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C152B1A0-0D5A-4D9C-9DE2-AD7D1669EAB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План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udgetStep">'Исходные данные'!$D$13</definedName>
    <definedName name="BudgetTarget">'Исходные данные'!$D$11</definedName>
    <definedName name="Checks">'План'!$E$68:$E$70</definedName>
    <definedName name="CommCost_Hi">'Исходные данные'!$H$32</definedName>
    <definedName name="CommCost_Lo">'Исходные данные'!$F$32</definedName>
    <definedName name="CommCost_Mean">'Исходные данные'!$I$32</definedName>
    <definedName name="CommCost_ML">'Исходные данные'!$G$32</definedName>
    <definedName name="CommDelay_Hi">'Исходные данные'!$H$31</definedName>
    <definedName name="CommDelay_Lo">'Исходные данные'!$F$31</definedName>
    <definedName name="CommDelay_Mean">'Исходные данные'!$I$31</definedName>
    <definedName name="CommDelay_ML">'Исходные данные'!$G$31</definedName>
    <definedName name="DeadlineStep">'Исходные данные'!$D$14</definedName>
    <definedName name="DeadlineTarget">'Исходные данные'!$D$12</definedName>
    <definedName name="Det_Cost">'План'!$E$64</definedName>
    <definedName name="Det_Finish">'План'!$E$63</definedName>
    <definedName name="Dur_A">'План'!$D$33</definedName>
    <definedName name="Dur_B">'План'!$D$34</definedName>
    <definedName name="Dur_C">'План'!$D$35</definedName>
    <definedName name="Dur_D">'План'!$D$36</definedName>
    <definedName name="Dur_E">'План'!$D$37</definedName>
    <definedName name="Dur_F">'План'!$D$38</definedName>
    <definedName name="Dur_G">'План'!$D$39</definedName>
    <definedName name="Dur_H">'План'!$D$40</definedName>
    <definedName name="Dur_I">'План'!$D$41</definedName>
    <definedName name="Finish">'План'!$E$61</definedName>
    <definedName name="Fix_A">'План'!$I$33</definedName>
    <definedName name="Fix_B">'План'!$I$34</definedName>
    <definedName name="Fix_C">'План'!$I$35</definedName>
    <definedName name="Fix_D">'План'!$I$36</definedName>
    <definedName name="Fix_E">'План'!$I$37</definedName>
    <definedName name="Fix_F">'План'!$I$38</definedName>
    <definedName name="Fix_G">'План'!$I$39</definedName>
    <definedName name="Fix_H">'План'!$I$40</definedName>
    <definedName name="Fix_I">'План'!$I$41</definedName>
    <definedName name="GroundCost_Hi">'Исходные данные'!$H$27</definedName>
    <definedName name="GroundCost_Lo">'Исходные данные'!$F$27</definedName>
    <definedName name="GroundCost_Mean">'Исходные данные'!$I$27</definedName>
    <definedName name="GroundCost_ML">'Исходные данные'!$G$27</definedName>
    <definedName name="GroundDelay_Hi">'Исходные данные'!$H$26</definedName>
    <definedName name="GroundDelay_Lo">'Исходные данные'!$F$26</definedName>
    <definedName name="GroundDelay_Mean">'Исходные данные'!$I$26</definedName>
    <definedName name="GroundDelay_ML">'Исходные данные'!$G$26</definedName>
    <definedName name="InputMeans">'Исходные данные'!$I$19:$I$32</definedName>
    <definedName name="Overheads">'Исходные данные'!$D$20</definedName>
    <definedName name="_xlnm.Print_Area" localSheetId="3">'Результаты'!$A$1:$R$73</definedName>
    <definedName name="_xlnm.Print_Titles" localSheetId="1">'Исходные данные'!$1:$4</definedName>
    <definedName name="_xlnm.Print_Titles" localSheetId="3">'Результаты'!$1:$4</definedName>
    <definedName name="Prob_Comm">'Исходные данные'!$D$30</definedName>
    <definedName name="Prob_Ground">'Исходные данные'!$D$25</definedName>
    <definedName name="Prob_Supplier">'Исходные данные'!$D$28</definedName>
    <definedName name="Productivity">'Исходные данные'!$D$19</definedName>
    <definedName name="Productivity_Hi">'Исходные данные'!$H$19</definedName>
    <definedName name="Productivity_Lo">'Исходные данные'!$F$19</definedName>
    <definedName name="Productivity_Mean">'Исходные данные'!$I$19</definedName>
    <definedName name="Risk_Act">'План'!$D$25:$D$27</definedName>
    <definedName name="Risk_Cost">'План'!$G$25:$G$27</definedName>
    <definedName name="Risk_Delay">'План'!$F$25:$F$27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upplierDelay_Hi">'Исходные данные'!$H$29</definedName>
    <definedName name="SupplierDelay_Lo">'Исходные данные'!$F$29</definedName>
    <definedName name="SupplierDelay_Mean">'Исходные данные'!$I$29</definedName>
    <definedName name="SupplierDelay_ML">'Исходные данные'!$G$29</definedName>
    <definedName name="TotalCost">'План'!$E$62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8" i="4" l="1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B48" i="4"/>
  <c r="B47" i="4"/>
  <c r="B46" i="4"/>
  <c r="B45" i="4"/>
  <c r="B44" i="4"/>
  <c r="G43" i="4"/>
  <c r="F43" i="4"/>
  <c r="E43" i="4"/>
  <c r="D43" i="4"/>
  <c r="C43" i="4"/>
  <c r="D25" i="4"/>
  <c r="E70" i="3"/>
  <c r="E69" i="3"/>
  <c r="E68" i="3"/>
  <c r="B7" i="4" s="1"/>
  <c r="D56" i="3"/>
  <c r="J56" i="3" s="1"/>
  <c r="C56" i="3"/>
  <c r="D55" i="3"/>
  <c r="J55" i="3"/>
  <c r="C55" i="3"/>
  <c r="D54" i="3"/>
  <c r="J54" i="3"/>
  <c r="C54" i="3"/>
  <c r="D53" i="3"/>
  <c r="J53" i="3"/>
  <c r="C53" i="3"/>
  <c r="D52" i="3"/>
  <c r="J52" i="3"/>
  <c r="C52" i="3"/>
  <c r="D51" i="3"/>
  <c r="J51" i="3" s="1"/>
  <c r="C51" i="3"/>
  <c r="D50" i="3"/>
  <c r="J50" i="3" s="1"/>
  <c r="C50" i="3"/>
  <c r="D49" i="3"/>
  <c r="J49" i="3" s="1"/>
  <c r="C49" i="3"/>
  <c r="E48" i="3"/>
  <c r="D48" i="3"/>
  <c r="J48" i="3" s="1"/>
  <c r="C48" i="3"/>
  <c r="J41" i="3"/>
  <c r="E41" i="3"/>
  <c r="C41" i="3"/>
  <c r="C40" i="3"/>
  <c r="J39" i="3"/>
  <c r="E39" i="3"/>
  <c r="C39" i="3"/>
  <c r="J38" i="3"/>
  <c r="E38" i="3"/>
  <c r="C38" i="3"/>
  <c r="J37" i="3"/>
  <c r="C37" i="3"/>
  <c r="J36" i="3"/>
  <c r="E36" i="3"/>
  <c r="C36" i="3"/>
  <c r="C35" i="3"/>
  <c r="J34" i="3"/>
  <c r="E34" i="3"/>
  <c r="C34" i="3"/>
  <c r="J33" i="3"/>
  <c r="G33" i="3"/>
  <c r="E33" i="3"/>
  <c r="C33" i="3"/>
  <c r="F48" i="3"/>
  <c r="E49" i="3" s="1"/>
  <c r="F49" i="3" s="1"/>
  <c r="E50" i="3" s="1"/>
  <c r="F50" i="3" s="1"/>
  <c r="E51" i="3" s="1"/>
  <c r="F51" i="3" s="1"/>
  <c r="I33" i="3" a="1"/>
  <c r="D37" i="3" a="1"/>
  <c r="E27" i="3" a="1"/>
  <c r="I37" i="3" a="1"/>
  <c r="I39" i="3" a="1"/>
  <c r="E25" i="3" a="1"/>
  <c r="I38" i="3" a="1"/>
  <c r="I34" i="3" a="1"/>
  <c r="I40" i="3" a="1"/>
  <c r="I41" i="3" a="1"/>
  <c r="I36" i="3" a="1"/>
  <c r="I35" i="3" a="1"/>
  <c r="D33" i="3" a="1"/>
  <c r="F26" i="3" a="1"/>
  <c r="I31" i="2" a="1"/>
  <c r="I26" i="2" a="1"/>
  <c r="D19" i="2" a="1"/>
  <c r="I27" i="2" a="1"/>
  <c r="I32" i="2" a="1"/>
  <c r="I29" i="2" a="1"/>
  <c r="I19" i="2" a="1"/>
  <c r="E52" i="3" l="1"/>
  <c r="F52" i="3" s="1"/>
  <c r="F26" i="3"/>
  <c r="E37" i="3" s="1"/>
  <c r="D33" i="3"/>
  <c r="F33" i="3" s="1"/>
  <c r="K33" i="3" s="1"/>
  <c r="I35" i="3"/>
  <c r="I36" i="3"/>
  <c r="I41" i="3"/>
  <c r="I40" i="3"/>
  <c r="I34" i="3"/>
  <c r="I38" i="3"/>
  <c r="E25" i="3"/>
  <c r="I39" i="3"/>
  <c r="I37" i="3"/>
  <c r="E27" i="3"/>
  <c r="D37" i="3"/>
  <c r="I33" i="3"/>
  <c r="E54" i="3"/>
  <c r="F54" i="3" s="1"/>
  <c r="E53" i="3"/>
  <c r="F53" i="3" s="1"/>
  <c r="E55" i="3" s="1"/>
  <c r="F55" i="3" s="1"/>
  <c r="E56" i="3" s="1"/>
  <c r="F56" i="3" s="1"/>
  <c r="E63" i="3" s="1"/>
  <c r="I19" i="2"/>
  <c r="I29" i="2"/>
  <c r="I32" i="2"/>
  <c r="I27" i="2"/>
  <c r="D19" i="2"/>
  <c r="I26" i="2"/>
  <c r="I31" i="2"/>
  <c r="D39" i="3" a="1"/>
  <c r="D40" i="3" a="1"/>
  <c r="D36" i="3" a="1"/>
  <c r="D35" i="3" a="1"/>
  <c r="D38" i="3" a="1"/>
  <c r="D41" i="3" a="1"/>
  <c r="D34" i="3" a="1"/>
  <c r="G25" i="3" a="1"/>
  <c r="F25" i="3" a="1"/>
  <c r="G27" i="3" a="1"/>
  <c r="F27" i="3" a="1"/>
  <c r="H33" i="3" l="1"/>
  <c r="E64" i="3"/>
  <c r="D12" i="4" s="1"/>
  <c r="D14" i="4"/>
  <c r="F27" i="3"/>
  <c r="E40" i="3" s="1"/>
  <c r="G27" i="3"/>
  <c r="J40" i="3" s="1"/>
  <c r="F25" i="3"/>
  <c r="E35" i="3" s="1"/>
  <c r="G25" i="3"/>
  <c r="J35" i="3" s="1"/>
  <c r="D34" i="3"/>
  <c r="F34" i="3" s="1"/>
  <c r="K34" i="3" s="1"/>
  <c r="D41" i="3"/>
  <c r="F41" i="3" s="1"/>
  <c r="K41" i="3" s="1"/>
  <c r="L41" i="3" s="1"/>
  <c r="D38" i="3"/>
  <c r="F38" i="3" s="1"/>
  <c r="K38" i="3" s="1"/>
  <c r="L38" i="3" s="1"/>
  <c r="D35" i="3"/>
  <c r="D36" i="3"/>
  <c r="F36" i="3" s="1"/>
  <c r="K36" i="3" s="1"/>
  <c r="L36" i="3" s="1"/>
  <c r="D40" i="3"/>
  <c r="D39" i="3"/>
  <c r="F39" i="3" s="1"/>
  <c r="K39" i="3" s="1"/>
  <c r="L39" i="3" s="1"/>
  <c r="F37" i="3"/>
  <c r="K37" i="3" s="1"/>
  <c r="L37" i="3" s="1"/>
  <c r="G37" i="3"/>
  <c r="H37" i="3" s="1"/>
  <c r="G34" i="3"/>
  <c r="I42" i="3"/>
  <c r="L33" i="3"/>
  <c r="J42" i="3" l="1"/>
  <c r="F40" i="3"/>
  <c r="K40" i="3" s="1"/>
  <c r="L40" i="3" s="1"/>
  <c r="H34" i="3"/>
  <c r="G35" i="3" s="1"/>
  <c r="F35" i="3"/>
  <c r="K35" i="3" s="1"/>
  <c r="L35" i="3" s="1"/>
  <c r="L34" i="3"/>
  <c r="L42" i="3" l="1"/>
  <c r="K42" i="3"/>
  <c r="H35" i="3"/>
  <c r="G36" i="3" s="1"/>
  <c r="H36" i="3" s="1"/>
  <c r="G39" i="3" l="1"/>
  <c r="H39" i="3" s="1"/>
  <c r="G38" i="3"/>
  <c r="H38" i="3" s="1"/>
  <c r="G40" i="3" l="1"/>
  <c r="H40" i="3" s="1"/>
  <c r="G41" i="3" s="1"/>
  <c r="H41" i="3" s="1"/>
  <c r="E61" i="3" s="1" a="1"/>
  <c r="E61" i="3" s="1"/>
  <c r="E62" i="3" s="1" a="1"/>
  <c r="E62" i="3" s="1"/>
  <c r="E89" i="4" a="1"/>
  <c r="E80" i="4" a="1"/>
  <c r="G20" i="4" a="1"/>
  <c r="E128" i="4" a="1"/>
  <c r="E112" i="4" a="1"/>
  <c r="E95" i="4" a="1"/>
  <c r="E113" i="4" a="1"/>
  <c r="E98" i="4" a="1"/>
  <c r="E81" i="4" a="1"/>
  <c r="E82" i="4" a="1"/>
  <c r="E111" i="4" a="1"/>
  <c r="E99" i="4" a="1"/>
  <c r="E114" i="4" a="1"/>
  <c r="E96" i="4" a="1"/>
  <c r="D35" i="4" a="1"/>
  <c r="E110" i="4" a="1"/>
  <c r="F20" i="4" a="1"/>
  <c r="E108" i="4" a="1"/>
  <c r="E92" i="4" a="1"/>
  <c r="E79" i="4" a="1"/>
  <c r="E117" i="4" a="1"/>
  <c r="E106" i="4" a="1"/>
  <c r="E93" i="4" a="1"/>
  <c r="E107" i="4" a="1"/>
  <c r="E120" i="4" a="1"/>
  <c r="E104" i="4" a="1"/>
  <c r="E88" i="4" a="1"/>
  <c r="E20" i="4" a="1"/>
  <c r="D20" i="4" a="1"/>
  <c r="E103" i="4" a="1"/>
  <c r="E91" i="4" a="1"/>
  <c r="E126" i="4" a="1"/>
  <c r="E94" i="4" a="1"/>
  <c r="E83" i="4" a="1"/>
  <c r="E125" i="4" a="1"/>
  <c r="E123" i="4" a="1"/>
  <c r="E124" i="4" a="1"/>
  <c r="D15" i="4" a="1"/>
  <c r="E115" i="4" a="1"/>
  <c r="E122" i="4" a="1"/>
  <c r="E90" i="4" a="1"/>
  <c r="E109" i="4" a="1"/>
  <c r="E118" i="4" a="1"/>
  <c r="E102" i="4" a="1"/>
  <c r="E86" i="4" a="1"/>
  <c r="E127" i="4" a="1"/>
  <c r="E101" i="4" a="1"/>
  <c r="E87" i="4" a="1"/>
  <c r="E121" i="4" a="1"/>
  <c r="D27" i="4" a="1"/>
  <c r="E116" i="4" a="1"/>
  <c r="E100" i="4" a="1"/>
  <c r="E84" i="4" a="1"/>
  <c r="E119" i="4" a="1"/>
  <c r="E85" i="4" a="1"/>
  <c r="E97" i="4" a="1"/>
  <c r="E105" i="4" a="1"/>
  <c r="B54" i="4" a="1"/>
  <c r="D26" i="4" a="1"/>
  <c r="D46" i="4" a="1"/>
  <c r="D88" i="4" a="1"/>
  <c r="D104" i="4" a="1"/>
  <c r="D120" i="4" a="1"/>
  <c r="G44" i="4" a="1"/>
  <c r="D34" i="4" a="1"/>
  <c r="D81" i="4" a="1"/>
  <c r="D97" i="4" a="1"/>
  <c r="D113" i="4" a="1"/>
  <c r="D130" i="4" a="1"/>
  <c r="F48" i="4" a="1"/>
  <c r="D126" i="4" a="1"/>
  <c r="D103" i="4" a="1"/>
  <c r="E48" i="4" a="1"/>
  <c r="C47" i="4" a="1"/>
  <c r="D90" i="4" a="1"/>
  <c r="D106" i="4" a="1"/>
  <c r="D122" i="4" a="1"/>
  <c r="F45" i="4" a="1"/>
  <c r="D44" i="4" a="1"/>
  <c r="D83" i="4" a="1"/>
  <c r="D99" i="4" a="1"/>
  <c r="D115" i="4" a="1"/>
  <c r="E44" i="4" a="1"/>
  <c r="D94" i="4" a="1"/>
  <c r="D47" i="4" a="1"/>
  <c r="D87" i="4" a="1"/>
  <c r="D13" i="4" a="1"/>
  <c r="D96" i="4" a="1"/>
  <c r="D128" i="4" a="1"/>
  <c r="F46" i="4" a="1"/>
  <c r="D105" i="4" a="1"/>
  <c r="D45" i="4" a="1"/>
  <c r="G47" i="4" a="1"/>
  <c r="D92" i="4" a="1"/>
  <c r="D108" i="4" a="1"/>
  <c r="D124" i="4" a="1"/>
  <c r="E46" i="4" a="1"/>
  <c r="C45" i="4" a="1"/>
  <c r="D85" i="4" a="1"/>
  <c r="D101" i="4" a="1"/>
  <c r="D117" i="4" a="1"/>
  <c r="B6" i="4" a="1"/>
  <c r="D110" i="4" a="1"/>
  <c r="G45" i="4" a="1"/>
  <c r="D119" i="4" a="1"/>
  <c r="D19" i="4" a="1"/>
  <c r="D80" i="4" a="1"/>
  <c r="D112" i="4" a="1"/>
  <c r="C48" i="4" a="1"/>
  <c r="D89" i="4" a="1"/>
  <c r="D121" i="4" a="1"/>
  <c r="F47" i="4" a="1"/>
  <c r="D86" i="4" a="1"/>
  <c r="D28" i="4" a="1"/>
  <c r="D91" i="4" a="1"/>
  <c r="D127" i="4" a="1"/>
  <c r="E19" i="4" a="1"/>
  <c r="G19" i="4" a="1"/>
  <c r="D116" i="4" a="1"/>
  <c r="D118" i="4" a="1"/>
  <c r="D123" i="4" a="1"/>
  <c r="D79" i="4" a="1"/>
  <c r="C46" i="4" a="1"/>
  <c r="D98" i="4" a="1"/>
  <c r="C44" i="4" a="1"/>
  <c r="D93" i="4" a="1"/>
  <c r="D16" i="4" a="1"/>
  <c r="D114" i="4" a="1"/>
  <c r="D109" i="4" a="1"/>
  <c r="E45" i="4" a="1"/>
  <c r="D111" i="4" a="1"/>
  <c r="D48" i="4" a="1"/>
  <c r="D84" i="4" a="1"/>
  <c r="D125" i="4" a="1"/>
  <c r="G46" i="4" a="1"/>
  <c r="D100" i="4" a="1"/>
  <c r="G48" i="4" a="1"/>
  <c r="D95" i="4" a="1"/>
  <c r="D102" i="4" a="1"/>
  <c r="D107" i="4" a="1"/>
  <c r="F44" i="4" a="1"/>
  <c r="E47" i="4" a="1"/>
  <c r="D82" i="4" a="1"/>
  <c r="F19" i="4" a="1"/>
  <c r="E105" i="4" l="1"/>
  <c r="E97" i="4"/>
  <c r="E85" i="4"/>
  <c r="E119" i="4"/>
  <c r="E84" i="4"/>
  <c r="E100" i="4"/>
  <c r="E116" i="4"/>
  <c r="D27" i="4"/>
  <c r="E121" i="4"/>
  <c r="E87" i="4"/>
  <c r="E101" i="4"/>
  <c r="E127" i="4"/>
  <c r="E86" i="4"/>
  <c r="E102" i="4"/>
  <c r="E118" i="4"/>
  <c r="E109" i="4"/>
  <c r="E90" i="4"/>
  <c r="E122" i="4"/>
  <c r="E115" i="4"/>
  <c r="D15" i="4"/>
  <c r="E124" i="4"/>
  <c r="E123" i="4"/>
  <c r="E125" i="4"/>
  <c r="E83" i="4"/>
  <c r="E94" i="4"/>
  <c r="E126" i="4"/>
  <c r="E91" i="4"/>
  <c r="E103" i="4"/>
  <c r="D20" i="4"/>
  <c r="E20" i="4"/>
  <c r="E88" i="4"/>
  <c r="E104" i="4"/>
  <c r="E120" i="4"/>
  <c r="E107" i="4"/>
  <c r="E93" i="4"/>
  <c r="E106" i="4"/>
  <c r="E117" i="4"/>
  <c r="E79" i="4"/>
  <c r="E92" i="4"/>
  <c r="E108" i="4"/>
  <c r="F20" i="4"/>
  <c r="E110" i="4"/>
  <c r="D35" i="4"/>
  <c r="E96" i="4"/>
  <c r="E114" i="4"/>
  <c r="E99" i="4"/>
  <c r="E111" i="4"/>
  <c r="E82" i="4"/>
  <c r="E81" i="4"/>
  <c r="E98" i="4"/>
  <c r="E113" i="4"/>
  <c r="E95" i="4"/>
  <c r="E112" i="4"/>
  <c r="E128" i="4"/>
  <c r="G20" i="4"/>
  <c r="E80" i="4"/>
  <c r="E89" i="4"/>
  <c r="F19" i="4"/>
  <c r="D82" i="4"/>
  <c r="E47" i="4"/>
  <c r="F44" i="4"/>
  <c r="D107" i="4"/>
  <c r="D102" i="4"/>
  <c r="D95" i="4"/>
  <c r="G48" i="4"/>
  <c r="D100" i="4"/>
  <c r="G46" i="4"/>
  <c r="D125" i="4"/>
  <c r="D84" i="4"/>
  <c r="D48" i="4"/>
  <c r="D111" i="4"/>
  <c r="E45" i="4"/>
  <c r="D109" i="4"/>
  <c r="D114" i="4"/>
  <c r="D16" i="4"/>
  <c r="D93" i="4"/>
  <c r="C44" i="4"/>
  <c r="D98" i="4"/>
  <c r="C46" i="4"/>
  <c r="D79" i="4"/>
  <c r="D123" i="4"/>
  <c r="D118" i="4"/>
  <c r="D116" i="4"/>
  <c r="G19" i="4"/>
  <c r="E19" i="4"/>
  <c r="D127" i="4"/>
  <c r="D91" i="4"/>
  <c r="D28" i="4"/>
  <c r="D86" i="4"/>
  <c r="F47" i="4"/>
  <c r="D121" i="4"/>
  <c r="D89" i="4"/>
  <c r="C48" i="4"/>
  <c r="D112" i="4"/>
  <c r="D80" i="4"/>
  <c r="D19" i="4"/>
  <c r="D119" i="4"/>
  <c r="G45" i="4"/>
  <c r="D110" i="4"/>
  <c r="B6" i="4"/>
  <c r="D117" i="4"/>
  <c r="D101" i="4"/>
  <c r="D85" i="4"/>
  <c r="C45" i="4"/>
  <c r="E46" i="4"/>
  <c r="D124" i="4"/>
  <c r="D108" i="4"/>
  <c r="D92" i="4"/>
  <c r="G47" i="4"/>
  <c r="D45" i="4"/>
  <c r="D105" i="4"/>
  <c r="F46" i="4"/>
  <c r="D128" i="4"/>
  <c r="D96" i="4"/>
  <c r="D13" i="4"/>
  <c r="D87" i="4"/>
  <c r="D47" i="4"/>
  <c r="D94" i="4"/>
  <c r="E44" i="4"/>
  <c r="D115" i="4"/>
  <c r="D99" i="4"/>
  <c r="D83" i="4"/>
  <c r="D44" i="4"/>
  <c r="F45" i="4"/>
  <c r="D122" i="4"/>
  <c r="D106" i="4"/>
  <c r="D90" i="4"/>
  <c r="C47" i="4"/>
  <c r="E48" i="4"/>
  <c r="D103" i="4"/>
  <c r="D126" i="4"/>
  <c r="F48" i="4"/>
  <c r="D130" i="4"/>
  <c r="G133" i="4" s="1"/>
  <c r="D113" i="4"/>
  <c r="D97" i="4"/>
  <c r="D81" i="4"/>
  <c r="D34" i="4"/>
  <c r="G44" i="4"/>
  <c r="D120" i="4"/>
  <c r="D104" i="4"/>
  <c r="D88" i="4"/>
  <c r="D46" i="4"/>
  <c r="D26" i="4"/>
  <c r="B66" i="4"/>
  <c r="B144" i="4" s="1"/>
  <c r="B56" i="4"/>
  <c r="B134" i="4" s="1"/>
  <c r="D54" i="4"/>
  <c r="D66" i="4"/>
  <c r="B63" i="4"/>
  <c r="B141" i="4" s="1"/>
  <c r="B62" i="4"/>
  <c r="B140" i="4" s="1"/>
  <c r="D59" i="4"/>
  <c r="F137" i="4" s="1"/>
  <c r="E55" i="4"/>
  <c r="E63" i="4"/>
  <c r="E64" i="4"/>
  <c r="E58" i="4"/>
  <c r="C62" i="4"/>
  <c r="D58" i="4"/>
  <c r="B58" i="4"/>
  <c r="B136" i="4" s="1"/>
  <c r="B57" i="4"/>
  <c r="B135" i="4" s="1"/>
  <c r="C64" i="4"/>
  <c r="C60" i="4"/>
  <c r="C63" i="4"/>
  <c r="C65" i="4"/>
  <c r="B65" i="4"/>
  <c r="B143" i="4" s="1"/>
  <c r="D65" i="4"/>
  <c r="E66" i="4"/>
  <c r="C57" i="4"/>
  <c r="G135" i="4" s="1"/>
  <c r="D61" i="4"/>
  <c r="C54" i="4"/>
  <c r="E57" i="4"/>
  <c r="C55" i="4"/>
  <c r="B64" i="4"/>
  <c r="B142" i="4" s="1"/>
  <c r="E61" i="4"/>
  <c r="B60" i="4"/>
  <c r="B138" i="4" s="1"/>
  <c r="E65" i="4"/>
  <c r="C58" i="4"/>
  <c r="D55" i="4"/>
  <c r="C56" i="4"/>
  <c r="C61" i="4"/>
  <c r="E56" i="4"/>
  <c r="E59" i="4"/>
  <c r="D57" i="4"/>
  <c r="F135" i="4" s="1"/>
  <c r="C66" i="4"/>
  <c r="G144" i="4" s="1"/>
  <c r="B54" i="4"/>
  <c r="B132" i="4" s="1"/>
  <c r="D62" i="4"/>
  <c r="D64" i="4"/>
  <c r="B61" i="4"/>
  <c r="B139" i="4" s="1"/>
  <c r="B59" i="4"/>
  <c r="B137" i="4" s="1"/>
  <c r="B55" i="4"/>
  <c r="B133" i="4" s="1"/>
  <c r="E62" i="4"/>
  <c r="D60" i="4"/>
  <c r="F138" i="4" s="1"/>
  <c r="C59" i="4"/>
  <c r="E60" i="4"/>
  <c r="D63" i="4"/>
  <c r="D56" i="4"/>
  <c r="E54" i="4"/>
  <c r="D36" i="4" a="1"/>
  <c r="F134" i="4" l="1"/>
  <c r="F140" i="4"/>
  <c r="F133" i="4"/>
  <c r="G132" i="4"/>
  <c r="G138" i="4"/>
  <c r="G137" i="4"/>
  <c r="G136" i="4"/>
  <c r="F139" i="4"/>
  <c r="G142" i="4"/>
  <c r="G139" i="4"/>
  <c r="G140" i="4"/>
  <c r="F136" i="4"/>
  <c r="F132" i="4"/>
  <c r="F143" i="4"/>
  <c r="F144" i="4"/>
  <c r="D29" i="4"/>
  <c r="G143" i="4"/>
  <c r="F141" i="4"/>
  <c r="F142" i="4"/>
  <c r="G134" i="4"/>
  <c r="G141" i="4"/>
  <c r="D36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<sst xmlns="http://schemas.openxmlformats.org/spreadsheetml/2006/main" count="435" uniqueCount="295">
  <si>
    <t xml:space="preserve">Совместный анализ рисков стоимости и сроков</t>
  </si>
  <si>
    <t xml:space="preserve">Пример МоделРиск  ·  Проекты и строительство  ·  PC-04</t>
  </si>
  <si>
    <t xml:space="preserve">Бюджет и дата завершения вместе: насколько заказчик может быть уверен в обоих при реконструкции очистных сооружений?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</si>
  <si>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</si>
  <si>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</si>
  <si>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</si>
  <si>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Проекты и строительство</t>
  </si>
  <si>
    <t xml:space="preserve">Сложность</t>
  </si>
  <si>
    <t xml:space="preserve">★★★★★   Сетевой график, затраты, зависящие от времени, общий коэффициент производительности и связанные рисковые события: стоимость и время моделируются вместе, с совместным уровнем надежности.</t>
  </si>
  <si>
    <t xml:space="preserve">Вопрос бизнеса</t>
  </si>
  <si>
    <t xml:space="preserve">Детерминированный план реконструкции очистных сооружений — 26,7 млн долл. и 62 недели. Так как большая часть затрат начисляется понедельно, опаздывающий проект — еще и дорогой. Какие бюджет и дату завершения можно утвердить с заданной надежностью выполнить оба условия и почему бюджет P80 плюс дата P80 — это не план с надежностью 80%?</t>
  </si>
  <si>
    <t xml:space="preserve">Для кого</t>
  </si>
  <si>
    <t xml:space="preserve">Директорам проектов, службам контроля проектов и инженерам по стоимости, заказчикам и советам директоров, которые утверждают бюджеты и сроки вместе.</t>
  </si>
  <si>
    <t xml:space="preserve">Основные результаты</t>
  </si>
  <si>
    <t xml:space="preserve">Стоимость и завершение: P50 / P70 / P80 · корреляция между ними · вероятность уложиться в бюджет, в срок и в оба (совместный уровень надежности, JCL) при целевых значениях · таблица JCL для бюджетов и сроков около целевых · главные факторы.</t>
  </si>
  <si>
    <t xml:space="preserve">Приемы МоделРиск</t>
  </si>
  <si>
    <t xml:space="preserve">Сеть работ с длительностями PERT · общий коэффициент производительности, заставляющий строительные длительности меняться вместе · зависящие от времени и постоянные затраты каждой работы и понедельные накладные расходы площадки · рисковые события, задержка и затраты которых берутся из одной общей выборки · совместный уровень надежности с VoseSimJointProb при целевых значениях, при P80 и в таблице бюджетов и сроков · S-кривые и «торнадо».</t>
  </si>
  <si>
    <t xml:space="preserve">Файл</t>
  </si>
  <si>
    <t xml:space="preserve">PC-04 Совместный анализ рисков стоимости и сроков  ·  Версия 1.0  ·  Ноябрь 2026  ·  создано в МоделРиск</t>
  </si>
  <si>
    <t xml:space="preserve">Вопрос бизнеса</t>
  </si>
  <si>
    <t xml:space="preserve">Водоканал реконструирует очистные сооружения: новые резервуары, новое технологическое оборудование, вывод из эксплуатации старых сооружений. Детерминированный план — 26,7 млн долл. и 62 недели. Две вещи делают этот план оптимистичным. Во-первых, большая часть затрат зависит от времени: бригады, техника и управление стройкой оплачиваются понедельно, поэтому более долгий проект стоит дороже — стоимость и сроки связаны. Во-вторых, длительности меняются не независимо: производительность на площадке влияет сразу на все строительные работы. Модель в каждой итерации рассчитывает сетевой график, считает зависящие от времени и постоянные затраты каждой работы, добавляет рисковые события, которые приносят и задержку, и затраты, и фиксирует, укладывается ли проект в бюджет, в срок и в оба сразу. Совместный уровень надежности (JCL) — вероятность уложиться и в бюджет, и в срок — это то, что действительно нужно заказчику, утверждающему бюджет и дату вместе, и он ниже каждой из вероятностей по отдельности.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</si>
  <si>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</si>
  <si>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</si>
  <si>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</si>
  <si>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Проверяемые бюджет и срок, коэффициент производительности на площадке (логнормальный около 1, применяется ко всем строительным работам), понедельные накладные расходы площадки и три рисковых события. Геологические условия и проблемы при пусконаладке приносят и задержку, и затраты, выбранные из одного общего равномерного распределения, чтобы плохой случай был плохим по обоим параметрам.</t>
  </si>
  <si>
    <t xml:space="preserve">2  План</t>
  </si>
  <si>
    <t xml:space="preserve">У каждой работы длительность PERT (× производительность для строительных работ + задержка от рисков), понедельная ставка и постоянные затраты PERT (+ затраты от рисков). В небольшой таблице рисков хранятся задержки и затраты этой итерации, и каждая работа забирает свои с помощью СУММЕСЛИ. Начала следуют сети; затраты работы = постоянные + затраты от рисков + ставка × длительность; к проекту добавляются накладные расходы × срок завершения.</t>
  </si>
  <si>
    <t xml:space="preserve">3  Результаты</t>
  </si>
  <si>
    <t xml:space="preserve">Процентили стоимости и срока, их корреляция, вероятность уложиться в бюджет, в срок и в оба (VoseSimJointProb), вероятность уложиться в оба P80, таблица JCL и факторы, определяющие стоимость.</t>
  </si>
  <si>
    <t xml:space="preserve">Как пользоваться моделью</t>
  </si>
  <si>
    <t xml:space="preserve">Шаг 1</t>
  </si>
  <si>
    <t xml:space="preserve">Проверьте работы, длительности, ставки и постоянные затраты на листе «План» и риски на листе «Исходные данные».</t>
  </si>
  <si>
    <t xml:space="preserve">Шаг 2</t>
  </si>
  <si>
    <t xml:space="preserve">Задайте проверяемые бюджет и срок на листе «Исходные данные».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</si>
  <si>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</si>
  <si>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</si>
  <si>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</si>
  <si>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По таблице JCL выберите пару «бюджет — дата» с той надежностью, которая нужна заказчику.</t>
  </si>
  <si>
    <t xml:space="preserve">Шаг 5</t>
  </si>
  <si>
    <t xml:space="preserve">Не утверждайте бюджет P80 и дату P80 как «план с надежностью 80%»: лист «Результаты» показывает, насколько меньше вероятность выполнить оба условия.</t>
  </si>
  <si>
    <t xml:space="preserve">Структура модели</t>
  </si>
  <si>
    <t xml:space="preserve">Исходные данные</t>
  </si>
  <si>
    <t xml:space="preserve">Целевые значения и шаги таблицы JCL, коэффициент производительности, накладные расходы, рисковые события.</t>
  </si>
  <si>
    <t xml:space="preserve">План</t>
  </si>
  <si>
    <t xml:space="preserve">Работы и их затраты, риски, график и стоимость этой итерации, детерминированный план, результаты и проверки.</t>
  </si>
  <si>
    <t xml:space="preserve">Результаты</t>
  </si>
  <si>
    <t xml:space="preserve">Диапазоны стоимости и срока, совместная надежность, таблица JCL, S-кривые и главные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</si>
  <si>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</si>
  <si>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</si>
  <si>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</si>
  <si>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</si>
  <si>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</si>
  <si>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</si>
  <si>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</si>
  <si>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</si>
  <si>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</si>
  <si>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</si>
  <si>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</si>
  <si>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</si>
  <si>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</si>
  <si>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ставки — в тысячах долларов в неделю (тыс. долл./нед.).</t>
  </si>
  <si>
    <t xml:space="preserve">Время</t>
  </si>
  <si>
    <t xml:space="preserve">Недели от начала.</t>
  </si>
  <si>
    <t>JCL</t>
  </si>
  <si>
    <t xml:space="preserve">Совместный уровень надежности: вероятность, что проект уложится в бюджет И в срок.</t>
  </si>
  <si>
    <t>P50 / P70 / P80</t>
  </si>
  <si>
    <t xml:space="preserve">Вероятность 50%, 70% и 80%, что значение не будет превышено. Ведомства часто требуют JCL 70%.</t>
  </si>
  <si>
    <t xml:space="preserve">Основные допущения и ограничения</t>
  </si>
  <si>
    <t xml:space="preserve">Логика</t>
  </si>
  <si>
    <t xml:space="preserve">Связи «окончание — начало»; без ограничений ресурсов; накладные расходы начисляются, пока не закончится последняя работа.</t>
  </si>
  <si>
    <t xml:space="preserve">Производительность</t>
  </si>
  <si>
    <t xml:space="preserve">Один коэффициент масштабирует все строительные длительности сразу; проектирование и закупки он не затрагивает.</t>
  </si>
  <si>
    <t xml:space="preserve">Риски</t>
  </si>
  <si>
    <t xml:space="preserve">Три рисковых события; каждое реализуется не более одного раза; задержка добавляется к длительности своей работы.</t>
  </si>
  <si>
    <t xml:space="preserve">Данные</t>
  </si>
  <si>
    <t xml:space="preserve">Проект и все цифры придуманы для этого примера.</t>
  </si>
  <si>
    <t xml:space="preserve">Функции МоделРиск в модели</t>
  </si>
  <si>
    <t>VosePERT</t>
  </si>
  <si>
    <t xml:space="preserve">Длительности и постоянные затраты по трехточечным оценкам.</t>
  </si>
  <si>
    <t>VoseLognormalAlt</t>
  </si>
  <si>
    <t xml:space="preserve">Коэффициент производительности на площадке по 10-му и 90-му процентилям.</t>
  </si>
  <si>
    <t>VoseRiskEvent, VosePERTObject, VoseUniform</t>
  </si>
  <si>
    <t xml:space="preserve">Рисковые события; одно общее равномерное значение на риск задает и задержку, и затраты.</t>
  </si>
  <si>
    <t>VoseInput, VoseOutput</t>
  </si>
  <si>
    <t xml:space="preserve">Задают имена неопределенных величин и результатов.</t>
  </si>
  <si>
    <t>VoseSimJointProb</t>
  </si>
  <si>
    <t xml:space="preserve">Доля итераций, в которых выполнены бюджет И срок: совместный уровень надежности.</t>
  </si>
  <si>
    <t>VoseSimMean, VoseSimPercentile, VoseSimProbability, VoseSimCorrelation</t>
  </si>
  <si>
    <t xml:space="preserve">Статистика моделирования для таблиц и графиков на листе «Результаты».</t>
  </si>
  <si>
    <t>VoseSimSensitivityMean</t>
  </si>
  <si>
    <t xml:space="preserve">Диаграмма «торнадо»: тринадцать VoseInput, сильнее всего меняющих среднюю общую стоимость в пределах своего диапазона, по порядку.</t>
  </si>
  <si>
    <t xml:space="preserve">Что почитать</t>
  </si>
  <si>
    <t xml:space="preserve">Совместный анализ</t>
  </si>
  <si>
    <t>AACE International (2012). Recommended Practice 57R-09: Integrated Cost and Schedule Risk Analysis using Monte Carlo Simulation of a CPM Model.</t>
  </si>
  <si>
    <t xml:space="preserve">Совместная надежность</t>
  </si>
  <si>
    <t>NASA (2015). NASA Cost Estimating Handbook, version 4.0 — Joint Cost and Schedule Confidence Level (JCL).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</si>
  <si>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</si>
  <si>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Целевые значения, общие факторы и рисковые события. Девять работ с длительностями, ставками и постоянными затратами — на листе «План». Меняйте только желтые ячейки.</t>
  </si>
  <si>
    <t xml:space="preserve">◂  Описание</t>
  </si>
  <si>
    <t xml:space="preserve">Далее:  План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</si>
  <si>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PERT; для логнормального — низкая (10-й процентиль) и высокая (90-й процентиль) оценки.  Среднее — среднее значение распределения (VoseMean); если диапазон задан неверно, показывается ✗.</t>
  </si>
  <si>
    <t xml:space="preserve">1   Целевые значения</t>
  </si>
  <si>
    <t xml:space="preserve">Проверяемые бюджет и срок завершения и шаги между бюджетами и сроками в таблице JCL.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</si>
  <si>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</si>
  <si>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</si>
  <si>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</si>
  <si>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</si>
  <si>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</si>
  <si>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Бюджет</t>
  </si>
  <si>
    <t xml:space="preserve">млн долл.</t>
  </si>
  <si>
    <t xml:space="preserve">Константа</t>
  </si>
  <si>
    <t xml:space="preserve">Предлагаемый бюджет с резервом.</t>
  </si>
  <si>
    <t xml:space="preserve">Срок</t>
  </si>
  <si>
    <t xml:space="preserve">нед.</t>
  </si>
  <si>
    <t xml:space="preserve">Срок завершения по разрешению надзорного органа.</t>
  </si>
  <si>
    <t xml:space="preserve">Шаг между бюджетами в таблице JCL</t>
  </si>
  <si>
    <t xml:space="preserve">По два бюджета с каждой стороны от целевого.</t>
  </si>
  <si>
    <t xml:space="preserve">Шаг между сроками в таблице JCL</t>
  </si>
  <si>
    <t xml:space="preserve">По два срока с каждой стороны от целевого.</t>
  </si>
  <si>
    <t xml:space="preserve">2   Общие факторы</t>
  </si>
  <si>
    <t xml:space="preserve">То, что влияет сразу на многие работы.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</si>
  <si>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</si>
  <si>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</si>
  <si>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</si>
  <si>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</si>
  <si>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Коэффициент производительности на площадке  (× строительные длительности)</t>
  </si>
  <si>
    <t>×</t>
  </si>
  <si>
    <t xml:space="preserve">Логнормальное  · P10, P90</t>
  </si>
  <si>
    <t>–</t>
  </si>
  <si>
    <t xml:space="preserve">Рынок труда и условия на площадке: 1,10 означает, что каждая строительная работа идет на 10% дольше.</t>
  </si>
  <si>
    <t xml:space="preserve">Накладные расходы площадки</t>
  </si>
  <si>
    <t xml:space="preserve">тыс. долл. в неделю</t>
  </si>
  <si>
    <t xml:space="preserve">Управление стройкой, бытовые помещения, охрана: оплачиваются до завершения.</t>
  </si>
  <si>
    <t xml:space="preserve">3   Рисковые события</t>
  </si>
  <si>
    <t xml:space="preserve">Вероятность каждого риска и его задержка и затраты, если он реализуется. Выборки делаются на листе «План»; геологические условия и пусконаладка берут задержку и затраты из одной общей выборки.</t>
  </si>
  <si>
    <t xml:space="preserve">Вероятность плохих геологических условий</t>
  </si>
  <si>
    <t xml:space="preserve">вероятность</t>
  </si>
  <si>
    <t xml:space="preserve">Скважины обнаружили мягкую глину с восточной стороны.</t>
  </si>
  <si>
    <t xml:space="preserve">Грунты: задержка котлована и свай, если риск реализуется</t>
  </si>
  <si>
    <t xml:space="preserve">PERT  · выборка на другом листе</t>
  </si>
  <si>
    <t xml:space="preserve">Дополнительные сваи и водопонижение.</t>
  </si>
  <si>
    <t xml:space="preserve">Грунты: дополнительные затраты, если риск реализуется</t>
  </si>
  <si>
    <t xml:space="preserve">Более длинные сваи, установки водопонижения.</t>
  </si>
  <si>
    <t xml:space="preserve">Вероятность, что технологическое оборудование опоздает</t>
  </si>
  <si>
    <t xml:space="preserve">Мембраны поставляет один поставщик, его портфель заказов загружен.</t>
  </si>
  <si>
    <t xml:space="preserve">Оборудование: задержка, если оно опоздает</t>
  </si>
  <si>
    <t xml:space="preserve">Сдвиг поставки.</t>
  </si>
  <si>
    <t xml:space="preserve">Вероятность проблем с технологическим процессом при пусконаладке</t>
  </si>
  <si>
    <t xml:space="preserve">Биологическому процессу нужно время, чтобы стабилизироваться.</t>
  </si>
  <si>
    <t xml:space="preserve">Пусконаладка: задержка, если риск реализуется</t>
  </si>
  <si>
    <t xml:space="preserve">Повторное засевание, повторные испытания.</t>
  </si>
  <si>
    <t xml:space="preserve">Пусконаладка: дополнительные затраты, если риск реализуется</t>
  </si>
  <si>
    <t xml:space="preserve">Специалисты, реагенты, временная очистка.</t>
  </si>
  <si>
    <t xml:space="preserve">ПЛАН   ·   Девять работ: сеть, длительности и затраты; рисковые события, график и стоимость этой итерации.</t>
  </si>
  <si>
    <t xml:space="preserve">◂  Исходные данные</t>
  </si>
  <si>
    <t xml:space="preserve">Далее:  Результаты  ▸</t>
  </si>
  <si>
    <t xml:space="preserve">1   Работы</t>
  </si>
  <si>
    <t xml:space="preserve">Желтые ячейки — исходные данные. Строительная работа = 1: применяется коэффициент производительности. Ставка: затраты работы в неделю.</t>
  </si>
  <si>
    <t xml:space="preserve">№</t>
  </si>
  <si>
    <t xml:space="preserve">Работа</t>
  </si>
  <si>
    <t xml:space="preserve">Предшественники</t>
  </si>
  <si>
    <t xml:space="preserve">Длительность  (нед.)</t>
  </si>
  <si>
    <t xml:space="preserve">Строит.</t>
  </si>
  <si>
    <t xml:space="preserve">Ставка</t>
  </si>
  <si>
    <t xml:space="preserve">Постоянные затраты  (млн долл.)</t>
  </si>
  <si>
    <t xml:space="preserve">Примечание</t>
  </si>
  <si>
    <t xml:space="preserve">только подпись</t>
  </si>
  <si>
    <t xml:space="preserve">работа</t>
  </si>
  <si>
    <t xml:space="preserve">тыс. долл./нед.</t>
  </si>
  <si>
    <t>A</t>
  </si>
  <si>
    <t xml:space="preserve">Проектирование и разрешения</t>
  </si>
  <si>
    <t xml:space="preserve">Проектная команда и разрешения</t>
  </si>
  <si>
    <t>B</t>
  </si>
  <si>
    <t xml:space="preserve">Подготовительные работы</t>
  </si>
  <si>
    <t xml:space="preserve">Подъездные дороги, временные сооружения</t>
  </si>
  <si>
    <t>C</t>
  </si>
  <si>
    <t xml:space="preserve">Котлован и сваи под новые резервуары</t>
  </si>
  <si>
    <t xml:space="preserve">Геологический риск добавляет время и затраты</t>
  </si>
  <si>
    <t>D</t>
  </si>
  <si>
    <t xml:space="preserve">Железобетонные резервуары</t>
  </si>
  <si>
    <t xml:space="preserve">Самый крупный пакет строительных работ</t>
  </si>
  <si>
    <t>E</t>
  </si>
  <si>
    <t xml:space="preserve">Закупка технологического оборудования</t>
  </si>
  <si>
    <t xml:space="preserve">Мембраны и воздуходувки; риск поставщика</t>
  </si>
  <si>
    <t>F</t>
  </si>
  <si>
    <t xml:space="preserve">Монтаж оборудования и трубопроводов</t>
  </si>
  <si>
    <t>D, E</t>
  </si>
  <si>
    <t>G</t>
  </si>
  <si>
    <t xml:space="preserve">Электромонтаж и АСУ</t>
  </si>
  <si>
    <t>H</t>
  </si>
  <si>
    <t xml:space="preserve">Пусконаладка</t>
  </si>
  <si>
    <t>F, G</t>
  </si>
  <si>
    <t xml:space="preserve">Риск выхода на технологический режим</t>
  </si>
  <si>
    <t>I</t>
  </si>
  <si>
    <t xml:space="preserve">Вывод старых сооружений, благоустройство</t>
  </si>
  <si>
    <t xml:space="preserve">Столбец «Предшественники» — только подпись: логика записана в формулы столбца «Начало» в разделе 3.</t>
  </si>
  <si>
    <t xml:space="preserve">2   Рисковые события в этой итерации</t>
  </si>
  <si>
    <t xml:space="preserve">Каждый риск — 0 или задержка и затраты PERT с вероятностью с листа «Исходные данные». Одна общая выборка дает задержку и затраты риска, чтобы плохой случай был плохим по обоим параметрам.</t>
  </si>
  <si>
    <t xml:space="preserve">Риск</t>
  </si>
  <si>
    <t xml:space="preserve">Общая</t>
  </si>
  <si>
    <t xml:space="preserve">Задержка</t>
  </si>
  <si>
    <t xml:space="preserve">Доп. затраты</t>
  </si>
  <si>
    <t xml:space="preserve">Как рассчитывается</t>
  </si>
  <si>
    <t xml:space="preserve">выборка (U)</t>
  </si>
  <si>
    <t xml:space="preserve">Плохие геологические условия</t>
  </si>
  <si>
    <t xml:space="preserve">VoseRiskEvent(вероятность, PERT задержки или затрат, общая выборка)</t>
  </si>
  <si>
    <t xml:space="preserve">Технологическое оборудование опаздывает</t>
  </si>
  <si>
    <t xml:space="preserve">У риска поставщика нет затрат: он только задерживает оборудование</t>
  </si>
  <si>
    <t xml:space="preserve">Проблемы с технологическим процессом при пусконаладке</t>
  </si>
  <si>
    <t xml:space="preserve">3   Эта итерация</t>
  </si>
  <si>
    <t xml:space="preserve">Объем работ = PERT × производительность (строительные работы). Длительность = объем + задержка от рисков. Затраты = постоянные + затраты от рисков + ставка × длительность.</t>
  </si>
  <si>
    <t xml:space="preserve">Объем</t>
  </si>
  <si>
    <t xml:space="preserve">Задержка от рисков</t>
  </si>
  <si>
    <t xml:space="preserve">Длительность</t>
  </si>
  <si>
    <t xml:space="preserve">Начало</t>
  </si>
  <si>
    <t xml:space="preserve">Окончание</t>
  </si>
  <si>
    <t xml:space="preserve">Затраты от рисков</t>
  </si>
  <si>
    <t xml:space="preserve">Зав. от времени</t>
  </si>
  <si>
    <t xml:space="preserve">Стоимость</t>
  </si>
  <si>
    <t xml:space="preserve">неделя</t>
  </si>
  <si>
    <t xml:space="preserve">Начало: окончание предшественника или самое позднее из нескольких</t>
  </si>
  <si>
    <t xml:space="preserve">Задержка и затраты от рисков: СУММЕСЛИ по таблице рисков (раздел 2)</t>
  </si>
  <si>
    <t xml:space="preserve">Затраты, зависящие от времени = ставка × длительность ÷ 1000 (тыс. долл. в млн долл.)</t>
  </si>
  <si>
    <t xml:space="preserve">Итого</t>
  </si>
  <si>
    <t xml:space="preserve">4   Детерминированный план</t>
  </si>
  <si>
    <t xml:space="preserve">Наиболее вероятные длительности и затраты, без эффекта производительности и рисковых событий.</t>
  </si>
  <si>
    <t xml:space="preserve">5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</si>
  <si>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</si>
  <si>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</si>
  <si>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</si>
  <si>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</si>
  <si>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Завершение</t>
  </si>
  <si>
    <t xml:space="preserve">Окончание последней работы.</t>
  </si>
  <si>
    <t xml:space="preserve">Общая стоимость</t>
  </si>
  <si>
    <t xml:space="preserve">Затраты работ + накладные расходы × недели.</t>
  </si>
  <si>
    <t xml:space="preserve">Детерминированное завершение</t>
  </si>
  <si>
    <t xml:space="preserve">Наиболее вероятный план.</t>
  </si>
  <si>
    <t xml:space="preserve">Детерминированная стоимость</t>
  </si>
  <si>
    <t xml:space="preserve">6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</si>
  <si>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</si>
  <si>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Длительности и постоянные затраты: мин. ≤ наиболее вероятное ≤ макс.</t>
  </si>
  <si>
    <t xml:space="preserve">Признаки строительных работ равны 0 или 1</t>
  </si>
  <si>
    <t xml:space="preserve">Каждый риск ссылается на работу плана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</si>
  <si>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</si>
  <si>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План</t>
  </si>
  <si>
    <t xml:space="preserve">1   Стоимость и завершение</t>
  </si>
  <si>
    <t xml:space="preserve">Общая стоимость — S-кривая</t>
  </si>
  <si>
    <t xml:space="preserve">Детерминированный план в сравнении с моделированием.</t>
  </si>
  <si>
    <t xml:space="preserve">Показатель</t>
  </si>
  <si>
    <t xml:space="preserve">Детерминированная стоимость  (наиболее вероятные значения, без рисков)</t>
  </si>
  <si>
    <t xml:space="preserve">Средняя стоимость  (моделирование)</t>
  </si>
  <si>
    <t xml:space="preserve">Среднее завершение  (моделирование)</t>
  </si>
  <si>
    <t xml:space="preserve">Ранговая корреляция стоимости и срока завершения</t>
  </si>
  <si>
    <t>P50</t>
  </si>
  <si>
    <t>P70</t>
  </si>
  <si>
    <t>P80</t>
  </si>
  <si>
    <t xml:space="preserve">2   Совместная надежность при целевых значениях</t>
  </si>
  <si>
    <t xml:space="preserve">Бюджет и срок с листа «Исходные данные». VoseSimJointProb: доля итераций, в которых выполнены оба условия.</t>
  </si>
  <si>
    <t xml:space="preserve">Бюджет  ·  срок</t>
  </si>
  <si>
    <t xml:space="preserve">Завершение — S-кривая</t>
  </si>
  <si>
    <t xml:space="preserve">Вероятность уложиться в бюджет</t>
  </si>
  <si>
    <t xml:space="preserve">Вероятность уложиться в срок</t>
  </si>
  <si>
    <t xml:space="preserve">Вероятность уложиться в оба  (совместный уровень надежности)</t>
  </si>
  <si>
    <t xml:space="preserve">Если бы стоимость и время были независимы  (бюджет × срок)</t>
  </si>
  <si>
    <t xml:space="preserve">3   Бюджет P80 и дата P80 — это не план с надежностью 80%</t>
  </si>
  <si>
    <t xml:space="preserve">Каждое выполняется с вероятностью 80% само по себе; оба вместе — реже.</t>
  </si>
  <si>
    <t xml:space="preserve">Стоимость P80</t>
  </si>
  <si>
    <t xml:space="preserve">Завершение P80</t>
  </si>
  <si>
    <t xml:space="preserve">Вероятность уложиться и в стоимость P80, и в дату P80</t>
  </si>
  <si>
    <t xml:space="preserve">4   Таблица совместного уровня надежности</t>
  </si>
  <si>
    <t xml:space="preserve">Вероятность уложиться в оба условия для бюджетов (строки) и сроков (столбцы) около целевых значений: VoseSimJointProb для каждой пары.</t>
  </si>
  <si>
    <t xml:space="preserve">Бюджет  (млн долл.)</t>
  </si>
  <si>
    <t xml:space="preserve">Центральная ячейка — целевая пара. Зеленый — высокая вероятность уложиться в оба условия, красный — низкая. Шаги между строками и столбцами задаются на листе «Исходные данные».</t>
  </si>
  <si>
    <t xml:space="preserve">5   Что определяет стоимость</t>
  </si>
  <si>
    <t xml:space="preserve">Что определяет общую стоимость  (млн долл.)</t>
  </si>
  <si>
    <t xml:space="preserve">Наименьшее и наибольшее среднее общей стоимости по десяти равным группам каждой исходной величины (VoseSimSensitivityMean), от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</si>
  <si>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</si>
  <si>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</si>
  <si>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</si>
  <si>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</si>
  <si>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6   Как читать результаты</t>
  </si>
  <si>
    <t xml:space="preserve">•  Стоимость и срок завершения сильно коррелируют: недели стоят денег, а одни и те же события задерживают работы и добавляют затраты. Опаздывающий проект — дорогой проект.</t>
  </si>
  <si>
    <t xml:space="preserve">•  Вероятность уложиться и в бюджет, и в срок ниже каждой из вероятностей по отдельности. Если утвердить бюджет P80 и дату P80 по отдельности, вероятность выполнить оба условия — около 74%, а не 80%; таблица JCL показывает, какие пары действительно дают 80%.</t>
  </si>
  <si>
    <t xml:space="preserve">•  Поскольку стоимость и время меняются вместе, совместная вероятность выше, чем была бы при их независимости, — но ее все равно ограничивает более трудная из двух целей.</t>
  </si>
  <si>
    <t xml:space="preserve">•  Производительность на площадке влияет на все строительные работы сразу, поэтому определяет и стоимость, и срок завершения; длительности, которые меняются вместе, дают более широкий диапазон, чем независимые оценки.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</si>
  <si>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</si>
  <si>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</si>
  <si>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</si>
  <si>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</si>
  <si>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TotalCost</t>
  </si>
  <si>
    <t xml:space="preserve">Общее среднее TotalCost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</si>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</sst>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_);\(#,##0.0\);&quot;–&quot;_)"/>
    <numFmt numFmtId="165" formatCode="#,##0_);\(#,##0\);&quot;–&quot;_)"/>
    <numFmt numFmtId="166" formatCode="#,##0.00_);\(#,##0.00\);&quot;–&quot;_)"/>
    <numFmt numFmtId="167" formatCode="0.000"/>
    <numFmt numFmtId="168" formatCode="#,##0.00_);\(#,##0.00\);&quot;–&quot;_);&quot;–&quot;"/>
    <numFmt numFmtId="169" formatCode="#,##0.0_);\(#,##0.0\);&quot;–&quot;_);&quot;–&quot;"/>
    <numFmt numFmtId="170" formatCode="0.00;\-0.00;0.00;&quot;–&quot;"/>
    <numFmt numFmtId="171" formatCode="0.0%;\-0.0%;0.0%;&quot;–&quot;"/>
    <numFmt numFmtId="172" formatCode="0&quot; wk&quot;"/>
    <numFmt numFmtId="173" formatCode="0%;\-0%;0%;&quot;–&quot;"/>
    <numFmt numFmtId="174" formatCode="0;\-0;0;&quot;–&quot;"/>
  </numFmts>
  <fonts count="25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9"/>
      <color rgb="FF8B8E95"/>
      <name val="Calibri"/>
    </font>
    <font>
      <sz val="8"/>
      <color rgb="FF55585F"/>
      <name val="Calibri"/>
    </font>
    <font>
      <b/>
      <sz val="10"/>
      <color rgb="FF15803D"/>
      <name val="Calibri"/>
    </font>
    <font>
      <sz val="10"/>
      <color rgb="FF55585F"/>
      <name val="Calibri"/>
    </font>
    <font>
      <b/>
      <sz val="13"/>
      <color rgb="FF1F2328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88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" fontId="1" fillId="2" borderId="7" xfId="1" applyNumberFormat="1" applyBorder="1">
      <alignment horizontal="right" vertical="center"/>
    </xf>
    <xf numFmtId="2" fontId="2" fillId="3" borderId="7" xfId="2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0" fontId="19" fillId="0" borderId="6" xfId="0" applyFont="1" applyBorder="1" applyAlignment="1">
      <alignment horizontal="center" vertical="center"/>
    </xf>
    <xf numFmtId="2" fontId="3" fillId="0" borderId="8" xfId="3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0" fillId="7" borderId="2" xfId="0" applyFill="1" applyBorder="1"/>
    <xf numFmtId="0" fontId="17" fillId="7" borderId="2" xfId="0" applyFont="1" applyFill="1" applyBorder="1" applyAlignment="1">
      <alignment horizontal="right" vertical="center"/>
    </xf>
    <xf numFmtId="0" fontId="20" fillId="7" borderId="4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" fontId="1" fillId="2" borderId="7" xfId="1" applyNumberForma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0" fontId="1" fillId="2" borderId="7" xfId="1" applyBorder="1" applyAlignment="1">
      <alignment horizontal="left" vertical="center" indent="1"/>
    </xf>
    <xf numFmtId="167" fontId="2" fillId="3" borderId="7" xfId="2" applyNumberFormat="1" applyBorder="1">
      <alignment horizontal="right" vertical="center"/>
    </xf>
    <xf numFmtId="0" fontId="19" fillId="0" borderId="6" xfId="0" applyFont="1" applyBorder="1" applyAlignment="1">
      <alignment horizontal="right" vertical="center"/>
    </xf>
    <xf numFmtId="164" fontId="2" fillId="3" borderId="7" xfId="2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0" fontId="0" fillId="0" borderId="9" xfId="0" applyBorder="1"/>
    <xf numFmtId="0" fontId="12" fillId="0" borderId="9" xfId="0" applyFont="1" applyBorder="1" applyAlignment="1">
      <alignment horizontal="left" vertical="center" indent="1"/>
    </xf>
    <xf numFmtId="166" fontId="12" fillId="0" borderId="9" xfId="3" applyNumberFormat="1" applyFon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4" fontId="4" fillId="4" borderId="10" xfId="4" applyNumberFormat="1" applyBorder="1">
      <alignment horizontal="right" vertical="center"/>
    </xf>
    <xf numFmtId="166" fontId="4" fillId="4" borderId="10" xfId="4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4" fillId="0" borderId="5" xfId="0" applyFont="1" applyBorder="1"/>
    <xf numFmtId="0" fontId="22" fillId="0" borderId="6" xfId="0" applyFont="1" applyBorder="1" applyAlignment="1">
      <alignment horizontal="left" vertical="center" indent="1"/>
    </xf>
    <xf numFmtId="168" fontId="23" fillId="5" borderId="7" xfId="5" applyNumberFormat="1" applyFon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168" fontId="1" fillId="5" borderId="7" xfId="5" applyNumberFormat="1" applyBorder="1">
      <alignment horizontal="right" vertical="center"/>
    </xf>
    <xf numFmtId="0" fontId="3" fillId="0" borderId="8" xfId="3" applyBorder="1">
      <alignment horizontal="right" vertical="center"/>
    </xf>
    <xf numFmtId="171" fontId="1" fillId="5" borderId="7" xfId="5" applyNumberFormat="1" applyBorder="1">
      <alignment horizontal="right" vertical="center"/>
    </xf>
    <xf numFmtId="171" fontId="23" fillId="5" borderId="7" xfId="5" applyNumberFormat="1" applyFont="1" applyBorder="1">
      <alignment horizontal="right" vertical="center"/>
    </xf>
    <xf numFmtId="172" fontId="17" fillId="7" borderId="4" xfId="0" applyNumberFormat="1" applyFont="1" applyFill="1" applyBorder="1" applyAlignment="1">
      <alignment horizontal="right" vertical="center"/>
    </xf>
    <xf numFmtId="164" fontId="12" fillId="0" borderId="8" xfId="3" applyNumberFormat="1" applyFont="1" applyBorder="1" applyAlignment="1">
      <alignment horizontal="left" vertical="center" indent="1"/>
    </xf>
    <xf numFmtId="173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4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8" fontId="1" fillId="5" borderId="1" xfId="5" applyNumberFormat="1">
      <alignment horizontal="right" vertical="center"/>
    </xf>
    <xf numFmtId="0" fontId="22" fillId="0" borderId="0" xfId="0" applyFont="1" applyAlignment="1">
      <alignment horizontal="left" vertical="center" indent="1"/>
    </xf>
    <xf numFmtId="166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9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Общая стоимость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'Результаты'!$D$79:$D$128</c:f>
              <c:numCache>
                <c:formatCode>#,##0.00</c:formatCode>
                <c:ptCount val="50"/>
                <c:pt idx="0">
                  <c:v>25.644540792087167</c:v>
                </c:pt>
                <c:pt idx="1">
                  <c:v>26.053405628391168</c:v>
                </c:pt>
                <c:pt idx="2">
                  <c:v>26.27636597369683</c:v>
                </c:pt>
                <c:pt idx="3">
                  <c:v>26.443134316687981</c:v>
                </c:pt>
                <c:pt idx="4">
                  <c:v>26.571341296994099</c:v>
                </c:pt>
                <c:pt idx="5">
                  <c:v>26.697638668172104</c:v>
                </c:pt>
                <c:pt idx="6">
                  <c:v>26.797277418609823</c:v>
                </c:pt>
                <c:pt idx="7">
                  <c:v>26.891821297119197</c:v>
                </c:pt>
                <c:pt idx="8">
                  <c:v>26.977841786387906</c:v>
                </c:pt>
                <c:pt idx="9">
                  <c:v>27.058084124856816</c:v>
                </c:pt>
                <c:pt idx="10">
                  <c:v>27.138462917162386</c:v>
                </c:pt>
                <c:pt idx="11">
                  <c:v>27.205657429288646</c:v>
                </c:pt>
                <c:pt idx="12">
                  <c:v>27.278457195869628</c:v>
                </c:pt>
                <c:pt idx="13">
                  <c:v>27.351833909066148</c:v>
                </c:pt>
                <c:pt idx="14">
                  <c:v>27.422748237904685</c:v>
                </c:pt>
                <c:pt idx="15">
                  <c:v>27.498465843888628</c:v>
                </c:pt>
                <c:pt idx="16">
                  <c:v>27.560846054292014</c:v>
                </c:pt>
                <c:pt idx="17">
                  <c:v>27.616062924498301</c:v>
                </c:pt>
                <c:pt idx="18">
                  <c:v>27.679917575321046</c:v>
                </c:pt>
                <c:pt idx="19">
                  <c:v>27.74017376600349</c:v>
                </c:pt>
                <c:pt idx="20">
                  <c:v>27.797185259299805</c:v>
                </c:pt>
                <c:pt idx="21">
                  <c:v>27.859725762729404</c:v>
                </c:pt>
                <c:pt idx="22">
                  <c:v>27.91901351918052</c:v>
                </c:pt>
                <c:pt idx="23">
                  <c:v>27.973971805702906</c:v>
                </c:pt>
                <c:pt idx="24">
                  <c:v>28.039421395767825</c:v>
                </c:pt>
                <c:pt idx="25">
                  <c:v>28.102562820862023</c:v>
                </c:pt>
                <c:pt idx="26">
                  <c:v>28.163969225613307</c:v>
                </c:pt>
                <c:pt idx="27">
                  <c:v>28.223582836549983</c:v>
                </c:pt>
                <c:pt idx="28">
                  <c:v>28.291999626826289</c:v>
                </c:pt>
                <c:pt idx="29">
                  <c:v>28.360694925461555</c:v>
                </c:pt>
                <c:pt idx="30">
                  <c:v>28.423870902332542</c:v>
                </c:pt>
                <c:pt idx="31">
                  <c:v>28.498620759030249</c:v>
                </c:pt>
                <c:pt idx="32">
                  <c:v>28.565032223674386</c:v>
                </c:pt>
                <c:pt idx="33">
                  <c:v>28.630980294338215</c:v>
                </c:pt>
                <c:pt idx="34">
                  <c:v>28.702110183250191</c:v>
                </c:pt>
                <c:pt idx="35">
                  <c:v>28.775205076561505</c:v>
                </c:pt>
                <c:pt idx="36">
                  <c:v>28.855020512503859</c:v>
                </c:pt>
                <c:pt idx="37">
                  <c:v>28.940874302443031</c:v>
                </c:pt>
                <c:pt idx="38">
                  <c:v>29.016757533725148</c:v>
                </c:pt>
                <c:pt idx="39">
                  <c:v>29.109127660975922</c:v>
                </c:pt>
                <c:pt idx="40">
                  <c:v>29.21977652442196</c:v>
                </c:pt>
                <c:pt idx="41">
                  <c:v>29.329271690284287</c:v>
                </c:pt>
                <c:pt idx="42">
                  <c:v>29.442969462146216</c:v>
                </c:pt>
                <c:pt idx="43">
                  <c:v>29.571426019440764</c:v>
                </c:pt>
                <c:pt idx="44">
                  <c:v>29.696881861738706</c:v>
                </c:pt>
                <c:pt idx="45">
                  <c:v>29.867565064478129</c:v>
                </c:pt>
                <c:pt idx="46">
                  <c:v>30.046379023071829</c:v>
                </c:pt>
                <c:pt idx="47">
                  <c:v>30.263491484862371</c:v>
                </c:pt>
                <c:pt idx="48">
                  <c:v>30.611635287342146</c:v>
                </c:pt>
                <c:pt idx="49">
                  <c:v>31.243349609619067</c:v>
                </c:pt>
              </c:numCache>
            </c:numRef>
          </c:xVal>
          <c:yVal>
            <c:numRef>
              <c:f>'Результаты'!$B$79:$B$128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54E-424D-817F-4E4FDFE93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24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Общая стоимость (млн долл.)</a:t>
                </a:r>
              </a:p>
            </c:rich>
          </c:tx>
          <c:overlay val="0"/>
        </c:title>
        <c:numFmt formatCode="#,##0.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Завершение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'Результаты'!$E$79:$E$128</c:f>
              <c:numCache>
                <c:formatCode>#,##0.00</c:formatCode>
                <c:ptCount val="50"/>
                <c:pt idx="0">
                  <c:v>55.646696248197543</c:v>
                </c:pt>
                <c:pt idx="1">
                  <c:v>57.73629041001854</c:v>
                </c:pt>
                <c:pt idx="2">
                  <c:v>58.789345187142047</c:v>
                </c:pt>
                <c:pt idx="3">
                  <c:v>59.588604925086713</c:v>
                </c:pt>
                <c:pt idx="4">
                  <c:v>60.244765032476643</c:v>
                </c:pt>
                <c:pt idx="5">
                  <c:v>60.737100504962321</c:v>
                </c:pt>
                <c:pt idx="6">
                  <c:v>61.188455296881308</c:v>
                </c:pt>
                <c:pt idx="7">
                  <c:v>61.559478556257126</c:v>
                </c:pt>
                <c:pt idx="8">
                  <c:v>61.960276492270879</c:v>
                </c:pt>
                <c:pt idx="9">
                  <c:v>62.299618709731774</c:v>
                </c:pt>
                <c:pt idx="10">
                  <c:v>62.657381797407695</c:v>
                </c:pt>
                <c:pt idx="11">
                  <c:v>62.970182030979096</c:v>
                </c:pt>
                <c:pt idx="12">
                  <c:v>63.295389109807211</c:v>
                </c:pt>
                <c:pt idx="13">
                  <c:v>63.60990651379069</c:v>
                </c:pt>
                <c:pt idx="14">
                  <c:v>63.919136206597599</c:v>
                </c:pt>
                <c:pt idx="15">
                  <c:v>64.163386319101988</c:v>
                </c:pt>
                <c:pt idx="16">
                  <c:v>64.419886377477113</c:v>
                </c:pt>
                <c:pt idx="17">
                  <c:v>64.706074656266154</c:v>
                </c:pt>
                <c:pt idx="18">
                  <c:v>64.976473990324664</c:v>
                </c:pt>
                <c:pt idx="19">
                  <c:v>65.2658324665734</c:v>
                </c:pt>
                <c:pt idx="20">
                  <c:v>65.580498627482143</c:v>
                </c:pt>
                <c:pt idx="21">
                  <c:v>65.864570557278867</c:v>
                </c:pt>
                <c:pt idx="22">
                  <c:v>66.120551603356702</c:v>
                </c:pt>
                <c:pt idx="23">
                  <c:v>66.369786196550081</c:v>
                </c:pt>
                <c:pt idx="24">
                  <c:v>66.612715354644223</c:v>
                </c:pt>
                <c:pt idx="25">
                  <c:v>66.880480246994424</c:v>
                </c:pt>
                <c:pt idx="26">
                  <c:v>67.142931395617794</c:v>
                </c:pt>
                <c:pt idx="27">
                  <c:v>67.406867471010727</c:v>
                </c:pt>
                <c:pt idx="28">
                  <c:v>67.682322056981107</c:v>
                </c:pt>
                <c:pt idx="29">
                  <c:v>67.954062174060809</c:v>
                </c:pt>
                <c:pt idx="30">
                  <c:v>68.217474140137583</c:v>
                </c:pt>
                <c:pt idx="31">
                  <c:v>68.483760642991783</c:v>
                </c:pt>
                <c:pt idx="32">
                  <c:v>68.762553934396635</c:v>
                </c:pt>
                <c:pt idx="33">
                  <c:v>69.050540488021923</c:v>
                </c:pt>
                <c:pt idx="34">
                  <c:v>69.365712243203106</c:v>
                </c:pt>
                <c:pt idx="35">
                  <c:v>69.688923335947067</c:v>
                </c:pt>
                <c:pt idx="36">
                  <c:v>70.035233573580157</c:v>
                </c:pt>
                <c:pt idx="37">
                  <c:v>70.377256035522862</c:v>
                </c:pt>
                <c:pt idx="38">
                  <c:v>70.797677424009919</c:v>
                </c:pt>
                <c:pt idx="39">
                  <c:v>71.193593436145122</c:v>
                </c:pt>
                <c:pt idx="40">
                  <c:v>71.638743882488171</c:v>
                </c:pt>
                <c:pt idx="41">
                  <c:v>72.06052380197255</c:v>
                </c:pt>
                <c:pt idx="42">
                  <c:v>72.481363897871887</c:v>
                </c:pt>
                <c:pt idx="43">
                  <c:v>73.000244678981602</c:v>
                </c:pt>
                <c:pt idx="44">
                  <c:v>73.545353315266766</c:v>
                </c:pt>
                <c:pt idx="45">
                  <c:v>74.176333364070231</c:v>
                </c:pt>
                <c:pt idx="46">
                  <c:v>74.998429236327141</c:v>
                </c:pt>
                <c:pt idx="47">
                  <c:v>76.121850356394106</c:v>
                </c:pt>
                <c:pt idx="48">
                  <c:v>77.512896115059618</c:v>
                </c:pt>
                <c:pt idx="49">
                  <c:v>80.293931251616002</c:v>
                </c:pt>
              </c:numCache>
            </c:numRef>
          </c:xVal>
          <c:yVal>
            <c:numRef>
              <c:f>'Результаты'!$B$79:$B$128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111-4719-AE95-D05172E13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Недели от начала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'Результаты'!$B$132:$B$144</c:f>
              <c:strCache>
                <c:ptCount val="13"/>
                <c:pt idx="0">
                  <c:v>Коэффициент производительности на площадке</c:v>
                </c:pt>
                <c:pt idx="1">
                  <c:v>Длительность: железобетонные резервуары</c:v>
                </c:pt>
                <c:pt idx="2">
                  <c:v>Длительность: котлован и сваи</c:v>
                </c:pt>
                <c:pt idx="3">
                  <c:v>Длительность: монтаж оборудования</c:v>
                </c:pt>
                <c:pt idx="4">
                  <c:v>Геологический риск (задержка и затраты)</c:v>
                </c:pt>
                <c:pt idx="5">
                  <c:v>Длительность: электромонтаж</c:v>
                </c:pt>
                <c:pt idx="6">
                  <c:v>Длительность: пусконаладка</c:v>
                </c:pt>
                <c:pt idx="7">
                  <c:v>Длительность: подготовительные работы</c:v>
                </c:pt>
                <c:pt idx="8">
                  <c:v>Длительность: старые сооружения и благоустройство</c:v>
                </c:pt>
                <c:pt idx="9">
                  <c:v>Постоянные затраты: технологическое оборудование</c:v>
                </c:pt>
                <c:pt idx="10">
                  <c:v>Риск пусконаладки (задержка и затраты)</c:v>
                </c:pt>
                <c:pt idx="11">
                  <c:v>Постоянные затраты: железобетонные резервуары</c:v>
                </c:pt>
                <c:pt idx="12">
                  <c:v>Постоянные затраты: котлован и сваи</c:v>
                </c:pt>
              </c:strCache>
            </c:strRef>
          </c:cat>
          <c:val>
            <c:numRef>
              <c:f>'Результаты'!$F$132:$F$144</c:f>
              <c:numCache>
                <c:formatCode>#,##0.00_);\(#,##0.00\);"–"_)</c:formatCode>
                <c:ptCount val="13"/>
                <c:pt idx="0">
                  <c:v>1.2375189566605478</c:v>
                </c:pt>
                <c:pt idx="1">
                  <c:v>1.1622926125023341</c:v>
                </c:pt>
                <c:pt idx="2">
                  <c:v>1.0270515653703605</c:v>
                </c:pt>
                <c:pt idx="3">
                  <c:v>1.0032808709070444</c:v>
                </c:pt>
                <c:pt idx="4">
                  <c:v>1.3043513042592743</c:v>
                </c:pt>
                <c:pt idx="5">
                  <c:v>0.81711377324183943</c:v>
                </c:pt>
                <c:pt idx="6">
                  <c:v>0.71535836218870585</c:v>
                </c:pt>
                <c:pt idx="7">
                  <c:v>0.71405439558149553</c:v>
                </c:pt>
                <c:pt idx="8">
                  <c:v>0.73098497003494955</c:v>
                </c:pt>
                <c:pt idx="9">
                  <c:v>0.59388474133317359</c:v>
                </c:pt>
                <c:pt idx="10">
                  <c:v>0.83350710029638009</c:v>
                </c:pt>
                <c:pt idx="11">
                  <c:v>0.52887335042650463</c:v>
                </c:pt>
                <c:pt idx="12">
                  <c:v>0.34083865078115494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B8-4C22-B423-F611D886CB79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'Результаты'!$B$132:$B$144</c:f>
              <c:strCache>
                <c:ptCount val="13"/>
                <c:pt idx="0">
                  <c:v>Коэффициент производительности на площадке</c:v>
                </c:pt>
                <c:pt idx="1">
                  <c:v>Длительность: железобетонные резервуары</c:v>
                </c:pt>
                <c:pt idx="2">
                  <c:v>Длительность: котлован и сваи</c:v>
                </c:pt>
                <c:pt idx="3">
                  <c:v>Длительность: монтаж оборудования</c:v>
                </c:pt>
                <c:pt idx="4">
                  <c:v>Геологический риск (задержка и затраты)</c:v>
                </c:pt>
                <c:pt idx="5">
                  <c:v>Длительность: электромонтаж</c:v>
                </c:pt>
                <c:pt idx="6">
                  <c:v>Длительность: пусконаладка</c:v>
                </c:pt>
                <c:pt idx="7">
                  <c:v>Длительность: подготовительные работы</c:v>
                </c:pt>
                <c:pt idx="8">
                  <c:v>Длительность: старые сооружения и благоустройство</c:v>
                </c:pt>
                <c:pt idx="9">
                  <c:v>Постоянные затраты: технологическое оборудование</c:v>
                </c:pt>
                <c:pt idx="10">
                  <c:v>Риск пусконаладки (задержка и затраты)</c:v>
                </c:pt>
                <c:pt idx="11">
                  <c:v>Постоянные затраты: железобетонные резервуары</c:v>
                </c:pt>
                <c:pt idx="12">
                  <c:v>Постоянные затраты: котлован и сваи</c:v>
                </c:pt>
              </c:strCache>
            </c:strRef>
          </c:cat>
          <c:val>
            <c:numRef>
              <c:f>'Результаты'!$G$132:$G$144</c:f>
              <c:numCache>
                <c:formatCode>#,##0.00_);\(#,##0.00\);"–"_)</c:formatCode>
                <c:ptCount val="13"/>
                <c:pt idx="0">
                  <c:v>-1.1575973753964064</c:v>
                </c:pt>
                <c:pt idx="1">
                  <c:v>-1.082521914025719</c:v>
                </c:pt>
                <c:pt idx="2">
                  <c:v>-0.94595381897576303</c:v>
                </c:pt>
                <c:pt idx="3">
                  <c:v>-0.96577795114831488</c:v>
                </c:pt>
                <c:pt idx="4">
                  <c:v>-0.50749626143089444</c:v>
                </c:pt>
                <c:pt idx="5">
                  <c:v>-0.82057644848654832</c:v>
                </c:pt>
                <c:pt idx="6">
                  <c:v>-0.76347473220329576</c:v>
                </c:pt>
                <c:pt idx="7">
                  <c:v>-0.72757738626017598</c:v>
                </c:pt>
                <c:pt idx="8">
                  <c:v>-0.69524663641809781</c:v>
                </c:pt>
                <c:pt idx="9">
                  <c:v>-0.55072615072395692</c:v>
                </c:pt>
                <c:pt idx="10">
                  <c:v>-0.21489601255391477</c:v>
                </c:pt>
                <c:pt idx="11">
                  <c:v>-0.40898071815984594</c:v>
                </c:pt>
                <c:pt idx="12">
                  <c:v>-0.28780861052932138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B8-4C22-B423-F611D886C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51</xdr:row>
      <xdr:rowOff>0</xdr:rowOff>
    </xdr:from>
    <xdr:ext cx="6263999" cy="3006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6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ht="26.25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3" t="s">
        <v>20</v>
      </c>
      <c r="C16" s="84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39.4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x14ac:dyDescent="0.45">
      <c r="B37" s="9" t="s">
        <v>38</v>
      </c>
      <c r="C37" s="10" t="s">
        <v>39</v>
      </c>
    </row>
    <row r="38" spans="2:3" ht="12" customHeight="1" x14ac:dyDescent="0.45"/>
    <row r="39" spans="2:3" ht="22.05" customHeight="1" x14ac:dyDescent="0.5">
      <c r="B39" s="7" t="s">
        <v>40</v>
      </c>
      <c r="C39" s="8"/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x14ac:dyDescent="0.45">
      <c r="B42" s="14" t="s">
        <v>45</v>
      </c>
      <c r="C42" s="10" t="s">
        <v>46</v>
      </c>
    </row>
    <row r="43" spans="2:3" ht="12" customHeight="1" x14ac:dyDescent="0.45"/>
    <row r="44" spans="2:3" ht="22.05" customHeight="1" x14ac:dyDescent="0.5">
      <c r="B44" s="7" t="s">
        <v>47</v>
      </c>
      <c r="C44" s="8"/>
    </row>
    <row r="45" spans="2:3" x14ac:dyDescent="0.45">
      <c r="B45" s="15" t="s">
        <v>48</v>
      </c>
      <c r="C45" s="12" t="s">
        <v>49</v>
      </c>
    </row>
    <row r="46" spans="2:3" x14ac:dyDescent="0.45">
      <c r="B46" s="16" t="s">
        <v>50</v>
      </c>
      <c r="C46" s="12" t="s">
        <v>51</v>
      </c>
    </row>
    <row r="47" spans="2:3" x14ac:dyDescent="0.45">
      <c r="B47" s="17" t="s">
        <v>52</v>
      </c>
      <c r="C47" s="12" t="s">
        <v>53</v>
      </c>
    </row>
    <row r="48" spans="2:3" x14ac:dyDescent="0.45">
      <c r="B48" s="18" t="s">
        <v>54</v>
      </c>
      <c r="C48" s="12" t="s">
        <v>55</v>
      </c>
    </row>
    <row r="49" spans="2:3" x14ac:dyDescent="0.45">
      <c r="B49" s="19" t="s">
        <v>56</v>
      </c>
      <c r="C49" s="12" t="s">
        <v>57</v>
      </c>
    </row>
    <row r="50" spans="2:3" ht="12" customHeight="1" x14ac:dyDescent="0.45"/>
    <row r="51" spans="2:3" ht="22.05" customHeight="1" x14ac:dyDescent="0.5">
      <c r="B51" s="7" t="s">
        <v>58</v>
      </c>
      <c r="C51" s="8"/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x14ac:dyDescent="0.45">
      <c r="B55" s="9" t="s">
        <v>65</v>
      </c>
      <c r="C55" s="10" t="s">
        <v>66</v>
      </c>
    </row>
    <row r="56" spans="2:3" ht="12" customHeight="1" x14ac:dyDescent="0.45"/>
    <row r="57" spans="2:3" ht="22.05" customHeight="1" x14ac:dyDescent="0.5">
      <c r="B57" s="7" t="s">
        <v>67</v>
      </c>
      <c r="C57" s="8"/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x14ac:dyDescent="0.45">
      <c r="B61" s="9" t="s">
        <v>74</v>
      </c>
      <c r="C61" s="10" t="s">
        <v>75</v>
      </c>
    </row>
    <row r="62" spans="2:3" ht="12" customHeight="1" x14ac:dyDescent="0.45"/>
    <row r="63" spans="2:3" ht="22.05" customHeight="1" x14ac:dyDescent="0.5">
      <c r="B63" s="7" t="s">
        <v>76</v>
      </c>
      <c r="C63" s="8"/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26.25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x14ac:dyDescent="0.45">
      <c r="B68" s="20" t="s">
        <v>85</v>
      </c>
      <c r="C68" s="10" t="s">
        <v>86</v>
      </c>
    </row>
    <row r="69" spans="2:3" ht="52.5" x14ac:dyDescent="0.45">
      <c r="B69" s="20" t="s">
        <v>87</v>
      </c>
      <c r="C69" s="10" t="s">
        <v>88</v>
      </c>
    </row>
    <row r="70" spans="2:3" x14ac:dyDescent="0.45">
      <c r="B70" s="20" t="s">
        <v>89</v>
      </c>
      <c r="C70" s="10" t="s">
        <v>90</v>
      </c>
    </row>
    <row r="71" spans="2:3" ht="12" customHeight="1" x14ac:dyDescent="0.45"/>
    <row r="72" spans="2:3" ht="22.05" customHeight="1" x14ac:dyDescent="0.5">
      <c r="B72" s="7" t="s">
        <v>91</v>
      </c>
      <c r="C72" s="8"/>
    </row>
    <row r="73" spans="2:3" ht="26.25" x14ac:dyDescent="0.45">
      <c r="B73" s="9" t="s">
        <v>92</v>
      </c>
      <c r="C73" s="10" t="s">
        <v>93</v>
      </c>
    </row>
    <row r="74" spans="2:3" x14ac:dyDescent="0.45">
      <c r="B74" s="9" t="s">
        <v>94</v>
      </c>
      <c r="C74" s="10" t="s">
        <v>95</v>
      </c>
    </row>
    <row r="75" spans="2:3" ht="16.05" customHeight="1" x14ac:dyDescent="0.45"/>
    <row r="76" spans="2:3" x14ac:dyDescent="0.45">
      <c r="B76" s="85" t="s">
        <v>96</v>
      </c>
      <c r="C76" s="84"/>
    </row>
  </sheetData>
  <mergeCells count="2">
    <mergeCell ref="B16:C16"/>
    <mergeCell ref="B76:C76"/>
  </mergeCells>
  <hyperlinks>
    <hyperlink ref="D4" location="'Исходные данные'!A1" display="Далее:  Исходные данные  ▸" xr:uid="{00000000-0004-0000-0000-000000000000}"/>
    <hyperlink ref="B40" location="'Исходные данные'!A1" display="Исходные данные" xr:uid="{00000000-0004-0000-0000-000001000000}"/>
    <hyperlink ref="B41" location="'План'!A1" display="План" xr:uid="{00000000-0004-0000-0000-000002000000}"/>
    <hyperlink ref="B42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3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97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98</v>
      </c>
      <c r="C4" s="5"/>
      <c r="D4" s="5"/>
      <c r="E4" s="5"/>
      <c r="F4" s="5"/>
      <c r="G4" s="5"/>
      <c r="H4" s="5"/>
      <c r="I4" s="5"/>
      <c r="J4" s="6" t="s">
        <v>99</v>
      </c>
    </row>
    <row r="5" spans="1:10" ht="8" customHeight="1" x14ac:dyDescent="0.45"/>
    <row r="6" spans="1:10" ht="30" customHeight="1" x14ac:dyDescent="0.45">
      <c r="B6" s="86" t="s">
        <v>100</v>
      </c>
      <c r="C6" s="84"/>
      <c r="D6" s="84"/>
      <c r="E6" s="84"/>
      <c r="F6" s="84"/>
      <c r="G6" s="84"/>
      <c r="H6" s="84"/>
      <c r="I6" s="84"/>
      <c r="J6" s="84"/>
    </row>
    <row r="7" spans="1:10" ht="6" customHeight="1" x14ac:dyDescent="0.45"/>
    <row r="8" spans="1:10" ht="22.05" customHeight="1" x14ac:dyDescent="0.5">
      <c r="B8" s="7" t="s">
        <v>101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102</v>
      </c>
    </row>
    <row r="10" spans="1:10" ht="18" customHeight="1" x14ac:dyDescent="0.45">
      <c r="B10" s="23" t="s">
        <v>103</v>
      </c>
      <c r="C10" s="23" t="s">
        <v>104</v>
      </c>
      <c r="D10" s="24" t="s">
        <v>105</v>
      </c>
      <c r="E10" s="23" t="s">
        <v>106</v>
      </c>
      <c r="F10" s="5"/>
      <c r="G10" s="5"/>
      <c r="H10" s="5"/>
      <c r="I10" s="5"/>
      <c r="J10" s="23" t="s">
        <v>107</v>
      </c>
    </row>
    <row r="11" spans="1:10" x14ac:dyDescent="0.45">
      <c r="B11" s="25" t="s">
        <v>108</v>
      </c>
      <c r="C11" s="26" t="s">
        <v>109</v>
      </c>
      <c r="D11" s="27">
        <v>29.5</v>
      </c>
      <c r="E11" s="26" t="s">
        <v>110</v>
      </c>
      <c r="F11" s="28"/>
      <c r="G11" s="28"/>
      <c r="H11" s="28"/>
      <c r="I11" s="28"/>
      <c r="J11" s="29" t="s">
        <v>111</v>
      </c>
    </row>
    <row r="12" spans="1:10" x14ac:dyDescent="0.45">
      <c r="B12" s="25" t="s">
        <v>112</v>
      </c>
      <c r="C12" s="26" t="s">
        <v>113</v>
      </c>
      <c r="D12" s="30">
        <v>70</v>
      </c>
      <c r="E12" s="26" t="s">
        <v>110</v>
      </c>
      <c r="F12" s="28"/>
      <c r="G12" s="28"/>
      <c r="H12" s="28"/>
      <c r="I12" s="28"/>
      <c r="J12" s="29" t="s">
        <v>114</v>
      </c>
    </row>
    <row r="13" spans="1:10" x14ac:dyDescent="0.45">
      <c r="B13" s="25" t="s">
        <v>115</v>
      </c>
      <c r="C13" s="26" t="s">
        <v>109</v>
      </c>
      <c r="D13" s="27">
        <v>1</v>
      </c>
      <c r="E13" s="26" t="s">
        <v>110</v>
      </c>
      <c r="F13" s="28"/>
      <c r="G13" s="28"/>
      <c r="H13" s="28"/>
      <c r="I13" s="28"/>
      <c r="J13" s="29" t="s">
        <v>116</v>
      </c>
    </row>
    <row r="14" spans="1:10" x14ac:dyDescent="0.45">
      <c r="B14" s="25" t="s">
        <v>117</v>
      </c>
      <c r="C14" s="26" t="s">
        <v>113</v>
      </c>
      <c r="D14" s="30">
        <v>3</v>
      </c>
      <c r="E14" s="26" t="s">
        <v>110</v>
      </c>
      <c r="F14" s="28"/>
      <c r="G14" s="28"/>
      <c r="H14" s="28"/>
      <c r="I14" s="28"/>
      <c r="J14" s="29" t="s">
        <v>118</v>
      </c>
    </row>
    <row r="15" spans="1:10" ht="8" customHeight="1" x14ac:dyDescent="0.45"/>
    <row r="16" spans="1:10" ht="22.05" customHeight="1" x14ac:dyDescent="0.5">
      <c r="B16" s="7" t="s">
        <v>119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120</v>
      </c>
    </row>
    <row r="18" spans="2:10" ht="18" customHeight="1" x14ac:dyDescent="0.45">
      <c r="B18" s="23" t="s">
        <v>103</v>
      </c>
      <c r="C18" s="23" t="s">
        <v>104</v>
      </c>
      <c r="D18" s="24" t="s">
        <v>105</v>
      </c>
      <c r="E18" s="23" t="s">
        <v>106</v>
      </c>
      <c r="F18" s="24" t="s">
        <v>121</v>
      </c>
      <c r="G18" s="24" t="s">
        <v>122</v>
      </c>
      <c r="H18" s="24" t="s">
        <v>123</v>
      </c>
      <c r="I18" s="24" t="s">
        <v>124</v>
      </c>
      <c r="J18" s="23" t="s">
        <v>107</v>
      </c>
    </row>
    <row r="19" spans="2:10" x14ac:dyDescent="0.45">
      <c r="B19" s="25" t="s">
        <v>125</v>
      </c>
      <c r="C19" s="26" t="s">
        <v>126</v>
      </c>
      <c r="D19" s="31" cm="1">
        <f t="array" aca="1" ref="D19" ca="1">_xll.VoseInput("Коэффициент производительности на площадке","×")+_xll.VoseLognormalAlt(F19,0.1,H19,0.9,0)</f>
        <v>0.88018881266668725</v>
      </c>
      <c r="E19" s="26" t="s">
        <v>127</v>
      </c>
      <c r="F19" s="32">
        <v>0.9</v>
      </c>
      <c r="G19" s="33" t="s">
        <v>128</v>
      </c>
      <c r="H19" s="32">
        <v>1.1000000000000001</v>
      </c>
      <c r="I19" s="34" cm="1">
        <f t="array" ref="I19">IF(AND(F19&gt;0,F19&lt;H19),_xll.VoseMean(_xll.VoseLognormalAltObject(F19,0.1,H19,0.9,0)),"✗ диапазон")</f>
        <v>0.99804157779804248</v>
      </c>
      <c r="J19" s="29" t="s">
        <v>129</v>
      </c>
    </row>
    <row r="20" spans="2:10" x14ac:dyDescent="0.45">
      <c r="B20" s="25" t="s">
        <v>130</v>
      </c>
      <c r="C20" s="26" t="s">
        <v>131</v>
      </c>
      <c r="D20" s="35">
        <v>35</v>
      </c>
      <c r="E20" s="26" t="s">
        <v>110</v>
      </c>
      <c r="F20" s="28"/>
      <c r="G20" s="28"/>
      <c r="H20" s="28"/>
      <c r="I20" s="28"/>
      <c r="J20" s="29" t="s">
        <v>132</v>
      </c>
    </row>
    <row r="21" spans="2:10" ht="8" customHeight="1" x14ac:dyDescent="0.45"/>
    <row r="22" spans="2:10" ht="22.05" customHeight="1" x14ac:dyDescent="0.5">
      <c r="B22" s="7" t="s">
        <v>133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13" t="s">
        <v>134</v>
      </c>
    </row>
    <row r="24" spans="2:10" ht="18" customHeight="1" x14ac:dyDescent="0.45">
      <c r="B24" s="23" t="s">
        <v>103</v>
      </c>
      <c r="C24" s="23" t="s">
        <v>104</v>
      </c>
      <c r="D24" s="24" t="s">
        <v>105</v>
      </c>
      <c r="E24" s="23" t="s">
        <v>106</v>
      </c>
      <c r="F24" s="24" t="s">
        <v>121</v>
      </c>
      <c r="G24" s="24" t="s">
        <v>122</v>
      </c>
      <c r="H24" s="24" t="s">
        <v>123</v>
      </c>
      <c r="I24" s="24" t="s">
        <v>124</v>
      </c>
      <c r="J24" s="23" t="s">
        <v>107</v>
      </c>
    </row>
    <row r="25" spans="2:10" x14ac:dyDescent="0.45">
      <c r="B25" s="25" t="s">
        <v>135</v>
      </c>
      <c r="C25" s="26" t="s">
        <v>136</v>
      </c>
      <c r="D25" s="36">
        <v>0.3</v>
      </c>
      <c r="E25" s="26" t="s">
        <v>110</v>
      </c>
      <c r="F25" s="28"/>
      <c r="G25" s="28"/>
      <c r="H25" s="28"/>
      <c r="I25" s="28"/>
      <c r="J25" s="29" t="s">
        <v>137</v>
      </c>
    </row>
    <row r="26" spans="2:10" x14ac:dyDescent="0.45">
      <c r="B26" s="25" t="s">
        <v>138</v>
      </c>
      <c r="C26" s="26" t="s">
        <v>113</v>
      </c>
      <c r="D26" s="33" t="s">
        <v>128</v>
      </c>
      <c r="E26" s="26" t="s">
        <v>139</v>
      </c>
      <c r="F26" s="27">
        <v>2</v>
      </c>
      <c r="G26" s="27">
        <v>3</v>
      </c>
      <c r="H26" s="27">
        <v>6</v>
      </c>
      <c r="I26" s="37" cm="1">
        <f t="array" ref="I26">IF(AND(F26&lt;=G26,G26&lt;=H26,F26&lt;H26),_xll.VoseMean(_xll.VosePERTObject(F26,G26,H26)),"✗ диапазон")</f>
        <v>3.3333333333333335</v>
      </c>
      <c r="J26" s="29" t="s">
        <v>140</v>
      </c>
    </row>
    <row r="27" spans="2:10" x14ac:dyDescent="0.45">
      <c r="B27" s="25" t="s">
        <v>141</v>
      </c>
      <c r="C27" s="26" t="s">
        <v>109</v>
      </c>
      <c r="D27" s="33" t="s">
        <v>128</v>
      </c>
      <c r="E27" s="26" t="s">
        <v>139</v>
      </c>
      <c r="F27" s="38">
        <v>0.5</v>
      </c>
      <c r="G27" s="38">
        <v>0.8</v>
      </c>
      <c r="H27" s="38">
        <v>1.5</v>
      </c>
      <c r="I27" s="39" cm="1">
        <f t="array" ref="I27">IF(AND(F27&lt;=G27,G27&lt;=H27,F27&lt;H27),_xll.VoseMean(_xll.VosePERTObject(F27,G27,H27)),"✗ диапазон")</f>
        <v>0.8666666666666667</v>
      </c>
      <c r="J27" s="29" t="s">
        <v>142</v>
      </c>
    </row>
    <row r="28" spans="2:10" x14ac:dyDescent="0.45">
      <c r="B28" s="25" t="s">
        <v>143</v>
      </c>
      <c r="C28" s="26" t="s">
        <v>136</v>
      </c>
      <c r="D28" s="36">
        <v>0.25</v>
      </c>
      <c r="E28" s="26" t="s">
        <v>110</v>
      </c>
      <c r="F28" s="28"/>
      <c r="G28" s="28"/>
      <c r="H28" s="28"/>
      <c r="I28" s="28"/>
      <c r="J28" s="29" t="s">
        <v>144</v>
      </c>
    </row>
    <row r="29" spans="2:10" x14ac:dyDescent="0.45">
      <c r="B29" s="25" t="s">
        <v>145</v>
      </c>
      <c r="C29" s="26" t="s">
        <v>113</v>
      </c>
      <c r="D29" s="33" t="s">
        <v>128</v>
      </c>
      <c r="E29" s="26" t="s">
        <v>139</v>
      </c>
      <c r="F29" s="27">
        <v>3</v>
      </c>
      <c r="G29" s="27">
        <v>5</v>
      </c>
      <c r="H29" s="27">
        <v>8</v>
      </c>
      <c r="I29" s="37" cm="1">
        <f t="array" ref="I29">IF(AND(F29&lt;=G29,G29&lt;=H29,F29&lt;H29),_xll.VoseMean(_xll.VosePERTObject(F29,G29,H29)),"✗ диапазон")</f>
        <v>5.166666666666667</v>
      </c>
      <c r="J29" s="29" t="s">
        <v>146</v>
      </c>
    </row>
    <row r="30" spans="2:10" x14ac:dyDescent="0.45">
      <c r="B30" s="25" t="s">
        <v>147</v>
      </c>
      <c r="C30" s="26" t="s">
        <v>136</v>
      </c>
      <c r="D30" s="36">
        <v>0.2</v>
      </c>
      <c r="E30" s="26" t="s">
        <v>110</v>
      </c>
      <c r="F30" s="28"/>
      <c r="G30" s="28"/>
      <c r="H30" s="28"/>
      <c r="I30" s="28"/>
      <c r="J30" s="29" t="s">
        <v>148</v>
      </c>
    </row>
    <row r="31" spans="2:10" x14ac:dyDescent="0.45">
      <c r="B31" s="25" t="s">
        <v>149</v>
      </c>
      <c r="C31" s="26" t="s">
        <v>113</v>
      </c>
      <c r="D31" s="33" t="s">
        <v>128</v>
      </c>
      <c r="E31" s="26" t="s">
        <v>139</v>
      </c>
      <c r="F31" s="27">
        <v>2</v>
      </c>
      <c r="G31" s="27">
        <v>3</v>
      </c>
      <c r="H31" s="27">
        <v>5</v>
      </c>
      <c r="I31" s="37" cm="1">
        <f t="array" ref="I31">IF(AND(F31&lt;=G31,G31&lt;=H31,F31&lt;H31),_xll.VoseMean(_xll.VosePERTObject(F31,G31,H31)),"✗ диапазон")</f>
        <v>3.1666666666666665</v>
      </c>
      <c r="J31" s="29" t="s">
        <v>150</v>
      </c>
    </row>
    <row r="32" spans="2:10" x14ac:dyDescent="0.45">
      <c r="B32" s="25" t="s">
        <v>151</v>
      </c>
      <c r="C32" s="26" t="s">
        <v>109</v>
      </c>
      <c r="D32" s="33" t="s">
        <v>128</v>
      </c>
      <c r="E32" s="26" t="s">
        <v>139</v>
      </c>
      <c r="F32" s="38">
        <v>0.3</v>
      </c>
      <c r="G32" s="38">
        <v>0.5</v>
      </c>
      <c r="H32" s="38">
        <v>0.8</v>
      </c>
      <c r="I32" s="39" cm="1">
        <f t="array" ref="I32">IF(AND(F32&lt;=G32,G32&lt;=H32,F32&lt;H32),_xll.VoseMean(_xll.VosePERTObject(F32,G32,H32)),"✗ диапазон")</f>
        <v>0.51666666666666661</v>
      </c>
      <c r="J32" s="29" t="s">
        <v>152</v>
      </c>
    </row>
    <row r="33" ht="8" customHeight="1" x14ac:dyDescent="0.45"/>
  </sheetData>
  <mergeCells count="1">
    <mergeCell ref="B6:J6"/>
  </mergeCells>
  <conditionalFormatting sqref="I19">
    <cfRule type="expression" dxfId="8" priority="1">
      <formula>LEFT($I19,1)="✗"</formula>
    </cfRule>
  </conditionalFormatting>
  <conditionalFormatting sqref="I26:I27">
    <cfRule type="expression" dxfId="7" priority="2">
      <formula>LEFT($I26,1)="✗"</formula>
    </cfRule>
  </conditionalFormatting>
  <conditionalFormatting sqref="I29">
    <cfRule type="expression" dxfId="6" priority="4">
      <formula>LEFT($I29,1)="✗"</formula>
    </cfRule>
  </conditionalFormatting>
  <conditionalFormatting sqref="I31:I32">
    <cfRule type="expression" dxfId="5" priority="5">
      <formula>LEFT($I31,1)="✗"</formula>
    </cfRule>
  </conditionalFormatting>
  <dataValidations count="5">
    <dataValidation type="decimal" operator="greaterThan" showErrorMessage="1" errorTitle="Положительное значение" error="Введите значение больше нуля." sqref="D11:D14" xr:uid="{00000000-0002-0000-0100-000000000000}">
      <formula1>0</formula1>
    </dataValidation>
    <dataValidation type="custom" showErrorMessage="1" errorTitle="Диапазон логнормального" error="Минимальная оценка должна быть выше минимума и ниже максимальной оценки." sqref="F19:H19" xr:uid="{00000000-0002-0000-0100-000004000000}">
      <formula1>AND($F19&gt;0,$F19&lt;$H19)</formula1>
    </dataValidation>
    <dataValidation type="decimal" showErrorMessage="1" errorTitle="Значение" error="Введите значение не меньше нуля." sqref="D20" xr:uid="{00000000-0002-0000-0100-000005000000}">
      <formula1>0</formula1>
      <formula2>1000000000000</formula2>
    </dataValidation>
    <dataValidation type="decimal" showErrorMessage="1" errorTitle="Вероятность" error="Введите значение от 0% до 100%." sqref="D25 D30 D28" xr:uid="{00000000-0002-0000-0100-000006000000}">
      <formula1>0</formula1>
      <formula2>1</formula2>
    </dataValidation>
    <dataValidation type="custom" showErrorMessage="1" errorTitle="Диапазон PERT" error="Мин. должно быть меньше макс., наиболее вероятное — между ними." sqref="F31:H32 F29:H29 F26:H27" xr:uid="{00000000-0002-0000-0100-000007000000}">
      <formula1>AND($F26&lt;=$G26,$G26&lt;=$H26,$F26&lt;$H26)</formula1>
    </dataValidation>
  </dataValidations>
  <hyperlinks>
    <hyperlink ref="B4" location="'Описание'!A1" display="◂  Описание" xr:uid="{00000000-0004-0000-0100-000000000000}"/>
    <hyperlink ref="J4" location="'План'!A1" display="Далее:  План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N71"/>
  <sheetViews>
    <sheetView showGridLines="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5" customWidth="1"/>
    <col min="3" max="3" width="38" customWidth="1"/>
    <col min="4" max="4" width="12" customWidth="1"/>
    <col min="5" max="5" width="8" customWidth="1"/>
    <col min="6" max="6" width="9" customWidth="1"/>
    <col min="7" max="7" width="8" customWidth="1"/>
    <col min="8" max="8" width="7" customWidth="1"/>
    <col min="9" max="9" width="9" customWidth="1"/>
    <col min="10" max="10" width="8" customWidth="1"/>
    <col min="11" max="11" width="9" customWidth="1"/>
    <col min="12" max="12" width="8" customWidth="1"/>
    <col min="13" max="13" width="2" customWidth="1"/>
    <col min="14" max="14" width="46" customWidth="1"/>
  </cols>
  <sheetData>
    <row r="1" spans="1:14" ht="6" customHeight="1" x14ac:dyDescent="0.45"/>
    <row r="2" spans="1:14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</row>
    <row r="3" spans="1:14" ht="20" customHeight="1" x14ac:dyDescent="0.45">
      <c r="A3" s="1"/>
      <c r="B3" s="4" t="s">
        <v>153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0" customHeight="1" x14ac:dyDescent="0.45">
      <c r="A4" s="5"/>
      <c r="B4" s="22" t="s">
        <v>154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 t="s">
        <v>155</v>
      </c>
    </row>
    <row r="5" spans="1:14" ht="8" customHeight="1" x14ac:dyDescent="0.45"/>
    <row r="6" spans="1:14" ht="22.05" customHeight="1" x14ac:dyDescent="0.5">
      <c r="B6" s="7" t="s">
        <v>156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8" customHeight="1" x14ac:dyDescent="0.45">
      <c r="B7" s="13" t="s">
        <v>157</v>
      </c>
    </row>
    <row r="8" spans="1:14" ht="18" customHeight="1" x14ac:dyDescent="0.45">
      <c r="B8" s="40" t="s">
        <v>158</v>
      </c>
      <c r="C8" s="40" t="s">
        <v>159</v>
      </c>
      <c r="D8" s="40" t="s">
        <v>160</v>
      </c>
      <c r="E8" s="40" t="s">
        <v>161</v>
      </c>
      <c r="F8" s="41"/>
      <c r="G8" s="41"/>
      <c r="H8" s="42" t="s">
        <v>162</v>
      </c>
      <c r="I8" s="42" t="s">
        <v>163</v>
      </c>
      <c r="J8" s="40" t="s">
        <v>164</v>
      </c>
      <c r="K8" s="41"/>
      <c r="L8" s="41"/>
      <c r="M8" s="41"/>
      <c r="N8" s="40" t="s">
        <v>165</v>
      </c>
    </row>
    <row r="9" spans="1:14" x14ac:dyDescent="0.45">
      <c r="B9" s="43"/>
      <c r="C9" s="43"/>
      <c r="D9" s="43" t="s">
        <v>166</v>
      </c>
      <c r="E9" s="43" t="s">
        <v>121</v>
      </c>
      <c r="F9" s="43" t="s">
        <v>122</v>
      </c>
      <c r="G9" s="43" t="s">
        <v>123</v>
      </c>
      <c r="H9" s="43" t="s">
        <v>167</v>
      </c>
      <c r="I9" s="43" t="s">
        <v>168</v>
      </c>
      <c r="J9" s="43" t="s">
        <v>121</v>
      </c>
      <c r="K9" s="43" t="s">
        <v>122</v>
      </c>
      <c r="L9" s="43" t="s">
        <v>123</v>
      </c>
      <c r="M9" s="43"/>
      <c r="N9" s="43"/>
    </row>
    <row r="10" spans="1:14" x14ac:dyDescent="0.45">
      <c r="B10" s="44" t="s">
        <v>169</v>
      </c>
      <c r="C10" s="25" t="s">
        <v>170</v>
      </c>
      <c r="D10" s="26" t="s">
        <v>128</v>
      </c>
      <c r="E10" s="35">
        <v>12</v>
      </c>
      <c r="F10" s="35">
        <v>14</v>
      </c>
      <c r="G10" s="35">
        <v>20</v>
      </c>
      <c r="H10" s="45">
        <v>0</v>
      </c>
      <c r="I10" s="35">
        <v>40</v>
      </c>
      <c r="J10" s="38">
        <v>0.7</v>
      </c>
      <c r="K10" s="38">
        <v>0.8</v>
      </c>
      <c r="L10" s="38">
        <v>1</v>
      </c>
      <c r="M10" s="28"/>
      <c r="N10" s="26" t="s">
        <v>171</v>
      </c>
    </row>
    <row r="11" spans="1:14" x14ac:dyDescent="0.45">
      <c r="B11" s="44" t="s">
        <v>172</v>
      </c>
      <c r="C11" s="25" t="s">
        <v>173</v>
      </c>
      <c r="D11" s="26" t="s">
        <v>169</v>
      </c>
      <c r="E11" s="35">
        <v>4</v>
      </c>
      <c r="F11" s="35">
        <v>5</v>
      </c>
      <c r="G11" s="35">
        <v>8</v>
      </c>
      <c r="H11" s="45">
        <v>1</v>
      </c>
      <c r="I11" s="35">
        <v>60</v>
      </c>
      <c r="J11" s="38">
        <v>0.5</v>
      </c>
      <c r="K11" s="38">
        <v>0.6</v>
      </c>
      <c r="L11" s="38">
        <v>0.8</v>
      </c>
      <c r="M11" s="28"/>
      <c r="N11" s="26" t="s">
        <v>174</v>
      </c>
    </row>
    <row r="12" spans="1:14" x14ac:dyDescent="0.45">
      <c r="B12" s="44" t="s">
        <v>175</v>
      </c>
      <c r="C12" s="25" t="s">
        <v>176</v>
      </c>
      <c r="D12" s="26" t="s">
        <v>172</v>
      </c>
      <c r="E12" s="35">
        <v>8</v>
      </c>
      <c r="F12" s="35">
        <v>10</v>
      </c>
      <c r="G12" s="35">
        <v>16</v>
      </c>
      <c r="H12" s="45">
        <v>1</v>
      </c>
      <c r="I12" s="35">
        <v>120</v>
      </c>
      <c r="J12" s="38">
        <v>1.5</v>
      </c>
      <c r="K12" s="38">
        <v>1.8</v>
      </c>
      <c r="L12" s="38">
        <v>2.4</v>
      </c>
      <c r="M12" s="28"/>
      <c r="N12" s="26" t="s">
        <v>177</v>
      </c>
    </row>
    <row r="13" spans="1:14" x14ac:dyDescent="0.45">
      <c r="B13" s="44" t="s">
        <v>178</v>
      </c>
      <c r="C13" s="25" t="s">
        <v>179</v>
      </c>
      <c r="D13" s="26" t="s">
        <v>175</v>
      </c>
      <c r="E13" s="35">
        <v>12</v>
      </c>
      <c r="F13" s="35">
        <v>14</v>
      </c>
      <c r="G13" s="35">
        <v>20</v>
      </c>
      <c r="H13" s="45">
        <v>1</v>
      </c>
      <c r="I13" s="35">
        <v>150</v>
      </c>
      <c r="J13" s="38">
        <v>3</v>
      </c>
      <c r="K13" s="38">
        <v>3.5</v>
      </c>
      <c r="L13" s="38">
        <v>4.4000000000000004</v>
      </c>
      <c r="M13" s="28"/>
      <c r="N13" s="26" t="s">
        <v>180</v>
      </c>
    </row>
    <row r="14" spans="1:14" x14ac:dyDescent="0.45">
      <c r="B14" s="44" t="s">
        <v>181</v>
      </c>
      <c r="C14" s="25" t="s">
        <v>182</v>
      </c>
      <c r="D14" s="26" t="s">
        <v>169</v>
      </c>
      <c r="E14" s="35">
        <v>16</v>
      </c>
      <c r="F14" s="35">
        <v>20</v>
      </c>
      <c r="G14" s="35">
        <v>30</v>
      </c>
      <c r="H14" s="45">
        <v>0</v>
      </c>
      <c r="I14" s="35">
        <v>10</v>
      </c>
      <c r="J14" s="38">
        <v>5.4</v>
      </c>
      <c r="K14" s="38">
        <v>6</v>
      </c>
      <c r="L14" s="38">
        <v>7.2</v>
      </c>
      <c r="M14" s="28"/>
      <c r="N14" s="26" t="s">
        <v>183</v>
      </c>
    </row>
    <row r="15" spans="1:14" x14ac:dyDescent="0.45">
      <c r="B15" s="44" t="s">
        <v>184</v>
      </c>
      <c r="C15" s="25" t="s">
        <v>185</v>
      </c>
      <c r="D15" s="26" t="s">
        <v>186</v>
      </c>
      <c r="E15" s="35">
        <v>8</v>
      </c>
      <c r="F15" s="35">
        <v>10</v>
      </c>
      <c r="G15" s="35">
        <v>14</v>
      </c>
      <c r="H15" s="45">
        <v>1</v>
      </c>
      <c r="I15" s="35">
        <v>140</v>
      </c>
      <c r="J15" s="38">
        <v>1.7</v>
      </c>
      <c r="K15" s="38">
        <v>2</v>
      </c>
      <c r="L15" s="38">
        <v>2.6</v>
      </c>
      <c r="M15" s="28"/>
      <c r="N15" s="26"/>
    </row>
    <row r="16" spans="1:14" x14ac:dyDescent="0.45">
      <c r="B16" s="44" t="s">
        <v>187</v>
      </c>
      <c r="C16" s="25" t="s">
        <v>188</v>
      </c>
      <c r="D16" s="26" t="s">
        <v>186</v>
      </c>
      <c r="E16" s="35">
        <v>6</v>
      </c>
      <c r="F16" s="35">
        <v>8</v>
      </c>
      <c r="G16" s="35">
        <v>12</v>
      </c>
      <c r="H16" s="45">
        <v>1</v>
      </c>
      <c r="I16" s="35">
        <v>110</v>
      </c>
      <c r="J16" s="38">
        <v>1.4</v>
      </c>
      <c r="K16" s="38">
        <v>1.6</v>
      </c>
      <c r="L16" s="38">
        <v>2</v>
      </c>
      <c r="M16" s="28"/>
      <c r="N16" s="26"/>
    </row>
    <row r="17" spans="2:14" x14ac:dyDescent="0.45">
      <c r="B17" s="44" t="s">
        <v>189</v>
      </c>
      <c r="C17" s="25" t="s">
        <v>190</v>
      </c>
      <c r="D17" s="26" t="s">
        <v>191</v>
      </c>
      <c r="E17" s="35">
        <v>4</v>
      </c>
      <c r="F17" s="35">
        <v>5</v>
      </c>
      <c r="G17" s="35">
        <v>9</v>
      </c>
      <c r="H17" s="45">
        <v>1</v>
      </c>
      <c r="I17" s="35">
        <v>90</v>
      </c>
      <c r="J17" s="38">
        <v>0.3</v>
      </c>
      <c r="K17" s="38">
        <v>0.4</v>
      </c>
      <c r="L17" s="38">
        <v>0.6</v>
      </c>
      <c r="M17" s="28"/>
      <c r="N17" s="26" t="s">
        <v>192</v>
      </c>
    </row>
    <row r="18" spans="2:14" x14ac:dyDescent="0.45">
      <c r="B18" s="44" t="s">
        <v>193</v>
      </c>
      <c r="C18" s="25" t="s">
        <v>194</v>
      </c>
      <c r="D18" s="26" t="s">
        <v>189</v>
      </c>
      <c r="E18" s="35">
        <v>3</v>
      </c>
      <c r="F18" s="35">
        <v>4</v>
      </c>
      <c r="G18" s="35">
        <v>6</v>
      </c>
      <c r="H18" s="45">
        <v>1</v>
      </c>
      <c r="I18" s="35">
        <v>60</v>
      </c>
      <c r="J18" s="38">
        <v>0.4</v>
      </c>
      <c r="K18" s="38">
        <v>0.5</v>
      </c>
      <c r="L18" s="38">
        <v>0.7</v>
      </c>
      <c r="M18" s="28"/>
      <c r="N18" s="26"/>
    </row>
    <row r="19" spans="2:14" x14ac:dyDescent="0.45">
      <c r="C19" s="46" t="s">
        <v>195</v>
      </c>
    </row>
    <row r="20" spans="2:14" ht="8" customHeight="1" x14ac:dyDescent="0.45"/>
    <row r="21" spans="2:14" ht="22.05" customHeight="1" x14ac:dyDescent="0.5">
      <c r="B21" s="7" t="s">
        <v>196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2:14" ht="18" customHeight="1" x14ac:dyDescent="0.45">
      <c r="B22" s="13" t="s">
        <v>197</v>
      </c>
    </row>
    <row r="23" spans="2:14" ht="18" customHeight="1" x14ac:dyDescent="0.45">
      <c r="B23" s="41"/>
      <c r="C23" s="40" t="s">
        <v>198</v>
      </c>
      <c r="D23" s="40" t="s">
        <v>159</v>
      </c>
      <c r="E23" s="42" t="s">
        <v>199</v>
      </c>
      <c r="F23" s="42" t="s">
        <v>200</v>
      </c>
      <c r="G23" s="42" t="s">
        <v>201</v>
      </c>
      <c r="H23" s="41"/>
      <c r="I23" s="41"/>
      <c r="J23" s="41"/>
      <c r="K23" s="41"/>
      <c r="L23" s="41"/>
      <c r="M23" s="41"/>
      <c r="N23" s="40" t="s">
        <v>202</v>
      </c>
    </row>
    <row r="24" spans="2:14" x14ac:dyDescent="0.45">
      <c r="B24" s="43"/>
      <c r="C24" s="43"/>
      <c r="D24" s="43" t="s">
        <v>158</v>
      </c>
      <c r="E24" s="43" t="s">
        <v>203</v>
      </c>
      <c r="F24" s="43" t="s">
        <v>113</v>
      </c>
      <c r="G24" s="43" t="s">
        <v>109</v>
      </c>
      <c r="H24" s="43"/>
      <c r="I24" s="43"/>
      <c r="J24" s="43"/>
      <c r="K24" s="43"/>
      <c r="L24" s="43"/>
      <c r="M24" s="43"/>
      <c r="N24" s="43"/>
    </row>
    <row r="25" spans="2:14" x14ac:dyDescent="0.45">
      <c r="B25" s="28"/>
      <c r="C25" s="25" t="s">
        <v>204</v>
      </c>
      <c r="D25" s="47" t="s">
        <v>175</v>
      </c>
      <c r="E25" s="48" cm="1">
        <f t="array" aca="1" ref="E25" ca="1">_xll.VoseInput("Геологический риск (задержка и затраты)","0 – 1")+_xll.VoseUniform(0,1)</f>
        <v>0.33596019714605063</v>
      </c>
      <c r="F25" s="37" cm="1">
        <f t="array" aca="1" ref="F25" ca="1">_xll.VoseRiskEvent(Prob_Ground,_xll.VosePERTObject(GroundDelay_Lo,GroundDelay_ML,GroundDelay_Hi),E25)</f>
        <v>0</v>
      </c>
      <c r="G25" s="39" cm="1">
        <f t="array" aca="1" ref="G25" ca="1">_xll.VoseRiskEvent(Prob_Ground,_xll.VosePERTObject(GroundCost_Lo,GroundCost_ML,GroundCost_Hi),E25)</f>
        <v>0</v>
      </c>
      <c r="H25" s="28"/>
      <c r="I25" s="28"/>
      <c r="J25" s="28"/>
      <c r="K25" s="28"/>
      <c r="L25" s="28"/>
      <c r="M25" s="28"/>
      <c r="N25" s="26" t="s">
        <v>205</v>
      </c>
    </row>
    <row r="26" spans="2:14" x14ac:dyDescent="0.45">
      <c r="B26" s="28"/>
      <c r="C26" s="25" t="s">
        <v>206</v>
      </c>
      <c r="D26" s="47" t="s">
        <v>181</v>
      </c>
      <c r="E26" s="49" t="s">
        <v>128</v>
      </c>
      <c r="F26" s="50" cm="1">
        <f t="array" aca="1" ref="F26" ca="1">_xll.VoseInput("Задержка поставщика","нед.")+_xll.VoseRiskEvent(Prob_Supplier,_xll.VosePERTObject(SupplierDelay_Lo,SupplierDelay_ML,SupplierDelay_Hi))</f>
        <v>5.6191398690401577</v>
      </c>
      <c r="G26" s="49" t="s">
        <v>128</v>
      </c>
      <c r="H26" s="28"/>
      <c r="I26" s="28"/>
      <c r="J26" s="28"/>
      <c r="K26" s="28"/>
      <c r="L26" s="28"/>
      <c r="M26" s="28"/>
      <c r="N26" s="26" t="s">
        <v>207</v>
      </c>
    </row>
    <row r="27" spans="2:14" x14ac:dyDescent="0.45">
      <c r="B27" s="28"/>
      <c r="C27" s="25" t="s">
        <v>208</v>
      </c>
      <c r="D27" s="47" t="s">
        <v>189</v>
      </c>
      <c r="E27" s="48" cm="1">
        <f t="array" aca="1" ref="E27" ca="1">_xll.VoseInput("Риск пусконаладки (задержка и затраты)","0 – 1")+_xll.VoseUniform(0,1)</f>
        <v>0.70056770916562527</v>
      </c>
      <c r="F27" s="37" cm="1">
        <f t="array" aca="1" ref="F27" ca="1">_xll.VoseRiskEvent(Prob_Comm,_xll.VosePERTObject(CommDelay_Lo,CommDelay_ML,CommDelay_Hi),E27)</f>
        <v>0</v>
      </c>
      <c r="G27" s="39" cm="1">
        <f t="array" aca="1" ref="G27" ca="1">_xll.VoseRiskEvent(Prob_Comm,_xll.VosePERTObject(CommCost_Lo,CommCost_ML,CommCost_Hi),E27)</f>
        <v>0</v>
      </c>
      <c r="H27" s="28"/>
      <c r="I27" s="28"/>
      <c r="J27" s="28"/>
      <c r="K27" s="28"/>
      <c r="L27" s="28"/>
      <c r="M27" s="28"/>
      <c r="N27" s="28"/>
    </row>
    <row r="28" spans="2:14" ht="8" customHeight="1" x14ac:dyDescent="0.45"/>
    <row r="29" spans="2:14" ht="22.05" customHeight="1" x14ac:dyDescent="0.5">
      <c r="B29" s="7" t="s">
        <v>209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2:14" ht="18" customHeight="1" x14ac:dyDescent="0.45">
      <c r="B30" s="13" t="s">
        <v>210</v>
      </c>
    </row>
    <row r="31" spans="2:14" ht="18" customHeight="1" x14ac:dyDescent="0.45">
      <c r="B31" s="40" t="s">
        <v>158</v>
      </c>
      <c r="C31" s="40" t="s">
        <v>159</v>
      </c>
      <c r="D31" s="42" t="s">
        <v>211</v>
      </c>
      <c r="E31" s="42" t="s">
        <v>212</v>
      </c>
      <c r="F31" s="42" t="s">
        <v>213</v>
      </c>
      <c r="G31" s="42" t="s">
        <v>214</v>
      </c>
      <c r="H31" s="42" t="s">
        <v>215</v>
      </c>
      <c r="I31" s="42" t="s">
        <v>110</v>
      </c>
      <c r="J31" s="42" t="s">
        <v>216</v>
      </c>
      <c r="K31" s="42" t="s">
        <v>217</v>
      </c>
      <c r="L31" s="42" t="s">
        <v>218</v>
      </c>
      <c r="M31" s="41"/>
      <c r="N31" s="40" t="s">
        <v>202</v>
      </c>
    </row>
    <row r="32" spans="2:14" x14ac:dyDescent="0.45">
      <c r="B32" s="43"/>
      <c r="C32" s="43"/>
      <c r="D32" s="43" t="s">
        <v>113</v>
      </c>
      <c r="E32" s="43" t="s">
        <v>113</v>
      </c>
      <c r="F32" s="43" t="s">
        <v>113</v>
      </c>
      <c r="G32" s="43" t="s">
        <v>219</v>
      </c>
      <c r="H32" s="43" t="s">
        <v>219</v>
      </c>
      <c r="I32" s="43" t="s">
        <v>109</v>
      </c>
      <c r="J32" s="43" t="s">
        <v>109</v>
      </c>
      <c r="K32" s="43" t="s">
        <v>109</v>
      </c>
      <c r="L32" s="43" t="s">
        <v>109</v>
      </c>
      <c r="M32" s="43"/>
      <c r="N32" s="43"/>
    </row>
    <row r="33" spans="2:14" x14ac:dyDescent="0.45">
      <c r="B33" s="44" t="s">
        <v>169</v>
      </c>
      <c r="C33" s="25" t="str">
        <f t="shared" ref="C33:C41" si="0">C10</f>
        <v>Проектирование и разрешения</v>
      </c>
      <c r="D33" s="50" cm="1">
        <f t="array" aca="1" ref="D33" ca="1">_xll.VoseInput("Длительность: проектирование и разрешения","нед.")+_xll.VosePERT(E10,F10,G10)*IF(H10=1,Productivity,1)</f>
        <v>14.51289964723656</v>
      </c>
      <c r="E33" s="37">
        <f t="shared" ref="E33:E41" si="1">SUMIF(Risk_Act,B33,Risk_Delay)</f>
        <v>0</v>
      </c>
      <c r="F33" s="37">
        <f t="shared" ref="F33:F41" ca="1" si="2">D33+E33</f>
        <v>14.51289964723656</v>
      </c>
      <c r="G33" s="37">
        <f>0</f>
        <v>0</v>
      </c>
      <c r="H33" s="37">
        <f t="shared" ref="H33:H41" ca="1" si="3">G33+F33</f>
        <v>14.51289964723656</v>
      </c>
      <c r="I33" s="51" cm="1">
        <f t="array" aca="1" ref="I33" ca="1">_xll.VoseInput("Постоянные затраты: проектирование и разрешения","млн долл.")+_xll.VosePERT(J10,K10,L10)</f>
        <v>0.73546781254463378</v>
      </c>
      <c r="J33" s="39">
        <f t="shared" ref="J33:J41" si="4">SUMIF(Risk_Act,B33,Risk_Cost)</f>
        <v>0</v>
      </c>
      <c r="K33" s="39">
        <f t="shared" ref="K33:K41" ca="1" si="5">I10*F33/1000</f>
        <v>0.5805159858894624</v>
      </c>
      <c r="L33" s="39">
        <f t="shared" ref="L33:L41" ca="1" si="6">I33+J33+K33</f>
        <v>1.3159837984340963</v>
      </c>
      <c r="M33" s="28"/>
      <c r="N33" s="26" t="s">
        <v>220</v>
      </c>
    </row>
    <row r="34" spans="2:14" x14ac:dyDescent="0.45">
      <c r="B34" s="44" t="s">
        <v>172</v>
      </c>
      <c r="C34" s="25" t="str">
        <f t="shared" si="0"/>
        <v>Подготовительные работы</v>
      </c>
      <c r="D34" s="50" cm="1">
        <f t="array" aca="1" ref="D34" ca="1">_xll.VoseInput("Длительность: подготовительные работы","нед.")+_xll.VosePERT(E11,F11,G11)*IF(H11=1,Productivity,1)</f>
        <v>4.8989859276638361</v>
      </c>
      <c r="E34" s="37">
        <f t="shared" si="1"/>
        <v>0</v>
      </c>
      <c r="F34" s="37">
        <f t="shared" ca="1" si="2"/>
        <v>4.8989859276638361</v>
      </c>
      <c r="G34" s="37">
        <f ca="1">H33</f>
        <v>14.51289964723656</v>
      </c>
      <c r="H34" s="37">
        <f t="shared" ca="1" si="3"/>
        <v>19.411885574900396</v>
      </c>
      <c r="I34" s="51" cm="1">
        <f t="array" aca="1" ref="I34" ca="1">_xll.VoseInput("Постоянные затраты: подготовительные работы","млн долл.")+_xll.VosePERT(J11,K11,L11)</f>
        <v>0.62654184648993116</v>
      </c>
      <c r="J34" s="39">
        <f t="shared" si="4"/>
        <v>0</v>
      </c>
      <c r="K34" s="39">
        <f t="shared" ca="1" si="5"/>
        <v>0.2939391556598302</v>
      </c>
      <c r="L34" s="39">
        <f t="shared" ca="1" si="6"/>
        <v>0.92048100214976136</v>
      </c>
      <c r="M34" s="28"/>
      <c r="N34" s="26" t="s">
        <v>221</v>
      </c>
    </row>
    <row r="35" spans="2:14" x14ac:dyDescent="0.45">
      <c r="B35" s="44" t="s">
        <v>175</v>
      </c>
      <c r="C35" s="25" t="str">
        <f t="shared" si="0"/>
        <v>Котлован и сваи под новые резервуары</v>
      </c>
      <c r="D35" s="50" cm="1">
        <f t="array" aca="1" ref="D35" ca="1">_xll.VoseInput("Длительность: котлован и сваи","нед.")+_xll.VosePERT(E12,F12,G12)*IF(H12=1,Productivity,1)</f>
        <v>8.6461621925883545</v>
      </c>
      <c r="E35" s="37">
        <f t="shared" ca="1" si="1"/>
        <v>0</v>
      </c>
      <c r="F35" s="37">
        <f t="shared" ca="1" si="2"/>
        <v>8.6461621925883545</v>
      </c>
      <c r="G35" s="37">
        <f ca="1">H34</f>
        <v>19.411885574900396</v>
      </c>
      <c r="H35" s="37">
        <f t="shared" ca="1" si="3"/>
        <v>28.058047767488752</v>
      </c>
      <c r="I35" s="51" cm="1">
        <f t="array" aca="1" ref="I35" ca="1">_xll.VoseInput("Постоянные затраты: котлован и сваи","млн долл.")+_xll.VosePERT(J12,K12,L12)</f>
        <v>2.105860306647215</v>
      </c>
      <c r="J35" s="39">
        <f t="shared" ca="1" si="4"/>
        <v>0</v>
      </c>
      <c r="K35" s="39">
        <f t="shared" ca="1" si="5"/>
        <v>1.0375394631106025</v>
      </c>
      <c r="L35" s="39">
        <f t="shared" ca="1" si="6"/>
        <v>3.1433997697578175</v>
      </c>
      <c r="M35" s="28"/>
      <c r="N35" s="26" t="s">
        <v>222</v>
      </c>
    </row>
    <row r="36" spans="2:14" x14ac:dyDescent="0.45">
      <c r="B36" s="44" t="s">
        <v>178</v>
      </c>
      <c r="C36" s="25" t="str">
        <f t="shared" si="0"/>
        <v>Железобетонные резервуары</v>
      </c>
      <c r="D36" s="50" cm="1">
        <f t="array" aca="1" ref="D36" ca="1">_xll.VoseInput("Длительность: железобетонные резервуары","нед.")+_xll.VosePERT(E13,F13,G13)*IF(H13=1,Productivity,1)</f>
        <v>14.033729648307139</v>
      </c>
      <c r="E36" s="37">
        <f t="shared" si="1"/>
        <v>0</v>
      </c>
      <c r="F36" s="37">
        <f t="shared" ca="1" si="2"/>
        <v>14.033729648307139</v>
      </c>
      <c r="G36" s="37">
        <f ca="1">H35</f>
        <v>28.058047767488752</v>
      </c>
      <c r="H36" s="37">
        <f t="shared" ca="1" si="3"/>
        <v>42.091777415795889</v>
      </c>
      <c r="I36" s="51" cm="1">
        <f t="array" aca="1" ref="I36" ca="1">_xll.VoseInput("Постоянные затраты: железобетонные резервуары","млн долл.")+_xll.VosePERT(J13,K13,L13)</f>
        <v>4.0116584057700102</v>
      </c>
      <c r="J36" s="39">
        <f t="shared" si="4"/>
        <v>0</v>
      </c>
      <c r="K36" s="39">
        <f t="shared" ca="1" si="5"/>
        <v>2.1050594472460706</v>
      </c>
      <c r="L36" s="39">
        <f t="shared" ca="1" si="6"/>
        <v>6.1167178530160804</v>
      </c>
      <c r="M36" s="28"/>
      <c r="N36" s="28"/>
    </row>
    <row r="37" spans="2:14" x14ac:dyDescent="0.45">
      <c r="B37" s="44" t="s">
        <v>181</v>
      </c>
      <c r="C37" s="25" t="str">
        <f t="shared" si="0"/>
        <v>Закупка технологического оборудования</v>
      </c>
      <c r="D37" s="50" cm="1">
        <f t="array" aca="1" ref="D37" ca="1">_xll.VoseInput("Длительность: технологическое оборудование","нед.")+_xll.VosePERT(E14,F14,G14)*IF(H14=1,Productivity,1)</f>
        <v>18.095717314806869</v>
      </c>
      <c r="E37" s="37">
        <f t="shared" ca="1" si="1"/>
        <v>5.6191398690401577</v>
      </c>
      <c r="F37" s="37">
        <f t="shared" ca="1" si="2"/>
        <v>23.714857183847027</v>
      </c>
      <c r="G37" s="37">
        <f ca="1">H33</f>
        <v>14.51289964723656</v>
      </c>
      <c r="H37" s="37">
        <f t="shared" ca="1" si="3"/>
        <v>38.227756831083589</v>
      </c>
      <c r="I37" s="51" cm="1">
        <f t="array" aca="1" ref="I37" ca="1">_xll.VoseInput("Постоянные затраты: технологическое оборудование","млн долл.")+_xll.VosePERT(J14,K14,L14)</f>
        <v>6.0241055857712551</v>
      </c>
      <c r="J37" s="39">
        <f t="shared" si="4"/>
        <v>0</v>
      </c>
      <c r="K37" s="39">
        <f t="shared" ca="1" si="5"/>
        <v>0.23714857183847027</v>
      </c>
      <c r="L37" s="39">
        <f t="shared" ca="1" si="6"/>
        <v>6.2612541576097254</v>
      </c>
      <c r="M37" s="28"/>
      <c r="N37" s="28"/>
    </row>
    <row r="38" spans="2:14" x14ac:dyDescent="0.45">
      <c r="B38" s="44" t="s">
        <v>184</v>
      </c>
      <c r="C38" s="25" t="str">
        <f t="shared" si="0"/>
        <v>Монтаж оборудования и трубопроводов</v>
      </c>
      <c r="D38" s="50" cm="1">
        <f t="array" aca="1" ref="D38" ca="1">_xll.VoseInput("Длительность: монтаж оборудования","нед.")+_xll.VosePERT(E15,F15,G15)*IF(H15=1,Productivity,1)</f>
        <v>8.3447457739391808</v>
      </c>
      <c r="E38" s="37">
        <f t="shared" si="1"/>
        <v>0</v>
      </c>
      <c r="F38" s="37">
        <f t="shared" ca="1" si="2"/>
        <v>8.3447457739391808</v>
      </c>
      <c r="G38" s="37">
        <f ca="1">MAX(H36,H37)</f>
        <v>42.091777415795889</v>
      </c>
      <c r="H38" s="37">
        <f t="shared" ca="1" si="3"/>
        <v>50.43652318973507</v>
      </c>
      <c r="I38" s="51" cm="1">
        <f t="array" aca="1" ref="I38" ca="1">_xll.VoseInput("Постоянные затраты: монтаж оборудования","млн долл.")+_xll.VosePERT(J15,K15,L15)</f>
        <v>1.8890513436905001</v>
      </c>
      <c r="J38" s="39">
        <f t="shared" si="4"/>
        <v>0</v>
      </c>
      <c r="K38" s="39">
        <f t="shared" ca="1" si="5"/>
        <v>1.1682644083514853</v>
      </c>
      <c r="L38" s="39">
        <f t="shared" ca="1" si="6"/>
        <v>3.0573157520419851</v>
      </c>
      <c r="M38" s="28"/>
      <c r="N38" s="28"/>
    </row>
    <row r="39" spans="2:14" x14ac:dyDescent="0.45">
      <c r="B39" s="44" t="s">
        <v>187</v>
      </c>
      <c r="C39" s="25" t="str">
        <f t="shared" si="0"/>
        <v>Электромонтаж и АСУ</v>
      </c>
      <c r="D39" s="50" cm="1">
        <f t="array" aca="1" ref="D39" ca="1">_xll.VoseInput("Длительность: электромонтаж","нед.")+_xll.VosePERT(E16,F16,G16)*IF(H16=1,Productivity,1)</f>
        <v>8.4909034864793078</v>
      </c>
      <c r="E39" s="37">
        <f t="shared" si="1"/>
        <v>0</v>
      </c>
      <c r="F39" s="37">
        <f t="shared" ca="1" si="2"/>
        <v>8.4909034864793078</v>
      </c>
      <c r="G39" s="37">
        <f ca="1">MAX(H36,H37)</f>
        <v>42.091777415795889</v>
      </c>
      <c r="H39" s="37">
        <f t="shared" ca="1" si="3"/>
        <v>50.5826809022752</v>
      </c>
      <c r="I39" s="51" cm="1">
        <f t="array" aca="1" ref="I39" ca="1">_xll.VoseInput("Постоянные затраты: электромонтаж","млн долл.")+_xll.VosePERT(J16,K16,L16)</f>
        <v>1.5691777475158593</v>
      </c>
      <c r="J39" s="39">
        <f t="shared" si="4"/>
        <v>0</v>
      </c>
      <c r="K39" s="39">
        <f t="shared" ca="1" si="5"/>
        <v>0.93399938351272382</v>
      </c>
      <c r="L39" s="39">
        <f t="shared" ca="1" si="6"/>
        <v>2.5031771310285831</v>
      </c>
      <c r="M39" s="28"/>
      <c r="N39" s="28"/>
    </row>
    <row r="40" spans="2:14" x14ac:dyDescent="0.45">
      <c r="B40" s="44" t="s">
        <v>189</v>
      </c>
      <c r="C40" s="25" t="str">
        <f t="shared" si="0"/>
        <v>Пусконаладка</v>
      </c>
      <c r="D40" s="50" cm="1">
        <f t="array" aca="1" ref="D40" ca="1">_xll.VoseInput("Длительность: пусконаладка","нед.")+_xll.VosePERT(E17,F17,G17)*IF(H17=1,Productivity,1)</f>
        <v>4.7097124637287049</v>
      </c>
      <c r="E40" s="37">
        <f t="shared" ca="1" si="1"/>
        <v>0</v>
      </c>
      <c r="F40" s="37">
        <f t="shared" ca="1" si="2"/>
        <v>4.7097124637287049</v>
      </c>
      <c r="G40" s="37">
        <f ca="1">MAX(H38,H39)</f>
        <v>50.5826809022752</v>
      </c>
      <c r="H40" s="37">
        <f t="shared" ca="1" si="3"/>
        <v>55.292393366003907</v>
      </c>
      <c r="I40" s="51" cm="1">
        <f t="array" aca="1" ref="I40" ca="1">_xll.VoseInput("Постоянные затраты: пусконаладка","млн долл.")+_xll.VosePERT(J17,K17,L17)</f>
        <v>0.33748095731141209</v>
      </c>
      <c r="J40" s="39">
        <f t="shared" ca="1" si="4"/>
        <v>0</v>
      </c>
      <c r="K40" s="39">
        <f t="shared" ca="1" si="5"/>
        <v>0.42387412173558348</v>
      </c>
      <c r="L40" s="39">
        <f t="shared" ca="1" si="6"/>
        <v>0.76135507904699562</v>
      </c>
      <c r="M40" s="28"/>
      <c r="N40" s="28"/>
    </row>
    <row r="41" spans="2:14" x14ac:dyDescent="0.45">
      <c r="B41" s="44" t="s">
        <v>193</v>
      </c>
      <c r="C41" s="25" t="str">
        <f t="shared" si="0"/>
        <v>Вывод старых сооружений, благоустройство</v>
      </c>
      <c r="D41" s="50" cm="1">
        <f t="array" aca="1" ref="D41" ca="1">_xll.VoseInput("Длительность: старые сооружения и благоустройство","нед.")+_xll.VosePERT(E18,F18,G18)*IF(H18=1,Productivity,1)</f>
        <v>3.664200631723169</v>
      </c>
      <c r="E41" s="37">
        <f t="shared" si="1"/>
        <v>0</v>
      </c>
      <c r="F41" s="37">
        <f t="shared" ca="1" si="2"/>
        <v>3.664200631723169</v>
      </c>
      <c r="G41" s="37">
        <f ca="1">H40</f>
        <v>55.292393366003907</v>
      </c>
      <c r="H41" s="37">
        <f t="shared" ca="1" si="3"/>
        <v>58.956593997727076</v>
      </c>
      <c r="I41" s="51" cm="1">
        <f t="array" aca="1" ref="I41" ca="1">_xll.VoseInput("Постоянные затраты: старые сооружения и благоустройство","млн долл.")+_xll.VosePERT(J18,K18,L18)</f>
        <v>0.55356882196747059</v>
      </c>
      <c r="J41" s="39">
        <f t="shared" si="4"/>
        <v>0</v>
      </c>
      <c r="K41" s="39">
        <f t="shared" ca="1" si="5"/>
        <v>0.21985203790339014</v>
      </c>
      <c r="L41" s="39">
        <f t="shared" ca="1" si="6"/>
        <v>0.77342085987086073</v>
      </c>
      <c r="M41" s="28"/>
      <c r="N41" s="28"/>
    </row>
    <row r="42" spans="2:14" x14ac:dyDescent="0.45">
      <c r="B42" s="52"/>
      <c r="C42" s="53" t="s">
        <v>223</v>
      </c>
      <c r="D42" s="52"/>
      <c r="E42" s="52"/>
      <c r="F42" s="52"/>
      <c r="G42" s="52"/>
      <c r="H42" s="52"/>
      <c r="I42" s="54">
        <f ca="1">SUM(I33:I41)</f>
        <v>17.852912827708288</v>
      </c>
      <c r="J42" s="54">
        <f ca="1">SUM(J33:J41)</f>
        <v>0</v>
      </c>
      <c r="K42" s="54">
        <f ca="1">SUM(K33:K41)</f>
        <v>7.0001925752476186</v>
      </c>
      <c r="L42" s="54">
        <f ca="1">SUM(L33:L41)</f>
        <v>24.853105402955904</v>
      </c>
      <c r="M42" s="52"/>
      <c r="N42" s="52"/>
    </row>
    <row r="43" spans="2:14" ht="8" customHeight="1" x14ac:dyDescent="0.45"/>
    <row r="44" spans="2:14" ht="22.05" customHeight="1" x14ac:dyDescent="0.5">
      <c r="B44" s="7" t="s">
        <v>224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4" ht="18" customHeight="1" x14ac:dyDescent="0.45">
      <c r="B45" s="13" t="s">
        <v>225</v>
      </c>
    </row>
    <row r="46" spans="2:14" ht="18" customHeight="1" x14ac:dyDescent="0.45">
      <c r="B46" s="40" t="s">
        <v>158</v>
      </c>
      <c r="C46" s="40" t="s">
        <v>159</v>
      </c>
      <c r="D46" s="42" t="s">
        <v>213</v>
      </c>
      <c r="E46" s="42" t="s">
        <v>214</v>
      </c>
      <c r="F46" s="42" t="s">
        <v>215</v>
      </c>
      <c r="G46" s="41"/>
      <c r="H46" s="41"/>
      <c r="I46" s="41"/>
      <c r="J46" s="42" t="s">
        <v>218</v>
      </c>
      <c r="K46" s="41"/>
      <c r="L46" s="41"/>
      <c r="M46" s="41"/>
      <c r="N46" s="41"/>
    </row>
    <row r="47" spans="2:14" x14ac:dyDescent="0.45">
      <c r="B47" s="43"/>
      <c r="C47" s="43"/>
      <c r="D47" s="43" t="s">
        <v>113</v>
      </c>
      <c r="E47" s="43" t="s">
        <v>219</v>
      </c>
      <c r="F47" s="43" t="s">
        <v>219</v>
      </c>
      <c r="G47" s="43"/>
      <c r="H47" s="43"/>
      <c r="I47" s="43"/>
      <c r="J47" s="43" t="s">
        <v>109</v>
      </c>
      <c r="K47" s="43"/>
      <c r="L47" s="43"/>
      <c r="M47" s="43"/>
      <c r="N47" s="43"/>
    </row>
    <row r="48" spans="2:14" x14ac:dyDescent="0.45">
      <c r="B48" s="44" t="s">
        <v>169</v>
      </c>
      <c r="C48" s="25" t="str">
        <f t="shared" ref="C48:C56" si="7">C10</f>
        <v>Проектирование и разрешения</v>
      </c>
      <c r="D48" s="37">
        <f t="shared" ref="D48:D56" si="8">F10</f>
        <v>14</v>
      </c>
      <c r="E48" s="37">
        <f>0</f>
        <v>0</v>
      </c>
      <c r="F48" s="37">
        <f t="shared" ref="F48:F56" si="9">E48+D48</f>
        <v>14</v>
      </c>
      <c r="G48" s="28"/>
      <c r="H48" s="28"/>
      <c r="I48" s="28"/>
      <c r="J48" s="39">
        <f t="shared" ref="J48:J56" si="10">K10+I10*D48/1000</f>
        <v>1.36</v>
      </c>
      <c r="K48" s="28"/>
      <c r="L48" s="28"/>
      <c r="M48" s="28"/>
      <c r="N48" s="28"/>
    </row>
    <row r="49" spans="2:14" x14ac:dyDescent="0.45">
      <c r="B49" s="44" t="s">
        <v>172</v>
      </c>
      <c r="C49" s="25" t="str">
        <f t="shared" si="7"/>
        <v>Подготовительные работы</v>
      </c>
      <c r="D49" s="37">
        <f t="shared" si="8"/>
        <v>5</v>
      </c>
      <c r="E49" s="37">
        <f>F48</f>
        <v>14</v>
      </c>
      <c r="F49" s="37">
        <f t="shared" si="9"/>
        <v>19</v>
      </c>
      <c r="G49" s="28"/>
      <c r="H49" s="28"/>
      <c r="I49" s="28"/>
      <c r="J49" s="39">
        <f t="shared" si="10"/>
        <v>0.89999999999999991</v>
      </c>
      <c r="K49" s="28"/>
      <c r="L49" s="28"/>
      <c r="M49" s="28"/>
      <c r="N49" s="28"/>
    </row>
    <row r="50" spans="2:14" x14ac:dyDescent="0.45">
      <c r="B50" s="44" t="s">
        <v>175</v>
      </c>
      <c r="C50" s="25" t="str">
        <f t="shared" si="7"/>
        <v>Котлован и сваи под новые резервуары</v>
      </c>
      <c r="D50" s="37">
        <f t="shared" si="8"/>
        <v>10</v>
      </c>
      <c r="E50" s="37">
        <f>F49</f>
        <v>19</v>
      </c>
      <c r="F50" s="37">
        <f t="shared" si="9"/>
        <v>29</v>
      </c>
      <c r="G50" s="28"/>
      <c r="H50" s="28"/>
      <c r="I50" s="28"/>
      <c r="J50" s="39">
        <f t="shared" si="10"/>
        <v>3</v>
      </c>
      <c r="K50" s="28"/>
      <c r="L50" s="28"/>
      <c r="M50" s="28"/>
      <c r="N50" s="28"/>
    </row>
    <row r="51" spans="2:14" x14ac:dyDescent="0.45">
      <c r="B51" s="44" t="s">
        <v>178</v>
      </c>
      <c r="C51" s="25" t="str">
        <f t="shared" si="7"/>
        <v>Железобетонные резервуары</v>
      </c>
      <c r="D51" s="37">
        <f t="shared" si="8"/>
        <v>14</v>
      </c>
      <c r="E51" s="37">
        <f>F50</f>
        <v>29</v>
      </c>
      <c r="F51" s="37">
        <f t="shared" si="9"/>
        <v>43</v>
      </c>
      <c r="G51" s="28"/>
      <c r="H51" s="28"/>
      <c r="I51" s="28"/>
      <c r="J51" s="39">
        <f t="shared" si="10"/>
        <v>5.6</v>
      </c>
      <c r="K51" s="28"/>
      <c r="L51" s="28"/>
      <c r="M51" s="28"/>
      <c r="N51" s="28"/>
    </row>
    <row r="52" spans="2:14" x14ac:dyDescent="0.45">
      <c r="B52" s="44" t="s">
        <v>181</v>
      </c>
      <c r="C52" s="25" t="str">
        <f t="shared" si="7"/>
        <v>Закупка технологического оборудования</v>
      </c>
      <c r="D52" s="37">
        <f t="shared" si="8"/>
        <v>20</v>
      </c>
      <c r="E52" s="37">
        <f>F48</f>
        <v>14</v>
      </c>
      <c r="F52" s="37">
        <f t="shared" si="9"/>
        <v>34</v>
      </c>
      <c r="G52" s="28"/>
      <c r="H52" s="28"/>
      <c r="I52" s="28"/>
      <c r="J52" s="39">
        <f t="shared" si="10"/>
        <v>6.2</v>
      </c>
      <c r="K52" s="28"/>
      <c r="L52" s="28"/>
      <c r="M52" s="28"/>
      <c r="N52" s="28"/>
    </row>
    <row r="53" spans="2:14" x14ac:dyDescent="0.45">
      <c r="B53" s="44" t="s">
        <v>184</v>
      </c>
      <c r="C53" s="25" t="str">
        <f t="shared" si="7"/>
        <v>Монтаж оборудования и трубопроводов</v>
      </c>
      <c r="D53" s="37">
        <f t="shared" si="8"/>
        <v>10</v>
      </c>
      <c r="E53" s="37">
        <f>MAX(F51,F52)</f>
        <v>43</v>
      </c>
      <c r="F53" s="37">
        <f t="shared" si="9"/>
        <v>53</v>
      </c>
      <c r="G53" s="28"/>
      <c r="H53" s="28"/>
      <c r="I53" s="28"/>
      <c r="J53" s="39">
        <f t="shared" si="10"/>
        <v>3.4</v>
      </c>
      <c r="K53" s="28"/>
      <c r="L53" s="28"/>
      <c r="M53" s="28"/>
      <c r="N53" s="28"/>
    </row>
    <row r="54" spans="2:14" x14ac:dyDescent="0.45">
      <c r="B54" s="44" t="s">
        <v>187</v>
      </c>
      <c r="C54" s="25" t="str">
        <f t="shared" si="7"/>
        <v>Электромонтаж и АСУ</v>
      </c>
      <c r="D54" s="37">
        <f t="shared" si="8"/>
        <v>8</v>
      </c>
      <c r="E54" s="37">
        <f>MAX(F51,F52)</f>
        <v>43</v>
      </c>
      <c r="F54" s="37">
        <f t="shared" si="9"/>
        <v>51</v>
      </c>
      <c r="G54" s="28"/>
      <c r="H54" s="28"/>
      <c r="I54" s="28"/>
      <c r="J54" s="39">
        <f t="shared" si="10"/>
        <v>2.48</v>
      </c>
      <c r="K54" s="28"/>
      <c r="L54" s="28"/>
      <c r="M54" s="28"/>
      <c r="N54" s="28"/>
    </row>
    <row r="55" spans="2:14" x14ac:dyDescent="0.45">
      <c r="B55" s="44" t="s">
        <v>189</v>
      </c>
      <c r="C55" s="25" t="str">
        <f t="shared" si="7"/>
        <v>Пусконаладка</v>
      </c>
      <c r="D55" s="37">
        <f t="shared" si="8"/>
        <v>5</v>
      </c>
      <c r="E55" s="37">
        <f>MAX(F53,F54)</f>
        <v>53</v>
      </c>
      <c r="F55" s="37">
        <f t="shared" si="9"/>
        <v>58</v>
      </c>
      <c r="G55" s="28"/>
      <c r="H55" s="28"/>
      <c r="I55" s="28"/>
      <c r="J55" s="39">
        <f t="shared" si="10"/>
        <v>0.85000000000000009</v>
      </c>
      <c r="K55" s="28"/>
      <c r="L55" s="28"/>
      <c r="M55" s="28"/>
      <c r="N55" s="28"/>
    </row>
    <row r="56" spans="2:14" x14ac:dyDescent="0.45">
      <c r="B56" s="44" t="s">
        <v>193</v>
      </c>
      <c r="C56" s="25" t="str">
        <f t="shared" si="7"/>
        <v>Вывод старых сооружений, благоустройство</v>
      </c>
      <c r="D56" s="37">
        <f t="shared" si="8"/>
        <v>4</v>
      </c>
      <c r="E56" s="37">
        <f>F55</f>
        <v>58</v>
      </c>
      <c r="F56" s="37">
        <f t="shared" si="9"/>
        <v>62</v>
      </c>
      <c r="G56" s="28"/>
      <c r="H56" s="28"/>
      <c r="I56" s="28"/>
      <c r="J56" s="39">
        <f t="shared" si="10"/>
        <v>0.74</v>
      </c>
      <c r="K56" s="28"/>
      <c r="L56" s="28"/>
      <c r="M56" s="28"/>
      <c r="N56" s="28"/>
    </row>
    <row r="57" spans="2:14" ht="8" customHeight="1" x14ac:dyDescent="0.45"/>
    <row r="58" spans="2:14" ht="22.05" customHeight="1" x14ac:dyDescent="0.5">
      <c r="B58" s="7" t="s">
        <v>226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2:14" ht="18" customHeight="1" x14ac:dyDescent="0.45">
      <c r="B59" s="13" t="s">
        <v>227</v>
      </c>
    </row>
    <row r="60" spans="2:14" ht="18" customHeight="1" x14ac:dyDescent="0.45">
      <c r="B60" s="5"/>
      <c r="C60" s="55" t="s">
        <v>228</v>
      </c>
      <c r="D60" s="55" t="s">
        <v>104</v>
      </c>
      <c r="E60" s="56" t="s">
        <v>229</v>
      </c>
      <c r="F60" s="5"/>
      <c r="G60" s="5"/>
      <c r="H60" s="5"/>
      <c r="I60" s="5"/>
      <c r="J60" s="5"/>
      <c r="K60" s="5"/>
      <c r="L60" s="5"/>
      <c r="M60" s="5"/>
      <c r="N60" s="55" t="s">
        <v>230</v>
      </c>
    </row>
    <row r="61" spans="2:14" x14ac:dyDescent="0.45">
      <c r="B61" s="28"/>
      <c r="C61" s="25" t="s">
        <v>231</v>
      </c>
      <c r="D61" s="26" t="s">
        <v>113</v>
      </c>
      <c r="E61" s="57" cm="1">
        <f t="array" aca="1" ref="E61" ca="1">_xll.VoseOutput("Завершение","нед.")+H41</f>
        <v>58.956593997727076</v>
      </c>
      <c r="F61" s="28"/>
      <c r="G61" s="28"/>
      <c r="H61" s="28"/>
      <c r="I61" s="28"/>
      <c r="J61" s="28"/>
      <c r="K61" s="28"/>
      <c r="L61" s="28"/>
      <c r="M61" s="28"/>
      <c r="N61" s="26" t="s">
        <v>232</v>
      </c>
    </row>
    <row r="62" spans="2:14" x14ac:dyDescent="0.45">
      <c r="B62" s="28"/>
      <c r="C62" s="25" t="s">
        <v>233</v>
      </c>
      <c r="D62" s="26" t="s">
        <v>109</v>
      </c>
      <c r="E62" s="58" cm="1">
        <f t="array" aca="1" ref="E62" ca="1">_xll.VoseOutput("Общая стоимость","млн долл.")+L42+Overheads*Finish/1000</f>
        <v>26.916586192876352</v>
      </c>
      <c r="F62" s="28"/>
      <c r="G62" s="28"/>
      <c r="H62" s="28"/>
      <c r="I62" s="28"/>
      <c r="J62" s="28"/>
      <c r="K62" s="28"/>
      <c r="L62" s="28"/>
      <c r="M62" s="28"/>
      <c r="N62" s="26" t="s">
        <v>234</v>
      </c>
    </row>
    <row r="63" spans="2:14" x14ac:dyDescent="0.45">
      <c r="B63" s="28"/>
      <c r="C63" s="25" t="s">
        <v>235</v>
      </c>
      <c r="D63" s="26" t="s">
        <v>113</v>
      </c>
      <c r="E63" s="37">
        <f>F56</f>
        <v>62</v>
      </c>
      <c r="F63" s="28"/>
      <c r="G63" s="28"/>
      <c r="H63" s="28"/>
      <c r="I63" s="28"/>
      <c r="J63" s="28"/>
      <c r="K63" s="28"/>
      <c r="L63" s="28"/>
      <c r="M63" s="28"/>
      <c r="N63" s="26" t="s">
        <v>236</v>
      </c>
    </row>
    <row r="64" spans="2:14" x14ac:dyDescent="0.45">
      <c r="B64" s="28"/>
      <c r="C64" s="25" t="s">
        <v>237</v>
      </c>
      <c r="D64" s="26" t="s">
        <v>109</v>
      </c>
      <c r="E64" s="39">
        <f>SUM(J48:J56)+Overheads*Det_Finish/1000</f>
        <v>26.699999999999996</v>
      </c>
      <c r="F64" s="28"/>
      <c r="G64" s="28"/>
      <c r="H64" s="28"/>
      <c r="I64" s="28"/>
      <c r="J64" s="28"/>
      <c r="K64" s="28"/>
      <c r="L64" s="28"/>
      <c r="M64" s="28"/>
      <c r="N64" s="26"/>
    </row>
    <row r="65" spans="2:14" ht="8" customHeight="1" x14ac:dyDescent="0.45"/>
    <row r="66" spans="2:14" ht="22.05" customHeight="1" x14ac:dyDescent="0.5">
      <c r="B66" s="7" t="s">
        <v>238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2:14" ht="18" customHeight="1" x14ac:dyDescent="0.45">
      <c r="B67" s="13" t="s">
        <v>239</v>
      </c>
    </row>
    <row r="68" spans="2:14" x14ac:dyDescent="0.45">
      <c r="B68" s="28"/>
      <c r="C68" s="25" t="s">
        <v>240</v>
      </c>
      <c r="D68" s="28"/>
      <c r="E68" s="59" t="str">
        <f>IF(SUMPRODUCT((E10:E18&gt;F10:F18)+(F10:F18&gt;G10:G18)+(J10:J18&gt;K10:K18)+(K10:K18&gt;L10:L18))=0,"ОК","ПРОВЕРИТЬ")</f>
        <v>ОК</v>
      </c>
      <c r="F68" s="28"/>
      <c r="G68" s="28"/>
      <c r="H68" s="28"/>
      <c r="I68" s="28"/>
      <c r="J68" s="28"/>
      <c r="K68" s="28"/>
      <c r="L68" s="28"/>
      <c r="M68" s="28"/>
      <c r="N68" s="28"/>
    </row>
    <row r="69" spans="2:14" x14ac:dyDescent="0.45">
      <c r="B69" s="28"/>
      <c r="C69" s="25" t="s">
        <v>241</v>
      </c>
      <c r="D69" s="28"/>
      <c r="E69" s="59" t="str">
        <f>IF(COUNTIF(H10:H18,0)+COUNTIF(H10:H18,1)=ROWS(H10:H18),"ОК","ПРОВЕРИТЬ")</f>
        <v>ОК</v>
      </c>
      <c r="F69" s="28"/>
      <c r="G69" s="28"/>
      <c r="H69" s="28"/>
      <c r="I69" s="28"/>
      <c r="J69" s="28"/>
      <c r="K69" s="28"/>
      <c r="L69" s="28"/>
      <c r="M69" s="28"/>
      <c r="N69" s="28"/>
    </row>
    <row r="70" spans="2:14" x14ac:dyDescent="0.45">
      <c r="B70" s="28"/>
      <c r="C70" s="25" t="s">
        <v>242</v>
      </c>
      <c r="D70" s="28"/>
      <c r="E70" s="59" t="str">
        <f>IF(SUMPRODUCT(COUNTIF(B10:B18,Risk_Act))=ROWS(Risk_Act),"ОК","ПРОВЕРИТЬ")</f>
        <v>ОК</v>
      </c>
      <c r="F70" s="28"/>
      <c r="G70" s="28"/>
      <c r="H70" s="28"/>
      <c r="I70" s="28"/>
      <c r="J70" s="28"/>
      <c r="K70" s="28"/>
      <c r="L70" s="28"/>
      <c r="M70" s="28"/>
      <c r="N70" s="28"/>
    </row>
    <row r="71" spans="2:14" ht="14" customHeight="1" x14ac:dyDescent="0.45"/>
  </sheetData>
  <conditionalFormatting sqref="E68:E70">
    <cfRule type="expression" dxfId="4" priority="1">
      <formula>E68="CHECK"</formula>
    </cfRule>
  </conditionalFormatting>
  <dataValidations count="3">
    <dataValidation type="custom" showErrorMessage="1" errorTitle="Длительность" error="Мин. ≤ наиболее вероятное ≤ макс." sqref="E10:G18" xr:uid="{00000000-0002-0000-0200-000000000000}">
      <formula1>AND($E10&lt;=$F10,$F10&lt;=$G10,$E10&gt;=0)</formula1>
    </dataValidation>
    <dataValidation type="custom" showErrorMessage="1" errorTitle="Постоянные затраты" error="Мин. ≤ наиболее вероятное ≤ макс." sqref="J10:L18" xr:uid="{00000000-0002-0000-0200-000001000000}">
      <formula1>AND($J10&lt;=$K10,$K10&lt;=$L10,$J10&gt;=0)</formula1>
    </dataValidation>
    <dataValidation type="whole" showErrorMessage="1" errorTitle="Строительная работа" error="Введите 1 (строительная работа) или 0." sqref="H10:H18" xr:uid="{00000000-0002-0000-0200-000002000000}">
      <formula1>0</formula1>
      <formula2>1</formula2>
    </dataValidation>
  </dataValidations>
  <hyperlinks>
    <hyperlink ref="B4" location="'Исходные данные'!A1" display="◂  Исходные данные" xr:uid="{00000000-0004-0000-0200-000000000000}"/>
    <hyperlink ref="N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81" fitToHeight="0" orientation="landscape" r:id="rId1"/>
  <headerFooter>
    <oddFooter>&amp;L&amp;K3F5876&amp;8&amp;F · &amp;A&amp;R&amp;K3F5876&amp;8Page &amp;P of &amp;N</oddFooter>
  </headerFooter>
  <rowBreaks count="1" manualBreakCount="1"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44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244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0" t="str" cm="1">
        <f t="array" aca="1" ref="B6" ca="1">IF(ISNUMBER(_xll.VoseSimMean(TotalCost)),"✔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1"/>
      <c r="D6" s="61"/>
      <c r="E6" s="61"/>
      <c r="F6" s="61"/>
      <c r="G6" s="61"/>
    </row>
    <row r="7" spans="1:18" x14ac:dyDescent="0.45">
      <c r="B7" s="62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245</v>
      </c>
      <c r="C9" s="8"/>
      <c r="D9" s="8"/>
      <c r="E9" s="8"/>
      <c r="F9" s="8"/>
      <c r="G9" s="8"/>
      <c r="I9" s="63" t="s">
        <v>246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247</v>
      </c>
    </row>
    <row r="11" spans="1:18" ht="18" customHeight="1" x14ac:dyDescent="0.45">
      <c r="B11" s="23" t="s">
        <v>248</v>
      </c>
      <c r="C11" s="23" t="s">
        <v>104</v>
      </c>
      <c r="D11" s="24" t="s">
        <v>229</v>
      </c>
      <c r="E11" s="5"/>
      <c r="F11" s="5"/>
      <c r="G11" s="5"/>
    </row>
    <row r="12" spans="1:18" x14ac:dyDescent="0.45">
      <c r="B12" s="64" t="s">
        <v>249</v>
      </c>
      <c r="C12" s="26" t="s">
        <v>109</v>
      </c>
      <c r="D12" s="39">
        <f>Det_Cost</f>
        <v>26.699999999999996</v>
      </c>
      <c r="E12" s="28"/>
      <c r="F12" s="28"/>
      <c r="G12" s="28"/>
    </row>
    <row r="13" spans="1:18" ht="22.05" customHeight="1" x14ac:dyDescent="0.45">
      <c r="B13" s="44" t="s">
        <v>250</v>
      </c>
      <c r="C13" s="26" t="s">
        <v>109</v>
      </c>
      <c r="D13" s="65" cm="1">
        <f t="array" aca="1" ref="D13" ca="1">_xll.VoseSimMean(TotalCost)</f>
        <v>28.150592989288793</v>
      </c>
      <c r="E13" s="28"/>
      <c r="F13" s="28"/>
      <c r="G13" s="28"/>
    </row>
    <row r="14" spans="1:18" x14ac:dyDescent="0.45">
      <c r="B14" s="64" t="s">
        <v>235</v>
      </c>
      <c r="C14" s="26" t="s">
        <v>113</v>
      </c>
      <c r="D14" s="37">
        <f>Det_Finish</f>
        <v>62</v>
      </c>
      <c r="E14" s="28"/>
      <c r="F14" s="28"/>
      <c r="G14" s="28"/>
    </row>
    <row r="15" spans="1:18" x14ac:dyDescent="0.45">
      <c r="B15" s="44" t="s">
        <v>251</v>
      </c>
      <c r="C15" s="26" t="s">
        <v>113</v>
      </c>
      <c r="D15" s="66" cm="1">
        <f t="array" aca="1" ref="D15" ca="1">_xll.VoseSimMean(Finish)</f>
        <v>66.990525054434187</v>
      </c>
      <c r="E15" s="28"/>
      <c r="F15" s="28"/>
      <c r="G15" s="28"/>
    </row>
    <row r="16" spans="1:18" x14ac:dyDescent="0.45">
      <c r="B16" s="25" t="s">
        <v>252</v>
      </c>
      <c r="C16" s="26"/>
      <c r="D16" s="67" cm="1">
        <f t="array" aca="1" ref="D16" ca="1">_xll.VoseSimCorrelation('План'!$E$62,'План'!$E$61,0)</f>
        <v>0.8139205721672057</v>
      </c>
      <c r="E16" s="28"/>
      <c r="F16" s="28"/>
      <c r="G16" s="28"/>
    </row>
    <row r="17" spans="2:18" ht="8" customHeight="1" x14ac:dyDescent="0.45"/>
    <row r="18" spans="2:18" ht="18" customHeight="1" x14ac:dyDescent="0.45">
      <c r="B18" s="23" t="s">
        <v>248</v>
      </c>
      <c r="C18" s="23" t="s">
        <v>104</v>
      </c>
      <c r="D18" s="24" t="s">
        <v>253</v>
      </c>
      <c r="E18" s="24" t="s">
        <v>254</v>
      </c>
      <c r="F18" s="24" t="s">
        <v>255</v>
      </c>
      <c r="G18" s="24" t="s">
        <v>124</v>
      </c>
    </row>
    <row r="19" spans="2:18" x14ac:dyDescent="0.45">
      <c r="B19" s="25" t="s">
        <v>233</v>
      </c>
      <c r="C19" s="26" t="s">
        <v>109</v>
      </c>
      <c r="D19" s="68" cm="1">
        <f t="array" aca="1" ref="D19" ca="1">_xll.VoseSimPercentile(TotalCost,0.5)</f>
        <v>28.069883820223108</v>
      </c>
      <c r="E19" s="68" cm="1">
        <f t="array" aca="1" ref="E19" ca="1">_xll.VoseSimPercentile(TotalCost,0.7)</f>
        <v>28.735612877987037</v>
      </c>
      <c r="F19" s="68" cm="1">
        <f t="array" aca="1" ref="F19" ca="1">_xll.VoseSimPercentile(TotalCost,0.8)</f>
        <v>29.162201287916478</v>
      </c>
      <c r="G19" s="68" cm="1">
        <f t="array" aca="1" ref="G19" ca="1">_xll.VoseSimMean(TotalCost)</f>
        <v>28.150592989288793</v>
      </c>
    </row>
    <row r="20" spans="2:18" x14ac:dyDescent="0.45">
      <c r="B20" s="25" t="s">
        <v>231</v>
      </c>
      <c r="C20" s="26" t="s">
        <v>113</v>
      </c>
      <c r="D20" s="66" cm="1">
        <f t="array" aca="1" ref="D20" ca="1">_xll.VoseSimPercentile(Finish,0.5)</f>
        <v>66.741477707686698</v>
      </c>
      <c r="E20" s="66" cm="1">
        <f t="array" aca="1" ref="E20" ca="1">_xll.VoseSimPercentile(Finish,0.7)</f>
        <v>69.527214221134813</v>
      </c>
      <c r="F20" s="66" cm="1">
        <f t="array" aca="1" ref="F20" ca="1">_xll.VoseSimPercentile(Finish,0.8)</f>
        <v>71.399941066136066</v>
      </c>
      <c r="G20" s="66" cm="1">
        <f t="array" aca="1" ref="G20" ca="1">_xll.VoseSimMean(Finish)</f>
        <v>66.990525054434187</v>
      </c>
    </row>
    <row r="21" spans="2:18" ht="8" customHeight="1" x14ac:dyDescent="0.45"/>
    <row r="22" spans="2:18" ht="22.05" customHeight="1" x14ac:dyDescent="0.5">
      <c r="B22" s="7" t="s">
        <v>256</v>
      </c>
      <c r="C22" s="8"/>
      <c r="D22" s="8"/>
      <c r="E22" s="8"/>
      <c r="F22" s="8"/>
      <c r="G22" s="8"/>
    </row>
    <row r="23" spans="2:18" ht="18" customHeight="1" x14ac:dyDescent="0.45">
      <c r="B23" s="13" t="s">
        <v>257</v>
      </c>
    </row>
    <row r="24" spans="2:18" ht="18" customHeight="1" x14ac:dyDescent="0.45">
      <c r="B24" s="23" t="s">
        <v>248</v>
      </c>
      <c r="C24" s="23" t="s">
        <v>104</v>
      </c>
      <c r="D24" s="24" t="s">
        <v>229</v>
      </c>
      <c r="E24" s="5"/>
      <c r="F24" s="5"/>
      <c r="G24" s="5"/>
    </row>
    <row r="25" spans="2:18" x14ac:dyDescent="0.45">
      <c r="B25" s="64" t="s">
        <v>258</v>
      </c>
      <c r="C25" s="26"/>
      <c r="D25" s="69" t="str">
        <f>TEXT(BudgetTarget,"0.0")&amp;" млн долл.  ·  "&amp;DeadlineTarget&amp;" нед."</f>
        <v>29,5 млн долл.  ·  70 нед.</v>
      </c>
      <c r="E25" s="28"/>
      <c r="F25" s="28"/>
      <c r="G25" s="28"/>
      <c r="I25" s="63" t="s">
        <v>259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x14ac:dyDescent="0.45">
      <c r="B26" s="25" t="s">
        <v>260</v>
      </c>
      <c r="C26" s="26" t="s">
        <v>136</v>
      </c>
      <c r="D26" s="70" cm="1">
        <f t="array" aca="1" ref="D26" ca="1">_xll.VoseSimProbability(TotalCost,BudgetTarget)</f>
        <v>0.86021397860213977</v>
      </c>
      <c r="E26" s="28"/>
      <c r="F26" s="28"/>
      <c r="G26" s="28"/>
    </row>
    <row r="27" spans="2:18" x14ac:dyDescent="0.45">
      <c r="B27" s="25" t="s">
        <v>261</v>
      </c>
      <c r="C27" s="26" t="s">
        <v>136</v>
      </c>
      <c r="D27" s="70" cm="1">
        <f t="array" aca="1" ref="D27" ca="1">_xll.VoseSimProbability(Finish,DeadlineTarget)</f>
        <v>0.72792720727927207</v>
      </c>
      <c r="E27" s="28"/>
      <c r="F27" s="28"/>
      <c r="G27" s="28"/>
    </row>
    <row r="28" spans="2:18" ht="22.05" customHeight="1" x14ac:dyDescent="0.45">
      <c r="B28" s="44" t="s">
        <v>262</v>
      </c>
      <c r="C28" s="26" t="s">
        <v>136</v>
      </c>
      <c r="D28" s="71" cm="1">
        <f t="array" aca="1" ref="D28" ca="1">_xll.VoseSimJointProb(TotalCost,"&lt;=",BudgetTarget,Finish,"&lt;=",DeadlineTarget)</f>
        <v>0.71060000000000001</v>
      </c>
      <c r="E28" s="28"/>
      <c r="F28" s="28"/>
      <c r="G28" s="28"/>
    </row>
    <row r="29" spans="2:18" x14ac:dyDescent="0.45">
      <c r="B29" s="25" t="s">
        <v>263</v>
      </c>
      <c r="C29" s="26" t="s">
        <v>136</v>
      </c>
      <c r="D29" s="70">
        <f ca="1">IFERROR(D26*D27,"–")</f>
        <v>0.62617315910644711</v>
      </c>
      <c r="E29" s="28"/>
      <c r="F29" s="28"/>
      <c r="G29" s="28"/>
    </row>
    <row r="30" spans="2:18" ht="8" customHeight="1" x14ac:dyDescent="0.45"/>
    <row r="31" spans="2:18" ht="22.05" customHeight="1" x14ac:dyDescent="0.5">
      <c r="B31" s="7" t="s">
        <v>264</v>
      </c>
      <c r="C31" s="8"/>
      <c r="D31" s="8"/>
      <c r="E31" s="8"/>
      <c r="F31" s="8"/>
      <c r="G31" s="8"/>
    </row>
    <row r="32" spans="2:18" ht="18" customHeight="1" x14ac:dyDescent="0.45">
      <c r="B32" s="13" t="s">
        <v>265</v>
      </c>
    </row>
    <row r="33" spans="2:7" ht="18" customHeight="1" x14ac:dyDescent="0.45">
      <c r="B33" s="23" t="s">
        <v>248</v>
      </c>
      <c r="C33" s="23" t="s">
        <v>104</v>
      </c>
      <c r="D33" s="24" t="s">
        <v>229</v>
      </c>
      <c r="E33" s="5"/>
      <c r="F33" s="5"/>
      <c r="G33" s="5"/>
    </row>
    <row r="34" spans="2:7" x14ac:dyDescent="0.45">
      <c r="B34" s="25" t="s">
        <v>266</v>
      </c>
      <c r="C34" s="26" t="s">
        <v>109</v>
      </c>
      <c r="D34" s="68" cm="1">
        <f t="array" aca="1" ref="D34" ca="1">_xll.VoseSimPercentile(TotalCost,0.8)</f>
        <v>29.162201287916478</v>
      </c>
      <c r="E34" s="28"/>
      <c r="F34" s="28"/>
      <c r="G34" s="28"/>
    </row>
    <row r="35" spans="2:7" x14ac:dyDescent="0.45">
      <c r="B35" s="25" t="s">
        <v>267</v>
      </c>
      <c r="C35" s="26" t="s">
        <v>113</v>
      </c>
      <c r="D35" s="66" cm="1">
        <f t="array" aca="1" ref="D35" ca="1">_xll.VoseSimPercentile(Finish,0.8)</f>
        <v>71.399941066136066</v>
      </c>
      <c r="E35" s="28"/>
      <c r="F35" s="28"/>
      <c r="G35" s="28"/>
    </row>
    <row r="36" spans="2:7" x14ac:dyDescent="0.45">
      <c r="B36" s="44" t="s">
        <v>268</v>
      </c>
      <c r="C36" s="26" t="s">
        <v>136</v>
      </c>
      <c r="D36" s="70" cm="1">
        <f t="array" aca="1" ref="D36" ca="1">IFERROR(_xll.VoseSimJointProb(TotalCost,"&lt;=",D34,Finish,"&lt;=",D35),"–")</f>
        <v>0.73629999999999995</v>
      </c>
      <c r="E36" s="28"/>
      <c r="F36" s="28"/>
      <c r="G36" s="28"/>
    </row>
    <row r="37" spans="2:7" ht="8" customHeight="1" x14ac:dyDescent="0.45"/>
    <row r="41" spans="2:7" ht="22.05" customHeight="1" x14ac:dyDescent="0.5">
      <c r="B41" s="7" t="s">
        <v>269</v>
      </c>
      <c r="C41" s="8"/>
      <c r="D41" s="8"/>
      <c r="E41" s="8"/>
      <c r="F41" s="8"/>
      <c r="G41" s="8"/>
    </row>
    <row r="42" spans="2:7" ht="18" customHeight="1" x14ac:dyDescent="0.45">
      <c r="B42" s="13" t="s">
        <v>270</v>
      </c>
    </row>
    <row r="43" spans="2:7" ht="18" customHeight="1" x14ac:dyDescent="0.45">
      <c r="B43" s="23" t="s">
        <v>271</v>
      </c>
      <c r="C43" s="72">
        <f>DeadlineTarget-2*DeadlineStep</f>
        <v>64</v>
      </c>
      <c r="D43" s="72">
        <f>DeadlineTarget-1*DeadlineStep</f>
        <v>67</v>
      </c>
      <c r="E43" s="72">
        <f>DeadlineTarget</f>
        <v>70</v>
      </c>
      <c r="F43" s="72">
        <f>DeadlineTarget+1*DeadlineStep</f>
        <v>73</v>
      </c>
      <c r="G43" s="72">
        <f>DeadlineTarget+2*DeadlineStep</f>
        <v>76</v>
      </c>
    </row>
    <row r="44" spans="2:7" x14ac:dyDescent="0.45">
      <c r="B44" s="73">
        <f>BudgetTarget-2*BudgetStep</f>
        <v>27.5</v>
      </c>
      <c r="C44" s="74" cm="1">
        <f t="array" aca="1" ref="C44" ca="1">_xll.VoseSimJointProb(TotalCost,"&lt;=",$B44,Finish,"&lt;=",C$43)</f>
        <v>0.22009999999999999</v>
      </c>
      <c r="D44" s="74" cm="1">
        <f t="array" aca="1" ref="D44" ca="1">_xll.VoseSimJointProb(TotalCost,"&lt;=",$B44,Finish,"&lt;=",D$43)</f>
        <v>0.28920000000000001</v>
      </c>
      <c r="E44" s="74" cm="1">
        <f t="array" aca="1" ref="E44" ca="1">_xll.VoseSimJointProb(TotalCost,"&lt;=",$B44,Finish,"&lt;=",E$43)</f>
        <v>0.30830000000000002</v>
      </c>
      <c r="F44" s="74" cm="1">
        <f t="array" aca="1" ref="F44" ca="1">_xll.VoseSimJointProb(TotalCost,"&lt;=",$B44,Finish,"&lt;=",F$43)</f>
        <v>0.31080000000000002</v>
      </c>
      <c r="G44" s="74" cm="1">
        <f t="array" aca="1" ref="G44" ca="1">_xll.VoseSimJointProb(TotalCost,"&lt;=",$B44,Finish,"&lt;=",G$43)</f>
        <v>0.31080000000000002</v>
      </c>
    </row>
    <row r="45" spans="2:7" x14ac:dyDescent="0.45">
      <c r="B45" s="73">
        <f>BudgetTarget-1*BudgetStep</f>
        <v>28.5</v>
      </c>
      <c r="C45" s="74" cm="1">
        <f t="array" aca="1" ref="C45" ca="1">_xll.VoseSimJointProb(TotalCost,"&lt;=",$B45,Finish,"&lt;=",C$43)</f>
        <v>0.28689999999999999</v>
      </c>
      <c r="D45" s="74" cm="1">
        <f t="array" aca="1" ref="D45" ca="1">_xll.VoseSimJointProb(TotalCost,"&lt;=",$B45,Finish,"&lt;=",D$43)</f>
        <v>0.46810000000000002</v>
      </c>
      <c r="E45" s="74" cm="1">
        <f t="array" aca="1" ref="E45" ca="1">_xll.VoseSimJointProb(TotalCost,"&lt;=",$B45,Finish,"&lt;=",E$43)</f>
        <v>0.58699999999999997</v>
      </c>
      <c r="F45" s="74" cm="1">
        <f t="array" aca="1" ref="F45" ca="1">_xll.VoseSimJointProb(TotalCost,"&lt;=",$B45,Finish,"&lt;=",F$43)</f>
        <v>0.62390000000000001</v>
      </c>
      <c r="G45" s="74" cm="1">
        <f t="array" aca="1" ref="G45" ca="1">_xll.VoseSimJointProb(TotalCost,"&lt;=",$B45,Finish,"&lt;=",G$43)</f>
        <v>0.63049999999999995</v>
      </c>
    </row>
    <row r="46" spans="2:7" x14ac:dyDescent="0.45">
      <c r="B46" s="73">
        <f>BudgetTarget</f>
        <v>29.5</v>
      </c>
      <c r="C46" s="74" cm="1">
        <f t="array" aca="1" ref="C46" ca="1">_xll.VoseSimJointProb(TotalCost,"&lt;=",$B46,Finish,"&lt;=",C$43)</f>
        <v>0.2974</v>
      </c>
      <c r="D46" s="74" cm="1">
        <f t="array" aca="1" ref="D46" ca="1">_xll.VoseSimJointProb(TotalCost,"&lt;=",$B46,Finish,"&lt;=",D$43)</f>
        <v>0.51629999999999998</v>
      </c>
      <c r="E46" s="74" cm="1">
        <f t="array" aca="1" ref="E46" ca="1">_xll.VoseSimJointProb(TotalCost,"&lt;=",$B46,Finish,"&lt;=",E$43)</f>
        <v>0.71060000000000001</v>
      </c>
      <c r="F46" s="74" cm="1">
        <f t="array" aca="1" ref="F46" ca="1">_xll.VoseSimJointProb(TotalCost,"&lt;=",$B46,Finish,"&lt;=",F$43)</f>
        <v>0.81520000000000004</v>
      </c>
      <c r="G46" s="74" cm="1">
        <f t="array" aca="1" ref="G46" ca="1">_xll.VoseSimJointProb(TotalCost,"&lt;=",$B46,Finish,"&lt;=",G$43)</f>
        <v>0.85250000000000004</v>
      </c>
    </row>
    <row r="47" spans="2:7" x14ac:dyDescent="0.45">
      <c r="B47" s="73">
        <f>BudgetTarget+1*BudgetStep</f>
        <v>30.5</v>
      </c>
      <c r="C47" s="74" cm="1">
        <f t="array" aca="1" ref="C47" ca="1">_xll.VoseSimJointProb(TotalCost,"&lt;=",$B47,Finish,"&lt;=",C$43)</f>
        <v>0.29749999999999999</v>
      </c>
      <c r="D47" s="74" cm="1">
        <f t="array" aca="1" ref="D47" ca="1">_xll.VoseSimJointProb(TotalCost,"&lt;=",$B47,Finish,"&lt;=",D$43)</f>
        <v>0.51900000000000002</v>
      </c>
      <c r="E47" s="74" cm="1">
        <f t="array" aca="1" ref="E47" ca="1">_xll.VoseSimJointProb(TotalCost,"&lt;=",$B47,Finish,"&lt;=",E$43)</f>
        <v>0.72740000000000005</v>
      </c>
      <c r="F47" s="74" cm="1">
        <f t="array" aca="1" ref="F47" ca="1">_xll.VoseSimJointProb(TotalCost,"&lt;=",$B47,Finish,"&lt;=",F$43)</f>
        <v>0.86639999999999995</v>
      </c>
      <c r="G47" s="74" cm="1">
        <f t="array" aca="1" ref="G47" ca="1">_xll.VoseSimJointProb(TotalCost,"&lt;=",$B47,Finish,"&lt;=",G$43)</f>
        <v>0.93540000000000001</v>
      </c>
    </row>
    <row r="48" spans="2:7" x14ac:dyDescent="0.45">
      <c r="B48" s="73">
        <f>BudgetTarget+2*BudgetStep</f>
        <v>31.5</v>
      </c>
      <c r="C48" s="74" cm="1">
        <f t="array" aca="1" ref="C48" ca="1">_xll.VoseSimJointProb(TotalCost,"&lt;=",$B48,Finish,"&lt;=",C$43)</f>
        <v>0.29749999999999999</v>
      </c>
      <c r="D48" s="74" cm="1">
        <f t="array" aca="1" ref="D48" ca="1">_xll.VoseSimJointProb(TotalCost,"&lt;=",$B48,Finish,"&lt;=",D$43)</f>
        <v>0.51900000000000002</v>
      </c>
      <c r="E48" s="74" cm="1">
        <f t="array" aca="1" ref="E48" ca="1">_xll.VoseSimJointProb(TotalCost,"&lt;=",$B48,Finish,"&lt;=",E$43)</f>
        <v>0.72789999999999999</v>
      </c>
      <c r="F48" s="74" cm="1">
        <f t="array" aca="1" ref="F48" ca="1">_xll.VoseSimJointProb(TotalCost,"&lt;=",$B48,Finish,"&lt;=",F$43)</f>
        <v>0.86980000000000002</v>
      </c>
      <c r="G48" s="74" cm="1">
        <f t="array" aca="1" ref="G48" ca="1">_xll.VoseSimJointProb(TotalCost,"&lt;=",$B48,Finish,"&lt;=",G$43)</f>
        <v>0.94769999999999999</v>
      </c>
    </row>
    <row r="49" spans="2:18" x14ac:dyDescent="0.45">
      <c r="B49" s="46" t="s">
        <v>272</v>
      </c>
    </row>
    <row r="50" spans="2:18" ht="8" customHeight="1" x14ac:dyDescent="0.45"/>
    <row r="51" spans="2:18" ht="22.05" customHeight="1" x14ac:dyDescent="0.5">
      <c r="B51" s="7" t="s">
        <v>273</v>
      </c>
      <c r="C51" s="8"/>
      <c r="D51" s="8"/>
      <c r="E51" s="8"/>
      <c r="F51" s="8"/>
      <c r="G51" s="8"/>
      <c r="I51" s="63" t="s">
        <v>274</v>
      </c>
      <c r="J51" s="8"/>
      <c r="K51" s="8"/>
      <c r="L51" s="8"/>
      <c r="M51" s="8"/>
      <c r="N51" s="8"/>
      <c r="O51" s="8"/>
      <c r="P51" s="8"/>
      <c r="Q51" s="8"/>
      <c r="R51" s="8"/>
    </row>
    <row r="52" spans="2:18" ht="18" customHeight="1" x14ac:dyDescent="0.45">
      <c r="B52" s="13" t="s">
        <v>275</v>
      </c>
    </row>
    <row r="53" spans="2:18" ht="18" customHeight="1" x14ac:dyDescent="0.45">
      <c r="B53" s="23" t="s">
        <v>276</v>
      </c>
      <c r="C53" s="24" t="s">
        <v>277</v>
      </c>
      <c r="D53" s="24" t="s">
        <v>278</v>
      </c>
      <c r="E53" s="75" t="s">
        <v>279</v>
      </c>
      <c r="F53" s="5"/>
      <c r="G53" s="5"/>
    </row>
    <row r="54" spans="2:18" x14ac:dyDescent="0.45">
      <c r="B54" s="25" t="str">
        <f t="array" aca="1" ref="B54:E66" ca="1">_xll.VoseSimSensitivityMean(TotalCost,10,1,FALSE)</f>
        <v>Коэффициент производительности на площадке</v>
      </c>
      <c r="C54" s="68">
        <f ca="1"/>
        <v>26.992995613892386</v>
      </c>
      <c r="D54" s="68">
        <f ca="1"/>
        <v>29.388111945949341</v>
      </c>
      <c r="E54" s="76">
        <f ca="1"/>
        <v>1</v>
      </c>
      <c r="F54" s="28"/>
      <c r="G54" s="28"/>
    </row>
    <row r="55" spans="2:18" x14ac:dyDescent="0.45">
      <c r="B55" s="25" t="str">
        <f ca="1"/>
        <v>Длительность: железобетонные резервуары</v>
      </c>
      <c r="C55" s="68">
        <f ca="1"/>
        <v>27.068071075263074</v>
      </c>
      <c r="D55" s="68">
        <f ca="1"/>
        <v>29.312885601791127</v>
      </c>
      <c r="E55" s="76">
        <f ca="1"/>
        <v>2</v>
      </c>
      <c r="F55" s="28"/>
      <c r="G55" s="28"/>
    </row>
    <row r="56" spans="2:18" x14ac:dyDescent="0.45">
      <c r="B56" s="25" t="str">
        <f ca="1"/>
        <v>Длительность: котлован и сваи</v>
      </c>
      <c r="C56" s="68">
        <f ca="1"/>
        <v>27.20463917031303</v>
      </c>
      <c r="D56" s="68">
        <f ca="1"/>
        <v>29.177644554659153</v>
      </c>
      <c r="E56" s="76">
        <f ca="1"/>
        <v>3</v>
      </c>
      <c r="F56" s="28"/>
      <c r="G56" s="28"/>
    </row>
    <row r="57" spans="2:18" x14ac:dyDescent="0.45">
      <c r="B57" s="25" t="str">
        <f ca="1"/>
        <v>Длительность: монтаж оборудования</v>
      </c>
      <c r="C57" s="68">
        <f ca="1"/>
        <v>27.184815038140478</v>
      </c>
      <c r="D57" s="68">
        <f ca="1"/>
        <v>29.153873860195837</v>
      </c>
      <c r="E57" s="76">
        <f ca="1"/>
        <v>4</v>
      </c>
      <c r="F57" s="28"/>
      <c r="G57" s="28"/>
    </row>
    <row r="58" spans="2:18" x14ac:dyDescent="0.45">
      <c r="B58" s="25" t="str">
        <f ca="1"/>
        <v>Геологический риск (задержка и затраты)</v>
      </c>
      <c r="C58" s="68">
        <f ca="1"/>
        <v>27.643096727857898</v>
      </c>
      <c r="D58" s="68">
        <f ca="1"/>
        <v>29.454944293548067</v>
      </c>
      <c r="E58" s="76">
        <f ca="1"/>
        <v>5</v>
      </c>
      <c r="F58" s="28"/>
      <c r="G58" s="28"/>
    </row>
    <row r="59" spans="2:18" x14ac:dyDescent="0.45">
      <c r="B59" s="25" t="str">
        <f ca="1"/>
        <v>Длительность: электромонтаж</v>
      </c>
      <c r="C59" s="68">
        <f ca="1"/>
        <v>27.330016540802244</v>
      </c>
      <c r="D59" s="68">
        <f ca="1"/>
        <v>28.967706762530632</v>
      </c>
      <c r="E59" s="76">
        <f ca="1"/>
        <v>6</v>
      </c>
      <c r="F59" s="28"/>
      <c r="G59" s="28"/>
    </row>
    <row r="60" spans="2:18" x14ac:dyDescent="0.45">
      <c r="B60" s="25" t="str">
        <f ca="1"/>
        <v>Длительность: пусконаладка</v>
      </c>
      <c r="C60" s="68">
        <f ca="1"/>
        <v>27.387118257085497</v>
      </c>
      <c r="D60" s="68">
        <f ca="1"/>
        <v>28.865951351477499</v>
      </c>
      <c r="E60" s="76">
        <f ca="1"/>
        <v>7</v>
      </c>
      <c r="F60" s="28"/>
      <c r="G60" s="28"/>
    </row>
    <row r="61" spans="2:18" x14ac:dyDescent="0.45">
      <c r="B61" s="25" t="str">
        <f ca="1"/>
        <v>Длительность: подготовительные работы</v>
      </c>
      <c r="C61" s="68">
        <f ca="1"/>
        <v>27.423015603028617</v>
      </c>
      <c r="D61" s="68">
        <f ca="1"/>
        <v>28.864647384870288</v>
      </c>
      <c r="E61" s="76">
        <f ca="1"/>
        <v>8</v>
      </c>
      <c r="F61" s="28"/>
      <c r="G61" s="28"/>
    </row>
    <row r="62" spans="2:18" x14ac:dyDescent="0.45">
      <c r="B62" s="25" t="str">
        <f ca="1"/>
        <v>Длительность: старые сооружения и благоустройство</v>
      </c>
      <c r="C62" s="68">
        <f ca="1"/>
        <v>27.455346352870695</v>
      </c>
      <c r="D62" s="68">
        <f ca="1"/>
        <v>28.881577959323742</v>
      </c>
      <c r="E62" s="76">
        <f ca="1"/>
        <v>9</v>
      </c>
      <c r="F62" s="28"/>
      <c r="G62" s="28"/>
    </row>
    <row r="63" spans="2:18" x14ac:dyDescent="0.45">
      <c r="B63" s="25" t="str">
        <f ca="1"/>
        <v>Постоянные затраты: технологическое оборудование</v>
      </c>
      <c r="C63" s="68">
        <f ca="1"/>
        <v>27.599866838564836</v>
      </c>
      <c r="D63" s="68">
        <f ca="1"/>
        <v>28.744477730621966</v>
      </c>
      <c r="E63" s="76">
        <f ca="1"/>
        <v>10</v>
      </c>
      <c r="F63" s="28"/>
      <c r="G63" s="28"/>
    </row>
    <row r="64" spans="2:18" x14ac:dyDescent="0.45">
      <c r="B64" s="25" t="str">
        <f ca="1"/>
        <v>Риск пусконаладки (задержка и затраты)</v>
      </c>
      <c r="C64" s="68">
        <f ca="1"/>
        <v>27.935696976734878</v>
      </c>
      <c r="D64" s="68">
        <f ca="1"/>
        <v>28.984100089585173</v>
      </c>
      <c r="E64" s="76">
        <f ca="1"/>
        <v>11</v>
      </c>
      <c r="F64" s="28"/>
      <c r="G64" s="28"/>
    </row>
    <row r="65" spans="2:7" x14ac:dyDescent="0.45">
      <c r="B65" s="25" t="str">
        <f ca="1"/>
        <v>Постоянные затраты: железобетонные резервуары</v>
      </c>
      <c r="C65" s="68">
        <f ca="1"/>
        <v>27.741612271128947</v>
      </c>
      <c r="D65" s="68">
        <f ca="1"/>
        <v>28.679466339715297</v>
      </c>
      <c r="E65" s="76">
        <f ca="1"/>
        <v>12</v>
      </c>
      <c r="F65" s="28"/>
      <c r="G65" s="28"/>
    </row>
    <row r="66" spans="2:7" x14ac:dyDescent="0.45">
      <c r="B66" s="25" t="str">
        <f ca="1"/>
        <v>Постоянные затраты: котлован и сваи</v>
      </c>
      <c r="C66" s="68">
        <f ca="1"/>
        <v>27.862784378759471</v>
      </c>
      <c r="D66" s="68">
        <f ca="1"/>
        <v>28.491431640069948</v>
      </c>
      <c r="E66" s="76">
        <f ca="1"/>
        <v>13</v>
      </c>
      <c r="F66" s="28"/>
      <c r="G66" s="28"/>
    </row>
    <row r="69" spans="2:7" ht="22.05" customHeight="1" x14ac:dyDescent="0.5">
      <c r="B69" s="7" t="s">
        <v>280</v>
      </c>
      <c r="C69" s="8"/>
      <c r="D69" s="8"/>
      <c r="E69" s="8"/>
      <c r="F69" s="8"/>
      <c r="G69" s="8"/>
    </row>
    <row r="70" spans="2:7" ht="32" customHeight="1" x14ac:dyDescent="0.45">
      <c r="B70" s="83" t="s">
        <v>281</v>
      </c>
      <c r="C70" s="84"/>
      <c r="D70" s="84"/>
      <c r="E70" s="84"/>
      <c r="F70" s="84"/>
      <c r="G70" s="84"/>
    </row>
    <row r="71" spans="2:7" ht="32" customHeight="1" x14ac:dyDescent="0.45">
      <c r="B71" s="83" t="s">
        <v>282</v>
      </c>
      <c r="C71" s="84"/>
      <c r="D71" s="84"/>
      <c r="E71" s="84"/>
      <c r="F71" s="84"/>
      <c r="G71" s="84"/>
    </row>
    <row r="72" spans="2:7" ht="32" customHeight="1" x14ac:dyDescent="0.45">
      <c r="B72" s="83" t="s">
        <v>283</v>
      </c>
      <c r="C72" s="84"/>
      <c r="D72" s="84"/>
      <c r="E72" s="84"/>
      <c r="F72" s="84"/>
      <c r="G72" s="84"/>
    </row>
    <row r="73" spans="2:7" ht="32" customHeight="1" x14ac:dyDescent="0.45">
      <c r="B73" s="83" t="s">
        <v>284</v>
      </c>
      <c r="C73" s="84"/>
      <c r="D73" s="84"/>
      <c r="E73" s="84"/>
      <c r="F73" s="84"/>
      <c r="G73" s="84"/>
    </row>
    <row r="74" spans="2:7" ht="14" customHeight="1" x14ac:dyDescent="0.45"/>
    <row r="75" spans="2:7" ht="14" customHeight="1" x14ac:dyDescent="0.45"/>
    <row r="76" spans="2:7" ht="22.05" customHeight="1" x14ac:dyDescent="0.5">
      <c r="B76" s="7" t="s">
        <v>285</v>
      </c>
      <c r="C76" s="8"/>
      <c r="D76" s="8"/>
      <c r="E76" s="8"/>
      <c r="F76" s="8"/>
      <c r="G76" s="8"/>
    </row>
    <row r="77" spans="2:7" ht="18" customHeight="1" x14ac:dyDescent="0.45">
      <c r="B77" s="13" t="s">
        <v>286</v>
      </c>
    </row>
    <row r="78" spans="2:7" ht="28.05" hidden="1" customHeight="1" outlineLevel="1" x14ac:dyDescent="0.45">
      <c r="B78" s="24" t="s">
        <v>287</v>
      </c>
      <c r="C78" s="24" t="s">
        <v>288</v>
      </c>
      <c r="D78" s="24" t="s">
        <v>289</v>
      </c>
      <c r="E78" s="24" t="s">
        <v>215</v>
      </c>
      <c r="F78" s="5"/>
      <c r="G78" s="5"/>
    </row>
    <row r="79" spans="2:7" hidden="1" outlineLevel="1" x14ac:dyDescent="0.45">
      <c r="B79" s="77">
        <v>0.01</v>
      </c>
      <c r="C79" s="77">
        <f t="shared" ref="C79:C110" si="0">1-B79</f>
        <v>0.99</v>
      </c>
      <c r="D79" s="78" cm="1">
        <f t="array" aca="1" ref="D79" ca="1">IF(ISNUMBER(_xll.VoseSimPercentile(TotalCost,$B79)),_xll.VoseSimPercentile(TotalCost,$B79),NA())</f>
        <v>25.644540792087167</v>
      </c>
      <c r="E79" s="78" cm="1">
        <f t="array" aca="1" ref="E79" ca="1">IF(ISNUMBER(_xll.VoseSimPercentile(Finish,$B79)),_xll.VoseSimPercentile(Finish,$B79),NA())</f>
        <v>55.646696248197543</v>
      </c>
    </row>
    <row r="80" spans="2:7" hidden="1" outlineLevel="1" x14ac:dyDescent="0.45">
      <c r="B80" s="77">
        <v>0.03</v>
      </c>
      <c r="C80" s="77">
        <f t="shared" si="0"/>
        <v>0.97</v>
      </c>
      <c r="D80" s="78" cm="1">
        <f t="array" aca="1" ref="D80" ca="1">IF(ISNUMBER(_xll.VoseSimPercentile(TotalCost,$B80)),_xll.VoseSimPercentile(TotalCost,$B80),NA())</f>
        <v>26.053405628391168</v>
      </c>
      <c r="E80" s="78" cm="1">
        <f t="array" aca="1" ref="E80" ca="1">IF(ISNUMBER(_xll.VoseSimPercentile(Finish,$B80)),_xll.VoseSimPercentile(Finish,$B80),NA())</f>
        <v>57.73629041001854</v>
      </c>
    </row>
    <row r="81" spans="2:5" hidden="1" outlineLevel="1" x14ac:dyDescent="0.45">
      <c r="B81" s="77">
        <v>0.05</v>
      </c>
      <c r="C81" s="77">
        <f t="shared" si="0"/>
        <v>0.95</v>
      </c>
      <c r="D81" s="78" cm="1">
        <f t="array" aca="1" ref="D81" ca="1">IF(ISNUMBER(_xll.VoseSimPercentile(TotalCost,$B81)),_xll.VoseSimPercentile(TotalCost,$B81),NA())</f>
        <v>26.27636597369683</v>
      </c>
      <c r="E81" s="78" cm="1">
        <f t="array" aca="1" ref="E81" ca="1">IF(ISNUMBER(_xll.VoseSimPercentile(Finish,$B81)),_xll.VoseSimPercentile(Finish,$B81),NA())</f>
        <v>58.789345187142047</v>
      </c>
    </row>
    <row r="82" spans="2:5" hidden="1" outlineLevel="1" x14ac:dyDescent="0.45">
      <c r="B82" s="77">
        <v>7.0000000000000007E-2</v>
      </c>
      <c r="C82" s="77">
        <f t="shared" si="0"/>
        <v>0.92999999999999994</v>
      </c>
      <c r="D82" s="78" cm="1">
        <f t="array" aca="1" ref="D82" ca="1">IF(ISNUMBER(_xll.VoseSimPercentile(TotalCost,$B82)),_xll.VoseSimPercentile(TotalCost,$B82),NA())</f>
        <v>26.443134316687981</v>
      </c>
      <c r="E82" s="78" cm="1">
        <f t="array" aca="1" ref="E82" ca="1">IF(ISNUMBER(_xll.VoseSimPercentile(Finish,$B82)),_xll.VoseSimPercentile(Finish,$B82),NA())</f>
        <v>59.588604925086713</v>
      </c>
    </row>
    <row r="83" spans="2:5" hidden="1" outlineLevel="1" x14ac:dyDescent="0.45">
      <c r="B83" s="77">
        <v>0.09</v>
      </c>
      <c r="C83" s="77">
        <f t="shared" si="0"/>
        <v>0.91</v>
      </c>
      <c r="D83" s="78" cm="1">
        <f t="array" aca="1" ref="D83" ca="1">IF(ISNUMBER(_xll.VoseSimPercentile(TotalCost,$B83)),_xll.VoseSimPercentile(TotalCost,$B83),NA())</f>
        <v>26.571341296994099</v>
      </c>
      <c r="E83" s="78" cm="1">
        <f t="array" aca="1" ref="E83" ca="1">IF(ISNUMBER(_xll.VoseSimPercentile(Finish,$B83)),_xll.VoseSimPercentile(Finish,$B83),NA())</f>
        <v>60.244765032476643</v>
      </c>
    </row>
    <row r="84" spans="2:5" hidden="1" outlineLevel="1" x14ac:dyDescent="0.45">
      <c r="B84" s="77">
        <v>0.11</v>
      </c>
      <c r="C84" s="77">
        <f t="shared" si="0"/>
        <v>0.89</v>
      </c>
      <c r="D84" s="78" cm="1">
        <f t="array" aca="1" ref="D84" ca="1">IF(ISNUMBER(_xll.VoseSimPercentile(TotalCost,$B84)),_xll.VoseSimPercentile(TotalCost,$B84),NA())</f>
        <v>26.697638668172104</v>
      </c>
      <c r="E84" s="78" cm="1">
        <f t="array" aca="1" ref="E84" ca="1">IF(ISNUMBER(_xll.VoseSimPercentile(Finish,$B84)),_xll.VoseSimPercentile(Finish,$B84),NA())</f>
        <v>60.737100504962321</v>
      </c>
    </row>
    <row r="85" spans="2:5" hidden="1" outlineLevel="1" x14ac:dyDescent="0.45">
      <c r="B85" s="77">
        <v>0.13</v>
      </c>
      <c r="C85" s="77">
        <f t="shared" si="0"/>
        <v>0.87</v>
      </c>
      <c r="D85" s="78" cm="1">
        <f t="array" aca="1" ref="D85" ca="1">IF(ISNUMBER(_xll.VoseSimPercentile(TotalCost,$B85)),_xll.VoseSimPercentile(TotalCost,$B85),NA())</f>
        <v>26.797277418609823</v>
      </c>
      <c r="E85" s="78" cm="1">
        <f t="array" aca="1" ref="E85" ca="1">IF(ISNUMBER(_xll.VoseSimPercentile(Finish,$B85)),_xll.VoseSimPercentile(Finish,$B85),NA())</f>
        <v>61.188455296881308</v>
      </c>
    </row>
    <row r="86" spans="2:5" hidden="1" outlineLevel="1" x14ac:dyDescent="0.45">
      <c r="B86" s="77">
        <v>0.15</v>
      </c>
      <c r="C86" s="77">
        <f t="shared" si="0"/>
        <v>0.85</v>
      </c>
      <c r="D86" s="78" cm="1">
        <f t="array" aca="1" ref="D86" ca="1">IF(ISNUMBER(_xll.VoseSimPercentile(TotalCost,$B86)),_xll.VoseSimPercentile(TotalCost,$B86),NA())</f>
        <v>26.891821297119197</v>
      </c>
      <c r="E86" s="78" cm="1">
        <f t="array" aca="1" ref="E86" ca="1">IF(ISNUMBER(_xll.VoseSimPercentile(Finish,$B86)),_xll.VoseSimPercentile(Finish,$B86),NA())</f>
        <v>61.559478556257126</v>
      </c>
    </row>
    <row r="87" spans="2:5" hidden="1" outlineLevel="1" x14ac:dyDescent="0.45">
      <c r="B87" s="77">
        <v>0.17</v>
      </c>
      <c r="C87" s="77">
        <f t="shared" si="0"/>
        <v>0.83</v>
      </c>
      <c r="D87" s="78" cm="1">
        <f t="array" aca="1" ref="D87" ca="1">IF(ISNUMBER(_xll.VoseSimPercentile(TotalCost,$B87)),_xll.VoseSimPercentile(TotalCost,$B87),NA())</f>
        <v>26.977841786387906</v>
      </c>
      <c r="E87" s="78" cm="1">
        <f t="array" aca="1" ref="E87" ca="1">IF(ISNUMBER(_xll.VoseSimPercentile(Finish,$B87)),_xll.VoseSimPercentile(Finish,$B87),NA())</f>
        <v>61.960276492270879</v>
      </c>
    </row>
    <row r="88" spans="2:5" hidden="1" outlineLevel="1" x14ac:dyDescent="0.45">
      <c r="B88" s="77">
        <v>0.19</v>
      </c>
      <c r="C88" s="77">
        <f t="shared" si="0"/>
        <v>0.81</v>
      </c>
      <c r="D88" s="78" cm="1">
        <f t="array" aca="1" ref="D88" ca="1">IF(ISNUMBER(_xll.VoseSimPercentile(TotalCost,$B88)),_xll.VoseSimPercentile(TotalCost,$B88),NA())</f>
        <v>27.058084124856816</v>
      </c>
      <c r="E88" s="78" cm="1">
        <f t="array" aca="1" ref="E88" ca="1">IF(ISNUMBER(_xll.VoseSimPercentile(Finish,$B88)),_xll.VoseSimPercentile(Finish,$B88),NA())</f>
        <v>62.299618709731774</v>
      </c>
    </row>
    <row r="89" spans="2:5" hidden="1" outlineLevel="1" x14ac:dyDescent="0.45">
      <c r="B89" s="77">
        <v>0.21</v>
      </c>
      <c r="C89" s="77">
        <f t="shared" si="0"/>
        <v>0.79</v>
      </c>
      <c r="D89" s="78" cm="1">
        <f t="array" aca="1" ref="D89" ca="1">IF(ISNUMBER(_xll.VoseSimPercentile(TotalCost,$B89)),_xll.VoseSimPercentile(TotalCost,$B89),NA())</f>
        <v>27.138462917162386</v>
      </c>
      <c r="E89" s="78" cm="1">
        <f t="array" aca="1" ref="E89" ca="1">IF(ISNUMBER(_xll.VoseSimPercentile(Finish,$B89)),_xll.VoseSimPercentile(Finish,$B89),NA())</f>
        <v>62.657381797407695</v>
      </c>
    </row>
    <row r="90" spans="2:5" hidden="1" outlineLevel="1" x14ac:dyDescent="0.45">
      <c r="B90" s="77">
        <v>0.23</v>
      </c>
      <c r="C90" s="77">
        <f t="shared" si="0"/>
        <v>0.77</v>
      </c>
      <c r="D90" s="78" cm="1">
        <f t="array" aca="1" ref="D90" ca="1">IF(ISNUMBER(_xll.VoseSimPercentile(TotalCost,$B90)),_xll.VoseSimPercentile(TotalCost,$B90),NA())</f>
        <v>27.205657429288646</v>
      </c>
      <c r="E90" s="78" cm="1">
        <f t="array" aca="1" ref="E90" ca="1">IF(ISNUMBER(_xll.VoseSimPercentile(Finish,$B90)),_xll.VoseSimPercentile(Finish,$B90),NA())</f>
        <v>62.970182030979096</v>
      </c>
    </row>
    <row r="91" spans="2:5" hidden="1" outlineLevel="1" x14ac:dyDescent="0.45">
      <c r="B91" s="77">
        <v>0.25</v>
      </c>
      <c r="C91" s="77">
        <f t="shared" si="0"/>
        <v>0.75</v>
      </c>
      <c r="D91" s="78" cm="1">
        <f t="array" aca="1" ref="D91" ca="1">IF(ISNUMBER(_xll.VoseSimPercentile(TotalCost,$B91)),_xll.VoseSimPercentile(TotalCost,$B91),NA())</f>
        <v>27.278457195869628</v>
      </c>
      <c r="E91" s="78" cm="1">
        <f t="array" aca="1" ref="E91" ca="1">IF(ISNUMBER(_xll.VoseSimPercentile(Finish,$B91)),_xll.VoseSimPercentile(Finish,$B91),NA())</f>
        <v>63.295389109807211</v>
      </c>
    </row>
    <row r="92" spans="2:5" hidden="1" outlineLevel="1" x14ac:dyDescent="0.45">
      <c r="B92" s="77">
        <v>0.27</v>
      </c>
      <c r="C92" s="77">
        <f t="shared" si="0"/>
        <v>0.73</v>
      </c>
      <c r="D92" s="78" cm="1">
        <f t="array" aca="1" ref="D92" ca="1">IF(ISNUMBER(_xll.VoseSimPercentile(TotalCost,$B92)),_xll.VoseSimPercentile(TotalCost,$B92),NA())</f>
        <v>27.351833909066148</v>
      </c>
      <c r="E92" s="78" cm="1">
        <f t="array" aca="1" ref="E92" ca="1">IF(ISNUMBER(_xll.VoseSimPercentile(Finish,$B92)),_xll.VoseSimPercentile(Finish,$B92),NA())</f>
        <v>63.60990651379069</v>
      </c>
    </row>
    <row r="93" spans="2:5" hidden="1" outlineLevel="1" x14ac:dyDescent="0.45">
      <c r="B93" s="77">
        <v>0.28999999999999998</v>
      </c>
      <c r="C93" s="77">
        <f t="shared" si="0"/>
        <v>0.71</v>
      </c>
      <c r="D93" s="78" cm="1">
        <f t="array" aca="1" ref="D93" ca="1">IF(ISNUMBER(_xll.VoseSimPercentile(TotalCost,$B93)),_xll.VoseSimPercentile(TotalCost,$B93),NA())</f>
        <v>27.422748237904685</v>
      </c>
      <c r="E93" s="78" cm="1">
        <f t="array" aca="1" ref="E93" ca="1">IF(ISNUMBER(_xll.VoseSimPercentile(Finish,$B93)),_xll.VoseSimPercentile(Finish,$B93),NA())</f>
        <v>63.919136206597599</v>
      </c>
    </row>
    <row r="94" spans="2:5" hidden="1" outlineLevel="1" x14ac:dyDescent="0.45">
      <c r="B94" s="77">
        <v>0.31</v>
      </c>
      <c r="C94" s="77">
        <f t="shared" si="0"/>
        <v>0.69</v>
      </c>
      <c r="D94" s="78" cm="1">
        <f t="array" aca="1" ref="D94" ca="1">IF(ISNUMBER(_xll.VoseSimPercentile(TotalCost,$B94)),_xll.VoseSimPercentile(TotalCost,$B94),NA())</f>
        <v>27.498465843888628</v>
      </c>
      <c r="E94" s="78" cm="1">
        <f t="array" aca="1" ref="E94" ca="1">IF(ISNUMBER(_xll.VoseSimPercentile(Finish,$B94)),_xll.VoseSimPercentile(Finish,$B94),NA())</f>
        <v>64.163386319101988</v>
      </c>
    </row>
    <row r="95" spans="2:5" hidden="1" outlineLevel="1" x14ac:dyDescent="0.45">
      <c r="B95" s="77">
        <v>0.33</v>
      </c>
      <c r="C95" s="77">
        <f t="shared" si="0"/>
        <v>0.66999999999999993</v>
      </c>
      <c r="D95" s="78" cm="1">
        <f t="array" aca="1" ref="D95" ca="1">IF(ISNUMBER(_xll.VoseSimPercentile(TotalCost,$B95)),_xll.VoseSimPercentile(TotalCost,$B95),NA())</f>
        <v>27.560846054292014</v>
      </c>
      <c r="E95" s="78" cm="1">
        <f t="array" aca="1" ref="E95" ca="1">IF(ISNUMBER(_xll.VoseSimPercentile(Finish,$B95)),_xll.VoseSimPercentile(Finish,$B95),NA())</f>
        <v>64.419886377477113</v>
      </c>
    </row>
    <row r="96" spans="2:5" hidden="1" outlineLevel="1" x14ac:dyDescent="0.45">
      <c r="B96" s="77">
        <v>0.35</v>
      </c>
      <c r="C96" s="77">
        <f t="shared" si="0"/>
        <v>0.65</v>
      </c>
      <c r="D96" s="78" cm="1">
        <f t="array" aca="1" ref="D96" ca="1">IF(ISNUMBER(_xll.VoseSimPercentile(TotalCost,$B96)),_xll.VoseSimPercentile(TotalCost,$B96),NA())</f>
        <v>27.616062924498301</v>
      </c>
      <c r="E96" s="78" cm="1">
        <f t="array" aca="1" ref="E96" ca="1">IF(ISNUMBER(_xll.VoseSimPercentile(Finish,$B96)),_xll.VoseSimPercentile(Finish,$B96),NA())</f>
        <v>64.706074656266154</v>
      </c>
    </row>
    <row r="97" spans="2:5" hidden="1" outlineLevel="1" x14ac:dyDescent="0.45">
      <c r="B97" s="77">
        <v>0.37</v>
      </c>
      <c r="C97" s="77">
        <f t="shared" si="0"/>
        <v>0.63</v>
      </c>
      <c r="D97" s="78" cm="1">
        <f t="array" aca="1" ref="D97" ca="1">IF(ISNUMBER(_xll.VoseSimPercentile(TotalCost,$B97)),_xll.VoseSimPercentile(TotalCost,$B97),NA())</f>
        <v>27.679917575321046</v>
      </c>
      <c r="E97" s="78" cm="1">
        <f t="array" aca="1" ref="E97" ca="1">IF(ISNUMBER(_xll.VoseSimPercentile(Finish,$B97)),_xll.VoseSimPercentile(Finish,$B97),NA())</f>
        <v>64.976473990324664</v>
      </c>
    </row>
    <row r="98" spans="2:5" hidden="1" outlineLevel="1" x14ac:dyDescent="0.45">
      <c r="B98" s="77">
        <v>0.39</v>
      </c>
      <c r="C98" s="77">
        <f t="shared" si="0"/>
        <v>0.61</v>
      </c>
      <c r="D98" s="78" cm="1">
        <f t="array" aca="1" ref="D98" ca="1">IF(ISNUMBER(_xll.VoseSimPercentile(TotalCost,$B98)),_xll.VoseSimPercentile(TotalCost,$B98),NA())</f>
        <v>27.74017376600349</v>
      </c>
      <c r="E98" s="78" cm="1">
        <f t="array" aca="1" ref="E98" ca="1">IF(ISNUMBER(_xll.VoseSimPercentile(Finish,$B98)),_xll.VoseSimPercentile(Finish,$B98),NA())</f>
        <v>65.2658324665734</v>
      </c>
    </row>
    <row r="99" spans="2:5" hidden="1" outlineLevel="1" x14ac:dyDescent="0.45">
      <c r="B99" s="77">
        <v>0.41</v>
      </c>
      <c r="C99" s="77">
        <f t="shared" si="0"/>
        <v>0.59000000000000008</v>
      </c>
      <c r="D99" s="78" cm="1">
        <f t="array" aca="1" ref="D99" ca="1">IF(ISNUMBER(_xll.VoseSimPercentile(TotalCost,$B99)),_xll.VoseSimPercentile(TotalCost,$B99),NA())</f>
        <v>27.797185259299805</v>
      </c>
      <c r="E99" s="78" cm="1">
        <f t="array" aca="1" ref="E99" ca="1">IF(ISNUMBER(_xll.VoseSimPercentile(Finish,$B99)),_xll.VoseSimPercentile(Finish,$B99),NA())</f>
        <v>65.580498627482143</v>
      </c>
    </row>
    <row r="100" spans="2:5" hidden="1" outlineLevel="1" x14ac:dyDescent="0.45">
      <c r="B100" s="77">
        <v>0.43</v>
      </c>
      <c r="C100" s="77">
        <f t="shared" si="0"/>
        <v>0.57000000000000006</v>
      </c>
      <c r="D100" s="78" cm="1">
        <f t="array" aca="1" ref="D100" ca="1">IF(ISNUMBER(_xll.VoseSimPercentile(TotalCost,$B100)),_xll.VoseSimPercentile(TotalCost,$B100),NA())</f>
        <v>27.859725762729404</v>
      </c>
      <c r="E100" s="78" cm="1">
        <f t="array" aca="1" ref="E100" ca="1">IF(ISNUMBER(_xll.VoseSimPercentile(Finish,$B100)),_xll.VoseSimPercentile(Finish,$B100),NA())</f>
        <v>65.864570557278867</v>
      </c>
    </row>
    <row r="101" spans="2:5" hidden="1" outlineLevel="1" x14ac:dyDescent="0.45">
      <c r="B101" s="77">
        <v>0.45</v>
      </c>
      <c r="C101" s="77">
        <f t="shared" si="0"/>
        <v>0.55000000000000004</v>
      </c>
      <c r="D101" s="78" cm="1">
        <f t="array" aca="1" ref="D101" ca="1">IF(ISNUMBER(_xll.VoseSimPercentile(TotalCost,$B101)),_xll.VoseSimPercentile(TotalCost,$B101),NA())</f>
        <v>27.91901351918052</v>
      </c>
      <c r="E101" s="78" cm="1">
        <f t="array" aca="1" ref="E101" ca="1">IF(ISNUMBER(_xll.VoseSimPercentile(Finish,$B101)),_xll.VoseSimPercentile(Finish,$B101),NA())</f>
        <v>66.120551603356702</v>
      </c>
    </row>
    <row r="102" spans="2:5" hidden="1" outlineLevel="1" x14ac:dyDescent="0.45">
      <c r="B102" s="77">
        <v>0.47</v>
      </c>
      <c r="C102" s="77">
        <f t="shared" si="0"/>
        <v>0.53</v>
      </c>
      <c r="D102" s="78" cm="1">
        <f t="array" aca="1" ref="D102" ca="1">IF(ISNUMBER(_xll.VoseSimPercentile(TotalCost,$B102)),_xll.VoseSimPercentile(TotalCost,$B102),NA())</f>
        <v>27.973971805702906</v>
      </c>
      <c r="E102" s="78" cm="1">
        <f t="array" aca="1" ref="E102" ca="1">IF(ISNUMBER(_xll.VoseSimPercentile(Finish,$B102)),_xll.VoseSimPercentile(Finish,$B102),NA())</f>
        <v>66.369786196550081</v>
      </c>
    </row>
    <row r="103" spans="2:5" hidden="1" outlineLevel="1" x14ac:dyDescent="0.45">
      <c r="B103" s="77">
        <v>0.49</v>
      </c>
      <c r="C103" s="77">
        <f t="shared" si="0"/>
        <v>0.51</v>
      </c>
      <c r="D103" s="78" cm="1">
        <f t="array" aca="1" ref="D103" ca="1">IF(ISNUMBER(_xll.VoseSimPercentile(TotalCost,$B103)),_xll.VoseSimPercentile(TotalCost,$B103),NA())</f>
        <v>28.039421395767825</v>
      </c>
      <c r="E103" s="78" cm="1">
        <f t="array" aca="1" ref="E103" ca="1">IF(ISNUMBER(_xll.VoseSimPercentile(Finish,$B103)),_xll.VoseSimPercentile(Finish,$B103),NA())</f>
        <v>66.612715354644223</v>
      </c>
    </row>
    <row r="104" spans="2:5" hidden="1" outlineLevel="1" x14ac:dyDescent="0.45">
      <c r="B104" s="77">
        <v>0.51</v>
      </c>
      <c r="C104" s="77">
        <f t="shared" si="0"/>
        <v>0.49</v>
      </c>
      <c r="D104" s="78" cm="1">
        <f t="array" aca="1" ref="D104" ca="1">IF(ISNUMBER(_xll.VoseSimPercentile(TotalCost,$B104)),_xll.VoseSimPercentile(TotalCost,$B104),NA())</f>
        <v>28.102562820862023</v>
      </c>
      <c r="E104" s="78" cm="1">
        <f t="array" aca="1" ref="E104" ca="1">IF(ISNUMBER(_xll.VoseSimPercentile(Finish,$B104)),_xll.VoseSimPercentile(Finish,$B104),NA())</f>
        <v>66.880480246994424</v>
      </c>
    </row>
    <row r="105" spans="2:5" hidden="1" outlineLevel="1" x14ac:dyDescent="0.45">
      <c r="B105" s="77">
        <v>0.53</v>
      </c>
      <c r="C105" s="77">
        <f t="shared" si="0"/>
        <v>0.47</v>
      </c>
      <c r="D105" s="78" cm="1">
        <f t="array" aca="1" ref="D105" ca="1">IF(ISNUMBER(_xll.VoseSimPercentile(TotalCost,$B105)),_xll.VoseSimPercentile(TotalCost,$B105),NA())</f>
        <v>28.163969225613307</v>
      </c>
      <c r="E105" s="78" cm="1">
        <f t="array" aca="1" ref="E105" ca="1">IF(ISNUMBER(_xll.VoseSimPercentile(Finish,$B105)),_xll.VoseSimPercentile(Finish,$B105),NA())</f>
        <v>67.142931395617794</v>
      </c>
    </row>
    <row r="106" spans="2:5" hidden="1" outlineLevel="1" x14ac:dyDescent="0.45">
      <c r="B106" s="77">
        <v>0.55000000000000004</v>
      </c>
      <c r="C106" s="77">
        <f t="shared" si="0"/>
        <v>0.44999999999999996</v>
      </c>
      <c r="D106" s="78" cm="1">
        <f t="array" aca="1" ref="D106" ca="1">IF(ISNUMBER(_xll.VoseSimPercentile(TotalCost,$B106)),_xll.VoseSimPercentile(TotalCost,$B106),NA())</f>
        <v>28.223582836549983</v>
      </c>
      <c r="E106" s="78" cm="1">
        <f t="array" aca="1" ref="E106" ca="1">IF(ISNUMBER(_xll.VoseSimPercentile(Finish,$B106)),_xll.VoseSimPercentile(Finish,$B106),NA())</f>
        <v>67.406867471010727</v>
      </c>
    </row>
    <row r="107" spans="2:5" hidden="1" outlineLevel="1" x14ac:dyDescent="0.45">
      <c r="B107" s="77">
        <v>0.56999999999999995</v>
      </c>
      <c r="C107" s="77">
        <f t="shared" si="0"/>
        <v>0.43000000000000005</v>
      </c>
      <c r="D107" s="78" cm="1">
        <f t="array" aca="1" ref="D107" ca="1">IF(ISNUMBER(_xll.VoseSimPercentile(TotalCost,$B107)),_xll.VoseSimPercentile(TotalCost,$B107),NA())</f>
        <v>28.291999626826289</v>
      </c>
      <c r="E107" s="78" cm="1">
        <f t="array" aca="1" ref="E107" ca="1">IF(ISNUMBER(_xll.VoseSimPercentile(Finish,$B107)),_xll.VoseSimPercentile(Finish,$B107),NA())</f>
        <v>67.682322056981107</v>
      </c>
    </row>
    <row r="108" spans="2:5" hidden="1" outlineLevel="1" x14ac:dyDescent="0.45">
      <c r="B108" s="77">
        <v>0.59</v>
      </c>
      <c r="C108" s="77">
        <f t="shared" si="0"/>
        <v>0.41000000000000003</v>
      </c>
      <c r="D108" s="78" cm="1">
        <f t="array" aca="1" ref="D108" ca="1">IF(ISNUMBER(_xll.VoseSimPercentile(TotalCost,$B108)),_xll.VoseSimPercentile(TotalCost,$B108),NA())</f>
        <v>28.360694925461555</v>
      </c>
      <c r="E108" s="78" cm="1">
        <f t="array" aca="1" ref="E108" ca="1">IF(ISNUMBER(_xll.VoseSimPercentile(Finish,$B108)),_xll.VoseSimPercentile(Finish,$B108),NA())</f>
        <v>67.954062174060809</v>
      </c>
    </row>
    <row r="109" spans="2:5" hidden="1" outlineLevel="1" x14ac:dyDescent="0.45">
      <c r="B109" s="77">
        <v>0.61</v>
      </c>
      <c r="C109" s="77">
        <f t="shared" si="0"/>
        <v>0.39</v>
      </c>
      <c r="D109" s="78" cm="1">
        <f t="array" aca="1" ref="D109" ca="1">IF(ISNUMBER(_xll.VoseSimPercentile(TotalCost,$B109)),_xll.VoseSimPercentile(TotalCost,$B109),NA())</f>
        <v>28.423870902332542</v>
      </c>
      <c r="E109" s="78" cm="1">
        <f t="array" aca="1" ref="E109" ca="1">IF(ISNUMBER(_xll.VoseSimPercentile(Finish,$B109)),_xll.VoseSimPercentile(Finish,$B109),NA())</f>
        <v>68.217474140137583</v>
      </c>
    </row>
    <row r="110" spans="2:5" hidden="1" outlineLevel="1" x14ac:dyDescent="0.45">
      <c r="B110" s="77">
        <v>0.63</v>
      </c>
      <c r="C110" s="77">
        <f t="shared" si="0"/>
        <v>0.37</v>
      </c>
      <c r="D110" s="78" cm="1">
        <f t="array" aca="1" ref="D110" ca="1">IF(ISNUMBER(_xll.VoseSimPercentile(TotalCost,$B110)),_xll.VoseSimPercentile(TotalCost,$B110),NA())</f>
        <v>28.498620759030249</v>
      </c>
      <c r="E110" s="78" cm="1">
        <f t="array" aca="1" ref="E110" ca="1">IF(ISNUMBER(_xll.VoseSimPercentile(Finish,$B110)),_xll.VoseSimPercentile(Finish,$B110),NA())</f>
        <v>68.483760642991783</v>
      </c>
    </row>
    <row r="111" spans="2:5" hidden="1" outlineLevel="1" x14ac:dyDescent="0.45">
      <c r="B111" s="77">
        <v>0.65</v>
      </c>
      <c r="C111" s="77">
        <f t="shared" ref="C111:C142" si="1">1-B111</f>
        <v>0.35</v>
      </c>
      <c r="D111" s="78" cm="1">
        <f t="array" aca="1" ref="D111" ca="1">IF(ISNUMBER(_xll.VoseSimPercentile(TotalCost,$B111)),_xll.VoseSimPercentile(TotalCost,$B111),NA())</f>
        <v>28.565032223674386</v>
      </c>
      <c r="E111" s="78" cm="1">
        <f t="array" aca="1" ref="E111" ca="1">IF(ISNUMBER(_xll.VoseSimPercentile(Finish,$B111)),_xll.VoseSimPercentile(Finish,$B111),NA())</f>
        <v>68.762553934396635</v>
      </c>
    </row>
    <row r="112" spans="2:5" hidden="1" outlineLevel="1" x14ac:dyDescent="0.45">
      <c r="B112" s="77">
        <v>0.67</v>
      </c>
      <c r="C112" s="77">
        <f t="shared" si="1"/>
        <v>0.32999999999999996</v>
      </c>
      <c r="D112" s="78" cm="1">
        <f t="array" aca="1" ref="D112" ca="1">IF(ISNUMBER(_xll.VoseSimPercentile(TotalCost,$B112)),_xll.VoseSimPercentile(TotalCost,$B112),NA())</f>
        <v>28.630980294338215</v>
      </c>
      <c r="E112" s="78" cm="1">
        <f t="array" aca="1" ref="E112" ca="1">IF(ISNUMBER(_xll.VoseSimPercentile(Finish,$B112)),_xll.VoseSimPercentile(Finish,$B112),NA())</f>
        <v>69.050540488021923</v>
      </c>
    </row>
    <row r="113" spans="2:5" hidden="1" outlineLevel="1" x14ac:dyDescent="0.45">
      <c r="B113" s="77">
        <v>0.69</v>
      </c>
      <c r="C113" s="77">
        <f t="shared" si="1"/>
        <v>0.31000000000000005</v>
      </c>
      <c r="D113" s="78" cm="1">
        <f t="array" aca="1" ref="D113" ca="1">IF(ISNUMBER(_xll.VoseSimPercentile(TotalCost,$B113)),_xll.VoseSimPercentile(TotalCost,$B113),NA())</f>
        <v>28.702110183250191</v>
      </c>
      <c r="E113" s="78" cm="1">
        <f t="array" aca="1" ref="E113" ca="1">IF(ISNUMBER(_xll.VoseSimPercentile(Finish,$B113)),_xll.VoseSimPercentile(Finish,$B113),NA())</f>
        <v>69.365712243203106</v>
      </c>
    </row>
    <row r="114" spans="2:5" hidden="1" outlineLevel="1" x14ac:dyDescent="0.45">
      <c r="B114" s="77">
        <v>0.71</v>
      </c>
      <c r="C114" s="77">
        <f t="shared" si="1"/>
        <v>0.29000000000000004</v>
      </c>
      <c r="D114" s="78" cm="1">
        <f t="array" aca="1" ref="D114" ca="1">IF(ISNUMBER(_xll.VoseSimPercentile(TotalCost,$B114)),_xll.VoseSimPercentile(TotalCost,$B114),NA())</f>
        <v>28.775205076561505</v>
      </c>
      <c r="E114" s="78" cm="1">
        <f t="array" aca="1" ref="E114" ca="1">IF(ISNUMBER(_xll.VoseSimPercentile(Finish,$B114)),_xll.VoseSimPercentile(Finish,$B114),NA())</f>
        <v>69.688923335947067</v>
      </c>
    </row>
    <row r="115" spans="2:5" hidden="1" outlineLevel="1" x14ac:dyDescent="0.45">
      <c r="B115" s="77">
        <v>0.73</v>
      </c>
      <c r="C115" s="77">
        <f t="shared" si="1"/>
        <v>0.27</v>
      </c>
      <c r="D115" s="78" cm="1">
        <f t="array" aca="1" ref="D115" ca="1">IF(ISNUMBER(_xll.VoseSimPercentile(TotalCost,$B115)),_xll.VoseSimPercentile(TotalCost,$B115),NA())</f>
        <v>28.855020512503859</v>
      </c>
      <c r="E115" s="78" cm="1">
        <f t="array" aca="1" ref="E115" ca="1">IF(ISNUMBER(_xll.VoseSimPercentile(Finish,$B115)),_xll.VoseSimPercentile(Finish,$B115),NA())</f>
        <v>70.035233573580157</v>
      </c>
    </row>
    <row r="116" spans="2:5" hidden="1" outlineLevel="1" x14ac:dyDescent="0.45">
      <c r="B116" s="77">
        <v>0.75</v>
      </c>
      <c r="C116" s="77">
        <f t="shared" si="1"/>
        <v>0.25</v>
      </c>
      <c r="D116" s="78" cm="1">
        <f t="array" aca="1" ref="D116" ca="1">IF(ISNUMBER(_xll.VoseSimPercentile(TotalCost,$B116)),_xll.VoseSimPercentile(TotalCost,$B116),NA())</f>
        <v>28.940874302443031</v>
      </c>
      <c r="E116" s="78" cm="1">
        <f t="array" aca="1" ref="E116" ca="1">IF(ISNUMBER(_xll.VoseSimPercentile(Finish,$B116)),_xll.VoseSimPercentile(Finish,$B116),NA())</f>
        <v>70.377256035522862</v>
      </c>
    </row>
    <row r="117" spans="2:5" hidden="1" outlineLevel="1" x14ac:dyDescent="0.45">
      <c r="B117" s="77">
        <v>0.77</v>
      </c>
      <c r="C117" s="77">
        <f t="shared" si="1"/>
        <v>0.22999999999999998</v>
      </c>
      <c r="D117" s="78" cm="1">
        <f t="array" aca="1" ref="D117" ca="1">IF(ISNUMBER(_xll.VoseSimPercentile(TotalCost,$B117)),_xll.VoseSimPercentile(TotalCost,$B117),NA())</f>
        <v>29.016757533725148</v>
      </c>
      <c r="E117" s="78" cm="1">
        <f t="array" aca="1" ref="E117" ca="1">IF(ISNUMBER(_xll.VoseSimPercentile(Finish,$B117)),_xll.VoseSimPercentile(Finish,$B117),NA())</f>
        <v>70.797677424009919</v>
      </c>
    </row>
    <row r="118" spans="2:5" hidden="1" outlineLevel="1" x14ac:dyDescent="0.45">
      <c r="B118" s="77">
        <v>0.79</v>
      </c>
      <c r="C118" s="77">
        <f t="shared" si="1"/>
        <v>0.20999999999999996</v>
      </c>
      <c r="D118" s="78" cm="1">
        <f t="array" aca="1" ref="D118" ca="1">IF(ISNUMBER(_xll.VoseSimPercentile(TotalCost,$B118)),_xll.VoseSimPercentile(TotalCost,$B118),NA())</f>
        <v>29.109127660975922</v>
      </c>
      <c r="E118" s="78" cm="1">
        <f t="array" aca="1" ref="E118" ca="1">IF(ISNUMBER(_xll.VoseSimPercentile(Finish,$B118)),_xll.VoseSimPercentile(Finish,$B118),NA())</f>
        <v>71.193593436145122</v>
      </c>
    </row>
    <row r="119" spans="2:5" hidden="1" outlineLevel="1" x14ac:dyDescent="0.45">
      <c r="B119" s="77">
        <v>0.81</v>
      </c>
      <c r="C119" s="77">
        <f t="shared" si="1"/>
        <v>0.18999999999999995</v>
      </c>
      <c r="D119" s="78" cm="1">
        <f t="array" aca="1" ref="D119" ca="1">IF(ISNUMBER(_xll.VoseSimPercentile(TotalCost,$B119)),_xll.VoseSimPercentile(TotalCost,$B119),NA())</f>
        <v>29.21977652442196</v>
      </c>
      <c r="E119" s="78" cm="1">
        <f t="array" aca="1" ref="E119" ca="1">IF(ISNUMBER(_xll.VoseSimPercentile(Finish,$B119)),_xll.VoseSimPercentile(Finish,$B119),NA())</f>
        <v>71.638743882488171</v>
      </c>
    </row>
    <row r="120" spans="2:5" hidden="1" outlineLevel="1" x14ac:dyDescent="0.45">
      <c r="B120" s="77">
        <v>0.83</v>
      </c>
      <c r="C120" s="77">
        <f t="shared" si="1"/>
        <v>0.17000000000000004</v>
      </c>
      <c r="D120" s="78" cm="1">
        <f t="array" aca="1" ref="D120" ca="1">IF(ISNUMBER(_xll.VoseSimPercentile(TotalCost,$B120)),_xll.VoseSimPercentile(TotalCost,$B120),NA())</f>
        <v>29.329271690284287</v>
      </c>
      <c r="E120" s="78" cm="1">
        <f t="array" aca="1" ref="E120" ca="1">IF(ISNUMBER(_xll.VoseSimPercentile(Finish,$B120)),_xll.VoseSimPercentile(Finish,$B120),NA())</f>
        <v>72.06052380197255</v>
      </c>
    </row>
    <row r="121" spans="2:5" hidden="1" outlineLevel="1" x14ac:dyDescent="0.45">
      <c r="B121" s="77">
        <v>0.85</v>
      </c>
      <c r="C121" s="77">
        <f t="shared" si="1"/>
        <v>0.15000000000000002</v>
      </c>
      <c r="D121" s="78" cm="1">
        <f t="array" aca="1" ref="D121" ca="1">IF(ISNUMBER(_xll.VoseSimPercentile(TotalCost,$B121)),_xll.VoseSimPercentile(TotalCost,$B121),NA())</f>
        <v>29.442969462146216</v>
      </c>
      <c r="E121" s="78" cm="1">
        <f t="array" aca="1" ref="E121" ca="1">IF(ISNUMBER(_xll.VoseSimPercentile(Finish,$B121)),_xll.VoseSimPercentile(Finish,$B121),NA())</f>
        <v>72.481363897871887</v>
      </c>
    </row>
    <row r="122" spans="2:5" hidden="1" outlineLevel="1" x14ac:dyDescent="0.45">
      <c r="B122" s="77">
        <v>0.87</v>
      </c>
      <c r="C122" s="77">
        <f t="shared" si="1"/>
        <v>0.13</v>
      </c>
      <c r="D122" s="78" cm="1">
        <f t="array" aca="1" ref="D122" ca="1">IF(ISNUMBER(_xll.VoseSimPercentile(TotalCost,$B122)),_xll.VoseSimPercentile(TotalCost,$B122),NA())</f>
        <v>29.571426019440764</v>
      </c>
      <c r="E122" s="78" cm="1">
        <f t="array" aca="1" ref="E122" ca="1">IF(ISNUMBER(_xll.VoseSimPercentile(Finish,$B122)),_xll.VoseSimPercentile(Finish,$B122),NA())</f>
        <v>73.000244678981602</v>
      </c>
    </row>
    <row r="123" spans="2:5" hidden="1" outlineLevel="1" x14ac:dyDescent="0.45">
      <c r="B123" s="77">
        <v>0.89</v>
      </c>
      <c r="C123" s="77">
        <f t="shared" si="1"/>
        <v>0.10999999999999999</v>
      </c>
      <c r="D123" s="78" cm="1">
        <f t="array" aca="1" ref="D123" ca="1">IF(ISNUMBER(_xll.VoseSimPercentile(TotalCost,$B123)),_xll.VoseSimPercentile(TotalCost,$B123),NA())</f>
        <v>29.696881861738706</v>
      </c>
      <c r="E123" s="78" cm="1">
        <f t="array" aca="1" ref="E123" ca="1">IF(ISNUMBER(_xll.VoseSimPercentile(Finish,$B123)),_xll.VoseSimPercentile(Finish,$B123),NA())</f>
        <v>73.545353315266766</v>
      </c>
    </row>
    <row r="124" spans="2:5" hidden="1" outlineLevel="1" x14ac:dyDescent="0.45">
      <c r="B124" s="77">
        <v>0.91</v>
      </c>
      <c r="C124" s="77">
        <f t="shared" si="1"/>
        <v>8.9999999999999969E-2</v>
      </c>
      <c r="D124" s="78" cm="1">
        <f t="array" aca="1" ref="D124" ca="1">IF(ISNUMBER(_xll.VoseSimPercentile(TotalCost,$B124)),_xll.VoseSimPercentile(TotalCost,$B124),NA())</f>
        <v>29.867565064478129</v>
      </c>
      <c r="E124" s="78" cm="1">
        <f t="array" aca="1" ref="E124" ca="1">IF(ISNUMBER(_xll.VoseSimPercentile(Finish,$B124)),_xll.VoseSimPercentile(Finish,$B124),NA())</f>
        <v>74.176333364070231</v>
      </c>
    </row>
    <row r="125" spans="2:5" hidden="1" outlineLevel="1" x14ac:dyDescent="0.45">
      <c r="B125" s="77">
        <v>0.93</v>
      </c>
      <c r="C125" s="77">
        <f t="shared" si="1"/>
        <v>6.9999999999999951E-2</v>
      </c>
      <c r="D125" s="78" cm="1">
        <f t="array" aca="1" ref="D125" ca="1">IF(ISNUMBER(_xll.VoseSimPercentile(TotalCost,$B125)),_xll.VoseSimPercentile(TotalCost,$B125),NA())</f>
        <v>30.046379023071829</v>
      </c>
      <c r="E125" s="78" cm="1">
        <f t="array" aca="1" ref="E125" ca="1">IF(ISNUMBER(_xll.VoseSimPercentile(Finish,$B125)),_xll.VoseSimPercentile(Finish,$B125),NA())</f>
        <v>74.998429236327141</v>
      </c>
    </row>
    <row r="126" spans="2:5" hidden="1" outlineLevel="1" x14ac:dyDescent="0.45">
      <c r="B126" s="77">
        <v>0.95</v>
      </c>
      <c r="C126" s="77">
        <f t="shared" si="1"/>
        <v>5.0000000000000044E-2</v>
      </c>
      <c r="D126" s="78" cm="1">
        <f t="array" aca="1" ref="D126" ca="1">IF(ISNUMBER(_xll.VoseSimPercentile(TotalCost,$B126)),_xll.VoseSimPercentile(TotalCost,$B126),NA())</f>
        <v>30.263491484862371</v>
      </c>
      <c r="E126" s="78" cm="1">
        <f t="array" aca="1" ref="E126" ca="1">IF(ISNUMBER(_xll.VoseSimPercentile(Finish,$B126)),_xll.VoseSimPercentile(Finish,$B126),NA())</f>
        <v>76.121850356394106</v>
      </c>
    </row>
    <row r="127" spans="2:5" hidden="1" outlineLevel="1" x14ac:dyDescent="0.45">
      <c r="B127" s="77">
        <v>0.97</v>
      </c>
      <c r="C127" s="77">
        <f t="shared" si="1"/>
        <v>3.0000000000000027E-2</v>
      </c>
      <c r="D127" s="78" cm="1">
        <f t="array" aca="1" ref="D127" ca="1">IF(ISNUMBER(_xll.VoseSimPercentile(TotalCost,$B127)),_xll.VoseSimPercentile(TotalCost,$B127),NA())</f>
        <v>30.611635287342146</v>
      </c>
      <c r="E127" s="78" cm="1">
        <f t="array" aca="1" ref="E127" ca="1">IF(ISNUMBER(_xll.VoseSimPercentile(Finish,$B127)),_xll.VoseSimPercentile(Finish,$B127),NA())</f>
        <v>77.512896115059618</v>
      </c>
    </row>
    <row r="128" spans="2:5" hidden="1" outlineLevel="1" x14ac:dyDescent="0.45">
      <c r="B128" s="77">
        <v>0.99</v>
      </c>
      <c r="C128" s="77">
        <f t="shared" si="1"/>
        <v>1.0000000000000009E-2</v>
      </c>
      <c r="D128" s="78" cm="1">
        <f t="array" aca="1" ref="D128" ca="1">IF(ISNUMBER(_xll.VoseSimPercentile(TotalCost,$B128)),_xll.VoseSimPercentile(TotalCost,$B128),NA())</f>
        <v>31.243349609619067</v>
      </c>
      <c r="E128" s="78" cm="1">
        <f t="array" aca="1" ref="E128" ca="1">IF(ISNUMBER(_xll.VoseSimPercentile(Finish,$B128)),_xll.VoseSimPercentile(Finish,$B128),NA())</f>
        <v>80.293931251616002</v>
      </c>
    </row>
    <row r="129" spans="2:7" hidden="1" outlineLevel="1" x14ac:dyDescent="0.45"/>
    <row r="130" spans="2:7" hidden="1" outlineLevel="1" x14ac:dyDescent="0.45">
      <c r="B130" s="79" t="s">
        <v>290</v>
      </c>
      <c r="D130" s="80" cm="1">
        <f t="array" aca="1" ref="D130" ca="1">_xll.VoseSimMean(TotalCost)</f>
        <v>28.150592989288793</v>
      </c>
    </row>
    <row r="131" spans="2:7" ht="18" hidden="1" customHeight="1" outlineLevel="1" x14ac:dyDescent="0.45">
      <c r="B131" s="23" t="s">
        <v>291</v>
      </c>
      <c r="C131" s="5"/>
      <c r="D131" s="5"/>
      <c r="E131" s="5"/>
      <c r="F131" s="24" t="s">
        <v>292</v>
      </c>
      <c r="G131" s="24" t="s">
        <v>293</v>
      </c>
    </row>
    <row r="132" spans="2:7" hidden="1" outlineLevel="1" x14ac:dyDescent="0.45">
      <c r="B132" s="81" t="str">
        <f t="shared" ref="B132:B144" ca="1" si="2">B54</f>
        <v>Коэффициент производительности на площадке</v>
      </c>
      <c r="F132" s="82">
        <f t="shared" ref="F132:F144" ca="1" si="3">IFERROR(D54-$D$130,NA())</f>
        <v>1.2375189566605478</v>
      </c>
      <c r="G132" s="82">
        <f t="shared" ref="G132:G144" ca="1" si="4">IFERROR(C54-$D$130,NA())</f>
        <v>-1.1575973753964064</v>
      </c>
    </row>
    <row r="133" spans="2:7" hidden="1" outlineLevel="1" x14ac:dyDescent="0.45">
      <c r="B133" s="81" t="str">
        <f t="shared" ca="1" si="2"/>
        <v>Длительность: железобетонные резервуары</v>
      </c>
      <c r="F133" s="82">
        <f t="shared" ca="1" si="3"/>
        <v>1.1622926125023341</v>
      </c>
      <c r="G133" s="82">
        <f t="shared" ca="1" si="4"/>
        <v>-1.082521914025719</v>
      </c>
    </row>
    <row r="134" spans="2:7" hidden="1" outlineLevel="1" x14ac:dyDescent="0.45">
      <c r="B134" s="81" t="str">
        <f t="shared" ca="1" si="2"/>
        <v>Длительность: котлован и сваи</v>
      </c>
      <c r="F134" s="82">
        <f t="shared" ca="1" si="3"/>
        <v>1.0270515653703605</v>
      </c>
      <c r="G134" s="82">
        <f t="shared" ca="1" si="4"/>
        <v>-0.94595381897576303</v>
      </c>
    </row>
    <row r="135" spans="2:7" hidden="1" outlineLevel="1" x14ac:dyDescent="0.45">
      <c r="B135" s="81" t="str">
        <f t="shared" ca="1" si="2"/>
        <v>Длительность: монтаж оборудования</v>
      </c>
      <c r="F135" s="82">
        <f t="shared" ca="1" si="3"/>
        <v>1.0032808709070444</v>
      </c>
      <c r="G135" s="82">
        <f t="shared" ca="1" si="4"/>
        <v>-0.96577795114831488</v>
      </c>
    </row>
    <row r="136" spans="2:7" hidden="1" outlineLevel="1" x14ac:dyDescent="0.45">
      <c r="B136" s="81" t="str">
        <f t="shared" ca="1" si="2"/>
        <v>Геологический риск (задержка и затраты)</v>
      </c>
      <c r="F136" s="82">
        <f t="shared" ca="1" si="3"/>
        <v>1.3043513042592743</v>
      </c>
      <c r="G136" s="82">
        <f t="shared" ca="1" si="4"/>
        <v>-0.50749626143089444</v>
      </c>
    </row>
    <row r="137" spans="2:7" hidden="1" outlineLevel="1" x14ac:dyDescent="0.45">
      <c r="B137" s="81" t="str">
        <f t="shared" ca="1" si="2"/>
        <v>Длительность: электромонтаж</v>
      </c>
      <c r="F137" s="82">
        <f t="shared" ca="1" si="3"/>
        <v>0.81711377324183943</v>
      </c>
      <c r="G137" s="82">
        <f t="shared" ca="1" si="4"/>
        <v>-0.82057644848654832</v>
      </c>
    </row>
    <row r="138" spans="2:7" hidden="1" outlineLevel="1" x14ac:dyDescent="0.45">
      <c r="B138" s="81" t="str">
        <f t="shared" ca="1" si="2"/>
        <v>Длительность: пусконаладка</v>
      </c>
      <c r="F138" s="82">
        <f t="shared" ca="1" si="3"/>
        <v>0.71535836218870585</v>
      </c>
      <c r="G138" s="82">
        <f t="shared" ca="1" si="4"/>
        <v>-0.76347473220329576</v>
      </c>
    </row>
    <row r="139" spans="2:7" hidden="1" outlineLevel="1" x14ac:dyDescent="0.45">
      <c r="B139" s="81" t="str">
        <f t="shared" ca="1" si="2"/>
        <v>Длительность: подготовительные работы</v>
      </c>
      <c r="F139" s="82">
        <f t="shared" ca="1" si="3"/>
        <v>0.71405439558149553</v>
      </c>
      <c r="G139" s="82">
        <f t="shared" ca="1" si="4"/>
        <v>-0.72757738626017598</v>
      </c>
    </row>
    <row r="140" spans="2:7" hidden="1" outlineLevel="1" x14ac:dyDescent="0.45">
      <c r="B140" s="81" t="str">
        <f t="shared" ca="1" si="2"/>
        <v>Длительность: старые сооружения и благоустройство</v>
      </c>
      <c r="F140" s="82">
        <f t="shared" ca="1" si="3"/>
        <v>0.73098497003494955</v>
      </c>
      <c r="G140" s="82">
        <f t="shared" ca="1" si="4"/>
        <v>-0.69524663641809781</v>
      </c>
    </row>
    <row r="141" spans="2:7" hidden="1" outlineLevel="1" x14ac:dyDescent="0.45">
      <c r="B141" s="81" t="str">
        <f t="shared" ca="1" si="2"/>
        <v>Постоянные затраты: технологическое оборудование</v>
      </c>
      <c r="F141" s="82">
        <f t="shared" ca="1" si="3"/>
        <v>0.59388474133317359</v>
      </c>
      <c r="G141" s="82">
        <f t="shared" ca="1" si="4"/>
        <v>-0.55072615072395692</v>
      </c>
    </row>
    <row r="142" spans="2:7" hidden="1" outlineLevel="1" x14ac:dyDescent="0.45">
      <c r="B142" s="81" t="str">
        <f t="shared" ca="1" si="2"/>
        <v>Риск пусконаладки (задержка и затраты)</v>
      </c>
      <c r="F142" s="82">
        <f t="shared" ca="1" si="3"/>
        <v>0.83350710029638009</v>
      </c>
      <c r="G142" s="82">
        <f t="shared" ca="1" si="4"/>
        <v>-0.21489601255391477</v>
      </c>
    </row>
    <row r="143" spans="2:7" hidden="1" outlineLevel="1" x14ac:dyDescent="0.45">
      <c r="B143" s="81" t="str">
        <f t="shared" ca="1" si="2"/>
        <v>Постоянные затраты: железобетонные резервуары</v>
      </c>
      <c r="F143" s="82">
        <f t="shared" ca="1" si="3"/>
        <v>0.52887335042650463</v>
      </c>
      <c r="G143" s="82">
        <f t="shared" ca="1" si="4"/>
        <v>-0.40898071815984594</v>
      </c>
    </row>
    <row r="144" spans="2:7" hidden="1" outlineLevel="1" x14ac:dyDescent="0.45">
      <c r="B144" s="81" t="str">
        <f t="shared" ca="1" si="2"/>
        <v>Постоянные затраты: котлован и сваи</v>
      </c>
      <c r="F144" s="82">
        <f t="shared" ca="1" si="3"/>
        <v>0.34083865078115494</v>
      </c>
      <c r="G144" s="82">
        <f t="shared" ca="1" si="4"/>
        <v>-0.28780861052932138</v>
      </c>
    </row>
  </sheetData>
  <mergeCells count="4">
    <mergeCell ref="B70:G70"/>
    <mergeCell ref="B73:G73"/>
    <mergeCell ref="B72:G72"/>
    <mergeCell ref="B71:G71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C44:G48">
    <cfRule type="colorScale" priority="3">
      <colorScale>
        <cfvo type="num" val="0"/>
        <cfvo type="num" val="0.7"/>
        <cfvo type="num" val="1"/>
        <color rgb="FFFEE2E2"/>
        <color rgb="FFFEF3C7"/>
        <color rgb="FFDCFCE7"/>
      </colorScale>
    </cfRule>
  </conditionalFormatting>
  <conditionalFormatting sqref="D79:E128">
    <cfRule type="expression" dxfId="1" priority="4">
      <formula>ISNA(D79)</formula>
    </cfRule>
  </conditionalFormatting>
  <conditionalFormatting sqref="F132:G144">
    <cfRule type="expression" dxfId="0" priority="5">
      <formula>ISNA(F132)</formula>
    </cfRule>
  </conditionalFormatting>
  <hyperlinks>
    <hyperlink ref="B4" location="'План'!A1" display="◂  План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99F2E-08E0-424B-B34F-EF324EA2E1B4}">
  <dimension ref="A1:B1"/>
  <sheetViews>
    <sheetView workbookViewId="0"/>
  </sheetViews>
  <sheetFormatPr defaultRowHeight="14.25" x14ac:dyDescent="0.45"/>
  <sheetData>
    <row r="1" spans="1:2" x14ac:dyDescent="0.45">
      <c r="A1" s="87" t="s">
        <v>294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0ADAB-1D81-4B32-8C58-909918D9A7B9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F0FD5-BB88-48D8-9DF8-AD6C2C6410AB}">
  <dimension ref="B3:B242"/>
  <sheetViews>
    <sheetView workbookViewId="0"/>
  </sheetViews>
  <sheetFormatPr defaultRowHeight="14.25" x14ac:dyDescent="0.45"/>
  <sheetData>
    <row r="3" spans="2:2" x14ac:dyDescent="0.45">
      <c r="B3">
        <v>7</v>
      </c>
    </row>
    <row r="4" spans="2:2" x14ac:dyDescent="0.45">
      <c r="B4">
        <v>72</v>
      </c>
    </row>
    <row r="5" spans="2:2" x14ac:dyDescent="0.45">
      <c r="B5">
        <v>245</v>
      </c>
    </row>
    <row r="6" spans="2:2" x14ac:dyDescent="0.45">
      <c r="B6">
        <v>504</v>
      </c>
    </row>
    <row r="7" spans="2:2" x14ac:dyDescent="0.45">
      <c r="B7">
        <v>579</v>
      </c>
    </row>
    <row r="8" spans="2:2" x14ac:dyDescent="0.45">
      <c r="B8">
        <v>389</v>
      </c>
    </row>
    <row r="9" spans="2:2" x14ac:dyDescent="0.45">
      <c r="B9">
        <v>160</v>
      </c>
    </row>
    <row r="10" spans="2:2" x14ac:dyDescent="0.45">
      <c r="B10">
        <v>37</v>
      </c>
    </row>
    <row r="11" spans="2:2" x14ac:dyDescent="0.45">
      <c r="B11">
        <v>5</v>
      </c>
    </row>
    <row r="12" spans="2:2" x14ac:dyDescent="0.45">
      <c r="B12">
        <v>2</v>
      </c>
    </row>
    <row r="13" spans="2:2" x14ac:dyDescent="0.45">
      <c r="B13">
        <v>202</v>
      </c>
    </row>
    <row r="14" spans="2:2" x14ac:dyDescent="0.45">
      <c r="B14">
        <v>205</v>
      </c>
    </row>
    <row r="15" spans="2:2" x14ac:dyDescent="0.45">
      <c r="B15">
        <v>191</v>
      </c>
    </row>
    <row r="16" spans="2:2" x14ac:dyDescent="0.45">
      <c r="B16">
        <v>205</v>
      </c>
    </row>
    <row r="17" spans="2:2" x14ac:dyDescent="0.45">
      <c r="B17">
        <v>209</v>
      </c>
    </row>
    <row r="18" spans="2:2" x14ac:dyDescent="0.45">
      <c r="B18">
        <v>184</v>
      </c>
    </row>
    <row r="19" spans="2:2" x14ac:dyDescent="0.45">
      <c r="B19">
        <v>206</v>
      </c>
    </row>
    <row r="20" spans="2:2" x14ac:dyDescent="0.45">
      <c r="B20">
        <v>197</v>
      </c>
    </row>
    <row r="21" spans="2:2" x14ac:dyDescent="0.45">
      <c r="B21">
        <v>199</v>
      </c>
    </row>
    <row r="22" spans="2:2" x14ac:dyDescent="0.45">
      <c r="B22">
        <v>202</v>
      </c>
    </row>
    <row r="23" spans="2:2" x14ac:dyDescent="0.45">
      <c r="B23">
        <v>1466</v>
      </c>
    </row>
    <row r="24" spans="2:2" x14ac:dyDescent="0.45">
      <c r="B24">
        <v>0</v>
      </c>
    </row>
    <row r="25" spans="2:2" x14ac:dyDescent="0.45">
      <c r="B25">
        <v>0</v>
      </c>
    </row>
    <row r="26" spans="2:2" x14ac:dyDescent="0.45">
      <c r="B26">
        <v>0</v>
      </c>
    </row>
    <row r="27" spans="2:2" x14ac:dyDescent="0.45">
      <c r="B27">
        <v>37</v>
      </c>
    </row>
    <row r="28" spans="2:2" x14ac:dyDescent="0.45">
      <c r="B28">
        <v>113</v>
      </c>
    </row>
    <row r="29" spans="2:2" x14ac:dyDescent="0.45">
      <c r="B29">
        <v>161</v>
      </c>
    </row>
    <row r="30" spans="2:2" x14ac:dyDescent="0.45">
      <c r="B30">
        <v>125</v>
      </c>
    </row>
    <row r="31" spans="2:2" x14ac:dyDescent="0.45">
      <c r="B31">
        <v>78</v>
      </c>
    </row>
    <row r="32" spans="2:2" x14ac:dyDescent="0.45">
      <c r="B32">
        <v>20</v>
      </c>
    </row>
    <row r="33" spans="2:2" x14ac:dyDescent="0.45">
      <c r="B33">
        <v>199</v>
      </c>
    </row>
    <row r="34" spans="2:2" x14ac:dyDescent="0.45">
      <c r="B34">
        <v>210</v>
      </c>
    </row>
    <row r="35" spans="2:2" x14ac:dyDescent="0.45">
      <c r="B35">
        <v>212</v>
      </c>
    </row>
    <row r="36" spans="2:2" x14ac:dyDescent="0.45">
      <c r="B36">
        <v>187</v>
      </c>
    </row>
    <row r="37" spans="2:2" x14ac:dyDescent="0.45">
      <c r="B37">
        <v>198</v>
      </c>
    </row>
    <row r="38" spans="2:2" x14ac:dyDescent="0.45">
      <c r="B38">
        <v>205</v>
      </c>
    </row>
    <row r="39" spans="2:2" x14ac:dyDescent="0.45">
      <c r="B39">
        <v>191</v>
      </c>
    </row>
    <row r="40" spans="2:2" x14ac:dyDescent="0.45">
      <c r="B40">
        <v>199</v>
      </c>
    </row>
    <row r="41" spans="2:2" x14ac:dyDescent="0.45">
      <c r="B41">
        <v>200</v>
      </c>
    </row>
    <row r="42" spans="2:2" x14ac:dyDescent="0.45">
      <c r="B42">
        <v>199</v>
      </c>
    </row>
    <row r="43" spans="2:2" x14ac:dyDescent="0.45">
      <c r="B43">
        <v>160</v>
      </c>
    </row>
    <row r="44" spans="2:2" x14ac:dyDescent="0.45">
      <c r="B44">
        <v>319</v>
      </c>
    </row>
    <row r="45" spans="2:2" x14ac:dyDescent="0.45">
      <c r="B45">
        <v>388</v>
      </c>
    </row>
    <row r="46" spans="2:2" x14ac:dyDescent="0.45">
      <c r="B46">
        <v>359</v>
      </c>
    </row>
    <row r="47" spans="2:2" x14ac:dyDescent="0.45">
      <c r="B47">
        <v>286</v>
      </c>
    </row>
    <row r="48" spans="2:2" x14ac:dyDescent="0.45">
      <c r="B48">
        <v>236</v>
      </c>
    </row>
    <row r="49" spans="2:2" x14ac:dyDescent="0.45">
      <c r="B49">
        <v>128</v>
      </c>
    </row>
    <row r="50" spans="2:2" x14ac:dyDescent="0.45">
      <c r="B50">
        <v>83</v>
      </c>
    </row>
    <row r="51" spans="2:2" x14ac:dyDescent="0.45">
      <c r="B51">
        <v>38</v>
      </c>
    </row>
    <row r="52" spans="2:2" x14ac:dyDescent="0.45">
      <c r="B52">
        <v>3</v>
      </c>
    </row>
    <row r="53" spans="2:2" x14ac:dyDescent="0.45">
      <c r="B53">
        <v>75</v>
      </c>
    </row>
    <row r="54" spans="2:2" x14ac:dyDescent="0.45">
      <c r="B54">
        <v>243</v>
      </c>
    </row>
    <row r="55" spans="2:2" x14ac:dyDescent="0.45">
      <c r="B55">
        <v>342</v>
      </c>
    </row>
    <row r="56" spans="2:2" x14ac:dyDescent="0.45">
      <c r="B56">
        <v>396</v>
      </c>
    </row>
    <row r="57" spans="2:2" x14ac:dyDescent="0.45">
      <c r="B57">
        <v>307</v>
      </c>
    </row>
    <row r="58" spans="2:2" x14ac:dyDescent="0.45">
      <c r="B58">
        <v>276</v>
      </c>
    </row>
    <row r="59" spans="2:2" x14ac:dyDescent="0.45">
      <c r="B59">
        <v>179</v>
      </c>
    </row>
    <row r="60" spans="2:2" x14ac:dyDescent="0.45">
      <c r="B60">
        <v>104</v>
      </c>
    </row>
    <row r="61" spans="2:2" x14ac:dyDescent="0.45">
      <c r="B61">
        <v>63</v>
      </c>
    </row>
    <row r="62" spans="2:2" x14ac:dyDescent="0.45">
      <c r="B62">
        <v>15</v>
      </c>
    </row>
    <row r="63" spans="2:2" x14ac:dyDescent="0.45">
      <c r="B63">
        <v>40</v>
      </c>
    </row>
    <row r="64" spans="2:2" x14ac:dyDescent="0.45">
      <c r="B64">
        <v>249</v>
      </c>
    </row>
    <row r="65" spans="2:2" x14ac:dyDescent="0.45">
      <c r="B65">
        <v>418</v>
      </c>
    </row>
    <row r="66" spans="2:2" x14ac:dyDescent="0.45">
      <c r="B66">
        <v>441</v>
      </c>
    </row>
    <row r="67" spans="2:2" x14ac:dyDescent="0.45">
      <c r="B67">
        <v>368</v>
      </c>
    </row>
    <row r="68" spans="2:2" x14ac:dyDescent="0.45">
      <c r="B68">
        <v>242</v>
      </c>
    </row>
    <row r="69" spans="2:2" x14ac:dyDescent="0.45">
      <c r="B69">
        <v>150</v>
      </c>
    </row>
    <row r="70" spans="2:2" x14ac:dyDescent="0.45">
      <c r="B70">
        <v>60</v>
      </c>
    </row>
    <row r="71" spans="2:2" x14ac:dyDescent="0.45">
      <c r="B71">
        <v>26</v>
      </c>
    </row>
    <row r="72" spans="2:2" x14ac:dyDescent="0.45">
      <c r="B72">
        <v>6</v>
      </c>
    </row>
    <row r="73" spans="2:2" x14ac:dyDescent="0.45">
      <c r="B73">
        <v>86</v>
      </c>
    </row>
    <row r="74" spans="2:2" x14ac:dyDescent="0.45">
      <c r="B74">
        <v>228</v>
      </c>
    </row>
    <row r="75" spans="2:2" x14ac:dyDescent="0.45">
      <c r="B75">
        <v>324</v>
      </c>
    </row>
    <row r="76" spans="2:2" x14ac:dyDescent="0.45">
      <c r="B76">
        <v>338</v>
      </c>
    </row>
    <row r="77" spans="2:2" x14ac:dyDescent="0.45">
      <c r="B77">
        <v>346</v>
      </c>
    </row>
    <row r="78" spans="2:2" x14ac:dyDescent="0.45">
      <c r="B78">
        <v>282</v>
      </c>
    </row>
    <row r="79" spans="2:2" x14ac:dyDescent="0.45">
      <c r="B79">
        <v>212</v>
      </c>
    </row>
    <row r="80" spans="2:2" x14ac:dyDescent="0.45">
      <c r="B80">
        <v>120</v>
      </c>
    </row>
    <row r="81" spans="2:2" x14ac:dyDescent="0.45">
      <c r="B81">
        <v>56</v>
      </c>
    </row>
    <row r="82" spans="2:2" x14ac:dyDescent="0.45">
      <c r="B82">
        <v>8</v>
      </c>
    </row>
    <row r="83" spans="2:2" x14ac:dyDescent="0.45">
      <c r="B83">
        <v>51</v>
      </c>
    </row>
    <row r="84" spans="2:2" x14ac:dyDescent="0.45">
      <c r="B84">
        <v>232</v>
      </c>
    </row>
    <row r="85" spans="2:2" x14ac:dyDescent="0.45">
      <c r="B85">
        <v>414</v>
      </c>
    </row>
    <row r="86" spans="2:2" x14ac:dyDescent="0.45">
      <c r="B86">
        <v>468</v>
      </c>
    </row>
    <row r="87" spans="2:2" x14ac:dyDescent="0.45">
      <c r="B87">
        <v>378</v>
      </c>
    </row>
    <row r="88" spans="2:2" x14ac:dyDescent="0.45">
      <c r="B88">
        <v>250</v>
      </c>
    </row>
    <row r="89" spans="2:2" x14ac:dyDescent="0.45">
      <c r="B89">
        <v>125</v>
      </c>
    </row>
    <row r="90" spans="2:2" x14ac:dyDescent="0.45">
      <c r="B90">
        <v>56</v>
      </c>
    </row>
    <row r="91" spans="2:2" x14ac:dyDescent="0.45">
      <c r="B91">
        <v>20</v>
      </c>
    </row>
    <row r="92" spans="2:2" x14ac:dyDescent="0.45">
      <c r="B92">
        <v>6</v>
      </c>
    </row>
    <row r="93" spans="2:2" x14ac:dyDescent="0.45">
      <c r="B93">
        <v>70</v>
      </c>
    </row>
    <row r="94" spans="2:2" x14ac:dyDescent="0.45">
      <c r="B94">
        <v>246</v>
      </c>
    </row>
    <row r="95" spans="2:2" x14ac:dyDescent="0.45">
      <c r="B95">
        <v>340</v>
      </c>
    </row>
    <row r="96" spans="2:2" x14ac:dyDescent="0.45">
      <c r="B96">
        <v>350</v>
      </c>
    </row>
    <row r="97" spans="2:2" x14ac:dyDescent="0.45">
      <c r="B97">
        <v>318</v>
      </c>
    </row>
    <row r="98" spans="2:2" x14ac:dyDescent="0.45">
      <c r="B98">
        <v>289</v>
      </c>
    </row>
    <row r="99" spans="2:2" x14ac:dyDescent="0.45">
      <c r="B99">
        <v>196</v>
      </c>
    </row>
    <row r="100" spans="2:2" x14ac:dyDescent="0.45">
      <c r="B100">
        <v>118</v>
      </c>
    </row>
    <row r="101" spans="2:2" x14ac:dyDescent="0.45">
      <c r="B101">
        <v>53</v>
      </c>
    </row>
    <row r="102" spans="2:2" x14ac:dyDescent="0.45">
      <c r="B102">
        <v>20</v>
      </c>
    </row>
    <row r="103" spans="2:2" x14ac:dyDescent="0.45">
      <c r="B103">
        <v>41</v>
      </c>
    </row>
    <row r="104" spans="2:2" x14ac:dyDescent="0.45">
      <c r="B104">
        <v>197</v>
      </c>
    </row>
    <row r="105" spans="2:2" x14ac:dyDescent="0.45">
      <c r="B105">
        <v>471</v>
      </c>
    </row>
    <row r="106" spans="2:2" x14ac:dyDescent="0.45">
      <c r="B106">
        <v>514</v>
      </c>
    </row>
    <row r="107" spans="2:2" x14ac:dyDescent="0.45">
      <c r="B107">
        <v>402</v>
      </c>
    </row>
    <row r="108" spans="2:2" x14ac:dyDescent="0.45">
      <c r="B108">
        <v>237</v>
      </c>
    </row>
    <row r="109" spans="2:2" x14ac:dyDescent="0.45">
      <c r="B109">
        <v>97</v>
      </c>
    </row>
    <row r="110" spans="2:2" x14ac:dyDescent="0.45">
      <c r="B110">
        <v>33</v>
      </c>
    </row>
    <row r="111" spans="2:2" x14ac:dyDescent="0.45">
      <c r="B111">
        <v>5</v>
      </c>
    </row>
    <row r="112" spans="2:2" x14ac:dyDescent="0.45">
      <c r="B112">
        <v>3</v>
      </c>
    </row>
    <row r="113" spans="2:2" x14ac:dyDescent="0.45">
      <c r="B113">
        <v>64</v>
      </c>
    </row>
    <row r="114" spans="2:2" x14ac:dyDescent="0.45">
      <c r="B114">
        <v>201</v>
      </c>
    </row>
    <row r="115" spans="2:2" x14ac:dyDescent="0.45">
      <c r="B115">
        <v>333</v>
      </c>
    </row>
    <row r="116" spans="2:2" x14ac:dyDescent="0.45">
      <c r="B116">
        <v>319</v>
      </c>
    </row>
    <row r="117" spans="2:2" x14ac:dyDescent="0.45">
      <c r="B117">
        <v>348</v>
      </c>
    </row>
    <row r="118" spans="2:2" x14ac:dyDescent="0.45">
      <c r="B118">
        <v>285</v>
      </c>
    </row>
    <row r="119" spans="2:2" x14ac:dyDescent="0.45">
      <c r="B119">
        <v>221</v>
      </c>
    </row>
    <row r="120" spans="2:2" x14ac:dyDescent="0.45">
      <c r="B120">
        <v>157</v>
      </c>
    </row>
    <row r="121" spans="2:2" x14ac:dyDescent="0.45">
      <c r="B121">
        <v>50</v>
      </c>
    </row>
    <row r="122" spans="2:2" x14ac:dyDescent="0.45">
      <c r="B122">
        <v>22</v>
      </c>
    </row>
    <row r="123" spans="2:2" x14ac:dyDescent="0.45">
      <c r="B123">
        <v>134</v>
      </c>
    </row>
    <row r="124" spans="2:2" x14ac:dyDescent="0.45">
      <c r="B124">
        <v>260</v>
      </c>
    </row>
    <row r="125" spans="2:2" x14ac:dyDescent="0.45">
      <c r="B125">
        <v>338</v>
      </c>
    </row>
    <row r="126" spans="2:2" x14ac:dyDescent="0.45">
      <c r="B126">
        <v>369</v>
      </c>
    </row>
    <row r="127" spans="2:2" x14ac:dyDescent="0.45">
      <c r="B127">
        <v>293</v>
      </c>
    </row>
    <row r="128" spans="2:2" x14ac:dyDescent="0.45">
      <c r="B128">
        <v>236</v>
      </c>
    </row>
    <row r="129" spans="2:2" x14ac:dyDescent="0.45">
      <c r="B129">
        <v>191</v>
      </c>
    </row>
    <row r="130" spans="2:2" x14ac:dyDescent="0.45">
      <c r="B130">
        <v>102</v>
      </c>
    </row>
    <row r="131" spans="2:2" x14ac:dyDescent="0.45">
      <c r="B131">
        <v>58</v>
      </c>
    </row>
    <row r="132" spans="2:2" x14ac:dyDescent="0.45">
      <c r="B132">
        <v>19</v>
      </c>
    </row>
    <row r="133" spans="2:2" x14ac:dyDescent="0.45">
      <c r="B133">
        <v>117</v>
      </c>
    </row>
    <row r="134" spans="2:2" x14ac:dyDescent="0.45">
      <c r="B134">
        <v>255</v>
      </c>
    </row>
    <row r="135" spans="2:2" x14ac:dyDescent="0.45">
      <c r="B135">
        <v>344</v>
      </c>
    </row>
    <row r="136" spans="2:2" x14ac:dyDescent="0.45">
      <c r="B136">
        <v>365</v>
      </c>
    </row>
    <row r="137" spans="2:2" x14ac:dyDescent="0.45">
      <c r="B137">
        <v>322</v>
      </c>
    </row>
    <row r="138" spans="2:2" x14ac:dyDescent="0.45">
      <c r="B138">
        <v>257</v>
      </c>
    </row>
    <row r="139" spans="2:2" x14ac:dyDescent="0.45">
      <c r="B139">
        <v>181</v>
      </c>
    </row>
    <row r="140" spans="2:2" x14ac:dyDescent="0.45">
      <c r="B140">
        <v>98</v>
      </c>
    </row>
    <row r="141" spans="2:2" x14ac:dyDescent="0.45">
      <c r="B141">
        <v>48</v>
      </c>
    </row>
    <row r="142" spans="2:2" x14ac:dyDescent="0.45">
      <c r="B142">
        <v>13</v>
      </c>
    </row>
    <row r="143" spans="2:2" x14ac:dyDescent="0.45">
      <c r="B143">
        <v>36</v>
      </c>
    </row>
    <row r="144" spans="2:2" x14ac:dyDescent="0.45">
      <c r="B144">
        <v>189</v>
      </c>
    </row>
    <row r="145" spans="2:2" x14ac:dyDescent="0.45">
      <c r="B145">
        <v>425</v>
      </c>
    </row>
    <row r="146" spans="2:2" x14ac:dyDescent="0.45">
      <c r="B146">
        <v>505</v>
      </c>
    </row>
    <row r="147" spans="2:2" x14ac:dyDescent="0.45">
      <c r="B147">
        <v>438</v>
      </c>
    </row>
    <row r="148" spans="2:2" x14ac:dyDescent="0.45">
      <c r="B148">
        <v>231</v>
      </c>
    </row>
    <row r="149" spans="2:2" x14ac:dyDescent="0.45">
      <c r="B149">
        <v>126</v>
      </c>
    </row>
    <row r="150" spans="2:2" x14ac:dyDescent="0.45">
      <c r="B150">
        <v>40</v>
      </c>
    </row>
    <row r="151" spans="2:2" x14ac:dyDescent="0.45">
      <c r="B151">
        <v>9</v>
      </c>
    </row>
    <row r="152" spans="2:2" x14ac:dyDescent="0.45">
      <c r="B152">
        <v>1</v>
      </c>
    </row>
    <row r="153" spans="2:2" x14ac:dyDescent="0.45">
      <c r="B153">
        <v>91</v>
      </c>
    </row>
    <row r="154" spans="2:2" x14ac:dyDescent="0.45">
      <c r="B154">
        <v>264</v>
      </c>
    </row>
    <row r="155" spans="2:2" x14ac:dyDescent="0.45">
      <c r="B155">
        <v>347</v>
      </c>
    </row>
    <row r="156" spans="2:2" x14ac:dyDescent="0.45">
      <c r="B156">
        <v>382</v>
      </c>
    </row>
    <row r="157" spans="2:2" x14ac:dyDescent="0.45">
      <c r="B157">
        <v>340</v>
      </c>
    </row>
    <row r="158" spans="2:2" x14ac:dyDescent="0.45">
      <c r="B158">
        <v>257</v>
      </c>
    </row>
    <row r="159" spans="2:2" x14ac:dyDescent="0.45">
      <c r="B159">
        <v>181</v>
      </c>
    </row>
    <row r="160" spans="2:2" x14ac:dyDescent="0.45">
      <c r="B160">
        <v>92</v>
      </c>
    </row>
    <row r="161" spans="2:2" x14ac:dyDescent="0.45">
      <c r="B161">
        <v>42</v>
      </c>
    </row>
    <row r="162" spans="2:2" x14ac:dyDescent="0.45">
      <c r="B162">
        <v>4</v>
      </c>
    </row>
    <row r="163" spans="2:2" x14ac:dyDescent="0.45">
      <c r="B163">
        <v>36</v>
      </c>
    </row>
    <row r="164" spans="2:2" x14ac:dyDescent="0.45">
      <c r="B164">
        <v>229</v>
      </c>
    </row>
    <row r="165" spans="2:2" x14ac:dyDescent="0.45">
      <c r="B165">
        <v>429</v>
      </c>
    </row>
    <row r="166" spans="2:2" x14ac:dyDescent="0.45">
      <c r="B166">
        <v>462</v>
      </c>
    </row>
    <row r="167" spans="2:2" x14ac:dyDescent="0.45">
      <c r="B167">
        <v>423</v>
      </c>
    </row>
    <row r="168" spans="2:2" x14ac:dyDescent="0.45">
      <c r="B168">
        <v>224</v>
      </c>
    </row>
    <row r="169" spans="2:2" x14ac:dyDescent="0.45">
      <c r="B169">
        <v>133</v>
      </c>
    </row>
    <row r="170" spans="2:2" x14ac:dyDescent="0.45">
      <c r="B170">
        <v>52</v>
      </c>
    </row>
    <row r="171" spans="2:2" x14ac:dyDescent="0.45">
      <c r="B171">
        <v>10</v>
      </c>
    </row>
    <row r="172" spans="2:2" x14ac:dyDescent="0.45">
      <c r="B172">
        <v>2</v>
      </c>
    </row>
    <row r="173" spans="2:2" x14ac:dyDescent="0.45">
      <c r="B173">
        <v>114</v>
      </c>
    </row>
    <row r="174" spans="2:2" x14ac:dyDescent="0.45">
      <c r="B174">
        <v>236</v>
      </c>
    </row>
    <row r="175" spans="2:2" x14ac:dyDescent="0.45">
      <c r="B175">
        <v>310</v>
      </c>
    </row>
    <row r="176" spans="2:2" x14ac:dyDescent="0.45">
      <c r="B176">
        <v>372</v>
      </c>
    </row>
    <row r="177" spans="2:2" x14ac:dyDescent="0.45">
      <c r="B177">
        <v>333</v>
      </c>
    </row>
    <row r="178" spans="2:2" x14ac:dyDescent="0.45">
      <c r="B178">
        <v>257</v>
      </c>
    </row>
    <row r="179" spans="2:2" x14ac:dyDescent="0.45">
      <c r="B179">
        <v>194</v>
      </c>
    </row>
    <row r="180" spans="2:2" x14ac:dyDescent="0.45">
      <c r="B180">
        <v>113</v>
      </c>
    </row>
    <row r="181" spans="2:2" x14ac:dyDescent="0.45">
      <c r="B181">
        <v>57</v>
      </c>
    </row>
    <row r="182" spans="2:2" x14ac:dyDescent="0.45">
      <c r="B182">
        <v>14</v>
      </c>
    </row>
    <row r="183" spans="2:2" x14ac:dyDescent="0.45">
      <c r="B183">
        <v>24</v>
      </c>
    </row>
    <row r="184" spans="2:2" x14ac:dyDescent="0.45">
      <c r="B184">
        <v>218</v>
      </c>
    </row>
    <row r="185" spans="2:2" x14ac:dyDescent="0.45">
      <c r="B185">
        <v>495</v>
      </c>
    </row>
    <row r="186" spans="2:2" x14ac:dyDescent="0.45">
      <c r="B186">
        <v>452</v>
      </c>
    </row>
    <row r="187" spans="2:2" x14ac:dyDescent="0.45">
      <c r="B187">
        <v>387</v>
      </c>
    </row>
    <row r="188" spans="2:2" x14ac:dyDescent="0.45">
      <c r="B188">
        <v>224</v>
      </c>
    </row>
    <row r="189" spans="2:2" x14ac:dyDescent="0.45">
      <c r="B189">
        <v>109</v>
      </c>
    </row>
    <row r="190" spans="2:2" x14ac:dyDescent="0.45">
      <c r="B190">
        <v>66</v>
      </c>
    </row>
    <row r="191" spans="2:2" x14ac:dyDescent="0.45">
      <c r="B191">
        <v>18</v>
      </c>
    </row>
    <row r="192" spans="2:2" x14ac:dyDescent="0.45">
      <c r="B192">
        <v>7</v>
      </c>
    </row>
    <row r="193" spans="2:2" x14ac:dyDescent="0.45">
      <c r="B193">
        <v>83</v>
      </c>
    </row>
    <row r="194" spans="2:2" x14ac:dyDescent="0.45">
      <c r="B194">
        <v>246</v>
      </c>
    </row>
    <row r="195" spans="2:2" x14ac:dyDescent="0.45">
      <c r="B195">
        <v>287</v>
      </c>
    </row>
    <row r="196" spans="2:2" x14ac:dyDescent="0.45">
      <c r="B196">
        <v>336</v>
      </c>
    </row>
    <row r="197" spans="2:2" x14ac:dyDescent="0.45">
      <c r="B197">
        <v>331</v>
      </c>
    </row>
    <row r="198" spans="2:2" x14ac:dyDescent="0.45">
      <c r="B198">
        <v>279</v>
      </c>
    </row>
    <row r="199" spans="2:2" x14ac:dyDescent="0.45">
      <c r="B199">
        <v>217</v>
      </c>
    </row>
    <row r="200" spans="2:2" x14ac:dyDescent="0.45">
      <c r="B200">
        <v>146</v>
      </c>
    </row>
    <row r="201" spans="2:2" x14ac:dyDescent="0.45">
      <c r="B201">
        <v>53</v>
      </c>
    </row>
    <row r="202" spans="2:2" x14ac:dyDescent="0.45">
      <c r="B202">
        <v>22</v>
      </c>
    </row>
    <row r="203" spans="2:2" x14ac:dyDescent="0.45">
      <c r="B203">
        <v>53</v>
      </c>
    </row>
    <row r="204" spans="2:2" x14ac:dyDescent="0.45">
      <c r="B204">
        <v>240</v>
      </c>
    </row>
    <row r="205" spans="2:2" x14ac:dyDescent="0.45">
      <c r="B205">
        <v>391</v>
      </c>
    </row>
    <row r="206" spans="2:2" x14ac:dyDescent="0.45">
      <c r="B206">
        <v>484</v>
      </c>
    </row>
    <row r="207" spans="2:2" x14ac:dyDescent="0.45">
      <c r="B207">
        <v>388</v>
      </c>
    </row>
    <row r="208" spans="2:2" x14ac:dyDescent="0.45">
      <c r="B208">
        <v>252</v>
      </c>
    </row>
    <row r="209" spans="2:2" x14ac:dyDescent="0.45">
      <c r="B209">
        <v>116</v>
      </c>
    </row>
    <row r="210" spans="2:2" x14ac:dyDescent="0.45">
      <c r="B210">
        <v>55</v>
      </c>
    </row>
    <row r="211" spans="2:2" x14ac:dyDescent="0.45">
      <c r="B211">
        <v>20</v>
      </c>
    </row>
    <row r="212" spans="2:2" x14ac:dyDescent="0.45">
      <c r="B212">
        <v>1</v>
      </c>
    </row>
    <row r="213" spans="2:2" x14ac:dyDescent="0.45">
      <c r="B213">
        <v>114</v>
      </c>
    </row>
    <row r="214" spans="2:2" x14ac:dyDescent="0.45">
      <c r="B214">
        <v>240</v>
      </c>
    </row>
    <row r="215" spans="2:2" x14ac:dyDescent="0.45">
      <c r="B215">
        <v>349</v>
      </c>
    </row>
    <row r="216" spans="2:2" x14ac:dyDescent="0.45">
      <c r="B216">
        <v>365</v>
      </c>
    </row>
    <row r="217" spans="2:2" x14ac:dyDescent="0.45">
      <c r="B217">
        <v>314</v>
      </c>
    </row>
    <row r="218" spans="2:2" x14ac:dyDescent="0.45">
      <c r="B218">
        <v>261</v>
      </c>
    </row>
    <row r="219" spans="2:2" x14ac:dyDescent="0.45">
      <c r="B219">
        <v>185</v>
      </c>
    </row>
    <row r="220" spans="2:2" x14ac:dyDescent="0.45">
      <c r="B220">
        <v>108</v>
      </c>
    </row>
    <row r="221" spans="2:2" x14ac:dyDescent="0.45">
      <c r="B221">
        <v>51</v>
      </c>
    </row>
    <row r="222" spans="2:2" x14ac:dyDescent="0.45">
      <c r="B222">
        <v>13</v>
      </c>
    </row>
    <row r="223" spans="2:2" x14ac:dyDescent="0.45">
      <c r="B223">
        <v>11</v>
      </c>
    </row>
    <row r="224" spans="2:2" x14ac:dyDescent="0.45">
      <c r="B224">
        <v>76</v>
      </c>
    </row>
    <row r="225" spans="2:2" x14ac:dyDescent="0.45">
      <c r="B225">
        <v>241</v>
      </c>
    </row>
    <row r="226" spans="2:2" x14ac:dyDescent="0.45">
      <c r="B226">
        <v>448</v>
      </c>
    </row>
    <row r="227" spans="2:2" x14ac:dyDescent="0.45">
      <c r="B227">
        <v>512</v>
      </c>
    </row>
    <row r="228" spans="2:2" x14ac:dyDescent="0.45">
      <c r="B228">
        <v>380</v>
      </c>
    </row>
    <row r="229" spans="2:2" x14ac:dyDescent="0.45">
      <c r="B229">
        <v>222</v>
      </c>
    </row>
    <row r="230" spans="2:2" x14ac:dyDescent="0.45">
      <c r="B230">
        <v>73</v>
      </c>
    </row>
    <row r="231" spans="2:2" x14ac:dyDescent="0.45">
      <c r="B231">
        <v>32</v>
      </c>
    </row>
    <row r="232" spans="2:2" x14ac:dyDescent="0.45">
      <c r="B232">
        <v>5</v>
      </c>
    </row>
    <row r="233" spans="2:2" x14ac:dyDescent="0.45">
      <c r="B233">
        <v>19</v>
      </c>
    </row>
    <row r="234" spans="2:2" x14ac:dyDescent="0.45">
      <c r="B234">
        <v>141</v>
      </c>
    </row>
    <row r="235" spans="2:2" x14ac:dyDescent="0.45">
      <c r="B235">
        <v>356</v>
      </c>
    </row>
    <row r="236" spans="2:2" x14ac:dyDescent="0.45">
      <c r="B236">
        <v>528</v>
      </c>
    </row>
    <row r="237" spans="2:2" x14ac:dyDescent="0.45">
      <c r="B237">
        <v>468</v>
      </c>
    </row>
    <row r="238" spans="2:2" x14ac:dyDescent="0.45">
      <c r="B238">
        <v>291</v>
      </c>
    </row>
    <row r="239" spans="2:2" x14ac:dyDescent="0.45">
      <c r="B239">
        <v>139</v>
      </c>
    </row>
    <row r="240" spans="2:2" x14ac:dyDescent="0.45">
      <c r="B240">
        <v>44</v>
      </c>
    </row>
    <row r="241" spans="2:2" x14ac:dyDescent="0.45">
      <c r="B241">
        <v>10</v>
      </c>
    </row>
    <row r="242" spans="2:2" x14ac:dyDescent="0.45">
      <c r="B242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884">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</mr:Charts>
</mr:ModelRisk>
</file>

<file path=customXml/itemProps1.xml><?xml version="1.0" encoding="utf-8"?>
<ds:datastoreItem xmlns:ds="http://schemas.openxmlformats.org/officeDocument/2006/customXml" ds:itemID="{7A881056-B0FA-43D4-BD19-FA7B7A9C3845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62</vt:i4>
      </vt:variant>
    </vt:vector>
  </HeadingPairs>
  <TitlesOfParts>
    <vt:vector size="69" baseType="lpstr">
      <vt:lpstr>Описание</vt:lpstr>
      <vt:lpstr>Исходные данные</vt:lpstr>
      <vt:lpstr>План</vt:lpstr>
      <vt:lpstr>Результаты</vt:lpstr>
      <vt:lpstr>ModelRiskDSN</vt:lpstr>
      <vt:lpstr>ModelRiskSYS1</vt:lpstr>
      <vt:lpstr>ModelRiskCharts</vt:lpstr>
      <vt:lpstr>BudgetStep</vt:lpstr>
      <vt:lpstr>BudgetTarget</vt:lpstr>
      <vt:lpstr>Checks</vt:lpstr>
      <vt:lpstr>CommCost_Hi</vt:lpstr>
      <vt:lpstr>CommCost_Lo</vt:lpstr>
      <vt:lpstr>CommCost_Mean</vt:lpstr>
      <vt:lpstr>CommCost_ML</vt:lpstr>
      <vt:lpstr>CommDelay_Hi</vt:lpstr>
      <vt:lpstr>CommDelay_Lo</vt:lpstr>
      <vt:lpstr>CommDelay_Mean</vt:lpstr>
      <vt:lpstr>CommDelay_ML</vt:lpstr>
      <vt:lpstr>DeadlineStep</vt:lpstr>
      <vt:lpstr>DeadlineTarget</vt:lpstr>
      <vt:lpstr>Det_Cost</vt:lpstr>
      <vt:lpstr>Det_Finish</vt:lpstr>
      <vt:lpstr>Dur_A</vt:lpstr>
      <vt:lpstr>Dur_B</vt:lpstr>
      <vt:lpstr>Dur_C</vt:lpstr>
      <vt:lpstr>Dur_D</vt:lpstr>
      <vt:lpstr>Dur_E</vt:lpstr>
      <vt:lpstr>Dur_F</vt:lpstr>
      <vt:lpstr>Dur_G</vt:lpstr>
      <vt:lpstr>Dur_H</vt:lpstr>
      <vt:lpstr>Dur_I</vt:lpstr>
      <vt:lpstr>Finish</vt:lpstr>
      <vt:lpstr>Fix_A</vt:lpstr>
      <vt:lpstr>Fix_B</vt:lpstr>
      <vt:lpstr>Fix_C</vt:lpstr>
      <vt:lpstr>Fix_D</vt:lpstr>
      <vt:lpstr>Fix_E</vt:lpstr>
      <vt:lpstr>Fix_F</vt:lpstr>
      <vt:lpstr>Fix_G</vt:lpstr>
      <vt:lpstr>Fix_H</vt:lpstr>
      <vt:lpstr>Fix_I</vt:lpstr>
      <vt:lpstr>GroundCost_Hi</vt:lpstr>
      <vt:lpstr>GroundCost_Lo</vt:lpstr>
      <vt:lpstr>GroundCost_Mean</vt:lpstr>
      <vt:lpstr>GroundCost_ML</vt:lpstr>
      <vt:lpstr>GroundDelay_Hi</vt:lpstr>
      <vt:lpstr>GroundDelay_Lo</vt:lpstr>
      <vt:lpstr>GroundDelay_Mean</vt:lpstr>
      <vt:lpstr>GroundDelay_ML</vt:lpstr>
      <vt:lpstr>InputMeans</vt:lpstr>
      <vt:lpstr>Overheads</vt:lpstr>
      <vt:lpstr>Results!Print_Area</vt:lpstr>
      <vt:lpstr>Inputs!Print_Titles</vt:lpstr>
      <vt:lpstr>Results!Print_Titles</vt:lpstr>
      <vt:lpstr>Prob_Comm</vt:lpstr>
      <vt:lpstr>Prob_Ground</vt:lpstr>
      <vt:lpstr>Prob_Supplier</vt:lpstr>
      <vt:lpstr>Productivity</vt:lpstr>
      <vt:lpstr>Productivity_Hi</vt:lpstr>
      <vt:lpstr>Productivity_Lo</vt:lpstr>
      <vt:lpstr>Productivity_Mean</vt:lpstr>
      <vt:lpstr>Risk_Act</vt:lpstr>
      <vt:lpstr>Risk_Cost</vt:lpstr>
      <vt:lpstr>Risk_Delay</vt:lpstr>
      <vt:lpstr>SupplierDelay_Hi</vt:lpstr>
      <vt:lpstr>SupplierDelay_Lo</vt:lpstr>
      <vt:lpstr>SupplierDelay_Mean</vt:lpstr>
      <vt:lpstr>SupplierDelay_ML</vt:lpstr>
      <vt:lpstr>TotalCost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PC-04 Совместный анализ рисков стоимости и сроков</dc:title>
  <dc:subject>Отраслевые примеры моделей МоделРиск — Проекты и строительство</dc:subject>
  <dc:creator>ООО «Стратегия Риска»</dc:creator>
  <cp:keywords>МоделРиск; Монте-Карло; проекты и строительство</cp:keywords>
  <dc:description>Реконструкция очистных сооружений, смоделированная по стоимости и срокам вместе: совместная надежность бюджета и даты.</dc:description>
  <cp:lastModifiedBy>ООО «Стратегия Риска»</cp:lastModifiedBy>
  <cp:lastPrinted>2026-10-05T19:57:05Z</cp:lastPrinted>
  <dcterms:created xsi:type="dcterms:W3CDTF">2026-10-05T19:50:45Z</dcterms:created>
  <dcterms:modified xsi:type="dcterms:W3CDTF">2026-10-05T19:57:08Z</dcterms:modified>
</cp:coreProperties>
</file>