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FEE176B7-8F75-44A7-B9C8-996279A636A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Сеть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Checks">'Сеть'!$E$97:$E$99</definedName>
    <definedName name="ContractWeeks">'Исходные данные'!$D$12</definedName>
    <definedName name="Crit_A">'Сеть'!$J$30</definedName>
    <definedName name="Crit_B">'Сеть'!$J$31</definedName>
    <definedName name="Crit_C">'Сеть'!$J$32</definedName>
    <definedName name="Crit_D">'Сеть'!$J$33</definedName>
    <definedName name="Crit_E">'Сеть'!$J$34</definedName>
    <definedName name="Crit_F">'Сеть'!$J$35</definedName>
    <definedName name="Crit_G">'Сеть'!$J$36</definedName>
    <definedName name="Crit_H">'Сеть'!$J$37</definedName>
    <definedName name="Crit_I">'Сеть'!$J$38</definedName>
    <definedName name="Crit_J">'Сеть'!$J$39</definedName>
    <definedName name="Crit_K">'Сеть'!$J$40</definedName>
    <definedName name="Crit_L">'Сеть'!$J$41</definedName>
    <definedName name="Crit_M">'Сеть'!$J$42</definedName>
    <definedName name="Crit_N">'Сеть'!$J$43</definedName>
    <definedName name="Crit_O">'Сеть'!$J$44</definedName>
    <definedName name="Det_Mean">'Сеть'!$E$93</definedName>
    <definedName name="Det_ML">'Сеть'!$E$92</definedName>
    <definedName name="DetCrit">'Сеть'!$I$70:$I$84</definedName>
    <definedName name="Dur_A">'Сеть'!$D$30</definedName>
    <definedName name="Dur_B">'Сеть'!$D$31</definedName>
    <definedName name="Dur_C">'Сеть'!$D$32</definedName>
    <definedName name="Dur_D">'Сеть'!$D$33</definedName>
    <definedName name="Dur_E">'Сеть'!$D$34</definedName>
    <definedName name="Dur_F">'Сеть'!$D$35</definedName>
    <definedName name="Dur_G">'Сеть'!$D$36</definedName>
    <definedName name="Dur_H">'Сеть'!$D$37</definedName>
    <definedName name="Dur_I">'Сеть'!$D$38</definedName>
    <definedName name="Dur_J">'Сеть'!$D$39</definedName>
    <definedName name="Dur_K">'Сеть'!$D$40</definedName>
    <definedName name="Dur_L">'Сеть'!$D$41</definedName>
    <definedName name="Dur_M">'Сеть'!$D$42</definedName>
    <definedName name="Dur_N">'Сеть'!$D$43</definedName>
    <definedName name="Dur_O">'Сеть'!$D$44</definedName>
    <definedName name="Finish">'Сеть'!$E$89</definedName>
    <definedName name="FinishDate">'Сеть'!$E$90</definedName>
    <definedName name="Flood">'Исходные данные'!$D$18</definedName>
    <definedName name="Flood_Hi">'Исходные данные'!$H$18</definedName>
    <definedName name="Flood_Lo">'Исходные данные'!$F$18</definedName>
    <definedName name="Flood_Mean">'Исходные данные'!$I$18</definedName>
    <definedName name="Flood_ML">'Исходные данные'!$G$18</definedName>
    <definedName name="InputMeans">'Исходные данные'!$I$18:$I$18</definedName>
    <definedName name="MeetsContract">'Сеть'!$E$91</definedName>
    <definedName name="_xlnm.Print_Area" localSheetId="3">'Результаты'!$A$1:$R$73</definedName>
    <definedName name="_xlnm.Print_Titles" localSheetId="1">'Исходные данные'!$1:$4</definedName>
    <definedName name="_xlnm.Print_Titles" localSheetId="3">'Результаты'!$1:$4</definedName>
    <definedName name="Prob_Flood">'Исходные данные'!$D$17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tartDate">'Исходные данные'!$D$11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8" i="4" l="1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D13" i="4"/>
  <c r="D12" i="4"/>
  <c r="E97" i="3"/>
  <c r="D84" i="3"/>
  <c r="C84" i="3"/>
  <c r="D83" i="3"/>
  <c r="C83" i="3"/>
  <c r="D82" i="3"/>
  <c r="C82" i="3"/>
  <c r="D81" i="3"/>
  <c r="C81" i="3"/>
  <c r="D80" i="3"/>
  <c r="C80" i="3"/>
  <c r="D79" i="3"/>
  <c r="C79" i="3"/>
  <c r="D78" i="3"/>
  <c r="C78" i="3"/>
  <c r="D77" i="3"/>
  <c r="C77" i="3"/>
  <c r="D76" i="3"/>
  <c r="C76" i="3"/>
  <c r="D75" i="3"/>
  <c r="C75" i="3"/>
  <c r="D74" i="3"/>
  <c r="C74" i="3"/>
  <c r="D73" i="3"/>
  <c r="C73" i="3"/>
  <c r="D72" i="3"/>
  <c r="C72" i="3"/>
  <c r="D71" i="3"/>
  <c r="C71" i="3"/>
  <c r="K70" i="3"/>
  <c r="E70" i="3"/>
  <c r="D70" i="3"/>
  <c r="C70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E30" i="3"/>
  <c r="C30" i="3"/>
  <c r="F70" i="3"/>
  <c r="E71" i="3" s="1"/>
  <c r="E76" i="3"/>
  <c r="F76" i="3"/>
  <c r="H10" i="3" a="1"/>
  <c r="H13" i="3" a="1"/>
  <c r="H11" i="3" a="1"/>
  <c r="H20" i="3" a="1"/>
  <c r="H23" i="3" a="1"/>
  <c r="H15" i="3" a="1"/>
  <c r="D44" i="3" a="1"/>
  <c r="D41" i="3" a="1"/>
  <c r="H22" i="3" a="1"/>
  <c r="D42" i="3" a="1"/>
  <c r="D40" i="3" a="1"/>
  <c r="D37" i="3" a="1"/>
  <c r="D36" i="3" a="1"/>
  <c r="D31" i="3" a="1"/>
  <c r="D30" i="3" a="1"/>
  <c r="D38" i="3" a="1"/>
  <c r="D34" i="3" a="1"/>
  <c r="H19" i="3" a="1"/>
  <c r="H17" i="3" a="1"/>
  <c r="H18" i="3" a="1"/>
  <c r="D33" i="3" a="1"/>
  <c r="H12" i="3" a="1"/>
  <c r="H24" i="3" a="1"/>
  <c r="D39" i="3" a="1"/>
  <c r="D32" i="3" a="1"/>
  <c r="H21" i="3" a="1"/>
  <c r="H16" i="3" a="1"/>
  <c r="H14" i="3" a="1"/>
  <c r="D43" i="3" a="1"/>
  <c r="D18" i="2" a="1"/>
  <c r="I18" i="2" a="1"/>
  <c r="F71" i="3" l="1"/>
  <c r="E83" i="3" s="1"/>
  <c r="F83" i="3" s="1"/>
  <c r="D43" i="3"/>
  <c r="H14" i="3"/>
  <c r="J74" i="3" s="1"/>
  <c r="H16" i="3"/>
  <c r="J76" i="3" s="1"/>
  <c r="H21" i="3"/>
  <c r="J81" i="3" s="1"/>
  <c r="D32" i="3"/>
  <c r="D39" i="3"/>
  <c r="H24" i="3"/>
  <c r="J84" i="3" s="1"/>
  <c r="H12" i="3"/>
  <c r="J72" i="3" s="1"/>
  <c r="D33" i="3"/>
  <c r="H18" i="3"/>
  <c r="J78" i="3" s="1"/>
  <c r="H17" i="3"/>
  <c r="J77" i="3" s="1"/>
  <c r="H19" i="3"/>
  <c r="J79" i="3" s="1"/>
  <c r="D34" i="3"/>
  <c r="D38" i="3"/>
  <c r="D30" i="3"/>
  <c r="F30" i="3" s="1"/>
  <c r="D31" i="3"/>
  <c r="D36" i="3"/>
  <c r="D37" i="3"/>
  <c r="D40" i="3"/>
  <c r="D42" i="3"/>
  <c r="H22" i="3"/>
  <c r="J82" i="3" s="1"/>
  <c r="D41" i="3"/>
  <c r="D44" i="3"/>
  <c r="H15" i="3"/>
  <c r="H23" i="3"/>
  <c r="J83" i="3" s="1"/>
  <c r="H20" i="3"/>
  <c r="J80" i="3" s="1"/>
  <c r="H11" i="3"/>
  <c r="J71" i="3" s="1"/>
  <c r="H13" i="3"/>
  <c r="J73" i="3" s="1"/>
  <c r="H10" i="3"/>
  <c r="J70" i="3" s="1"/>
  <c r="L70" i="3" s="1"/>
  <c r="E72" i="3"/>
  <c r="F72" i="3" s="1"/>
  <c r="I18" i="2"/>
  <c r="D18" i="2"/>
  <c r="D35" i="3" a="1"/>
  <c r="J75" i="3" l="1"/>
  <c r="D35" i="3"/>
  <c r="E36" i="3"/>
  <c r="F36" i="3" s="1"/>
  <c r="E31" i="3"/>
  <c r="F31" i="3" s="1"/>
  <c r="K76" i="3"/>
  <c r="L76" i="3" s="1"/>
  <c r="K71" i="3"/>
  <c r="L71" i="3" s="1"/>
  <c r="E74" i="3"/>
  <c r="F74" i="3" s="1"/>
  <c r="E78" i="3" s="1"/>
  <c r="F78" i="3" s="1"/>
  <c r="E73" i="3"/>
  <c r="F73" i="3" s="1"/>
  <c r="E77" i="3" s="1"/>
  <c r="F77" i="3" s="1"/>
  <c r="E75" i="3"/>
  <c r="F75" i="3" s="1"/>
  <c r="E79" i="3" s="1"/>
  <c r="F79" i="3" s="1"/>
  <c r="E80" i="3" s="1"/>
  <c r="F80" i="3" s="1"/>
  <c r="E32" i="3" l="1"/>
  <c r="F32" i="3" s="1"/>
  <c r="E43" i="3"/>
  <c r="F43" i="3" s="1"/>
  <c r="E81" i="3"/>
  <c r="F81" i="3" s="1"/>
  <c r="E82" i="3"/>
  <c r="F82" i="3" s="1"/>
  <c r="K83" i="3"/>
  <c r="L83" i="3" s="1"/>
  <c r="K72" i="3"/>
  <c r="L72" i="3" s="1"/>
  <c r="E84" i="3" l="1"/>
  <c r="F84" i="3" s="1"/>
  <c r="K74" i="3"/>
  <c r="L74" i="3" s="1"/>
  <c r="K78" i="3" s="1"/>
  <c r="L78" i="3" s="1"/>
  <c r="K75" i="3"/>
  <c r="L75" i="3" s="1"/>
  <c r="K73" i="3"/>
  <c r="L73" i="3" s="1"/>
  <c r="K77" i="3" s="1"/>
  <c r="L77" i="3" s="1"/>
  <c r="E92" i="3"/>
  <c r="D18" i="4" s="1"/>
  <c r="H84" i="3"/>
  <c r="G84" i="3" s="1"/>
  <c r="E34" i="3"/>
  <c r="F34" i="3" s="1"/>
  <c r="E38" i="3" s="1"/>
  <c r="F38" i="3" s="1"/>
  <c r="E33" i="3"/>
  <c r="F33" i="3" s="1"/>
  <c r="E37" i="3" s="1"/>
  <c r="F37" i="3" s="1"/>
  <c r="E35" i="3"/>
  <c r="F35" i="3" s="1"/>
  <c r="E39" i="3" l="1"/>
  <c r="F39" i="3" s="1"/>
  <c r="E40" i="3" s="1"/>
  <c r="F40" i="3" s="1"/>
  <c r="E42" i="3" s="1"/>
  <c r="F42" i="3" s="1"/>
  <c r="H83" i="3"/>
  <c r="G83" i="3" s="1"/>
  <c r="I83" i="3" s="1"/>
  <c r="C45" i="4" s="1"/>
  <c r="H81" i="3"/>
  <c r="G81" i="3" s="1"/>
  <c r="I84" i="3"/>
  <c r="C46" i="4" s="1"/>
  <c r="H82" i="3"/>
  <c r="G82" i="3" s="1"/>
  <c r="I82" i="3" s="1"/>
  <c r="C44" i="4" s="1"/>
  <c r="K79" i="3"/>
  <c r="L79" i="3" s="1"/>
  <c r="K80" i="3" s="1"/>
  <c r="L80" i="3" s="1"/>
  <c r="E41" i="3" l="1"/>
  <c r="F41" i="3" s="1"/>
  <c r="E44" i="3" s="1"/>
  <c r="F44" i="3" s="1"/>
  <c r="K82" i="3"/>
  <c r="L82" i="3" s="1"/>
  <c r="K81" i="3"/>
  <c r="L81" i="3" s="1"/>
  <c r="K84" i="3" s="1"/>
  <c r="L84" i="3" s="1"/>
  <c r="E93" i="3" s="1"/>
  <c r="H80" i="3"/>
  <c r="G80" i="3" s="1"/>
  <c r="I81" i="3"/>
  <c r="C43" i="4" s="1"/>
  <c r="D19" i="4" l="1"/>
  <c r="D20" i="4"/>
  <c r="E89" i="3" a="1"/>
  <c r="E89" i="3" s="1"/>
  <c r="H44" i="3"/>
  <c r="G44" i="3" s="1"/>
  <c r="I80" i="3"/>
  <c r="C42" i="4" s="1"/>
  <c r="H79" i="3"/>
  <c r="G79" i="3" s="1"/>
  <c r="D117" i="4" a="1"/>
  <c r="D108" i="4" a="1"/>
  <c r="D26" i="4" a="1"/>
  <c r="D103" i="4" a="1"/>
  <c r="B51" i="4" a="1"/>
  <c r="D17" i="4" a="1"/>
  <c r="D85" i="4" a="1"/>
  <c r="D98" i="4" a="1"/>
  <c r="D113" i="4" a="1"/>
  <c r="B6" i="4" a="1"/>
  <c r="D126" i="4" a="1"/>
  <c r="D109" i="4" a="1"/>
  <c r="D100" i="4" a="1"/>
  <c r="D95" i="4" a="1"/>
  <c r="D90" i="4" a="1"/>
  <c r="D105" i="4" a="1"/>
  <c r="D96" i="4" a="1"/>
  <c r="D91" i="4" a="1"/>
  <c r="D86" i="4" a="1"/>
  <c r="D101" i="4" a="1"/>
  <c r="D92" i="4" a="1"/>
  <c r="D119" i="4" a="1"/>
  <c r="D114" i="4" a="1"/>
  <c r="D82" i="4" a="1"/>
  <c r="D130" i="4" a="1"/>
  <c r="D97" i="4" a="1"/>
  <c r="D120" i="4" a="1"/>
  <c r="D88" i="4" a="1"/>
  <c r="D115" i="4" a="1"/>
  <c r="D83" i="4" a="1"/>
  <c r="D110" i="4" a="1"/>
  <c r="F26" i="4" a="1"/>
  <c r="D81" i="4" a="1"/>
  <c r="D99" i="4" a="1"/>
  <c r="D125" i="4" a="1"/>
  <c r="D93" i="4" a="1"/>
  <c r="D116" i="4" a="1"/>
  <c r="D84" i="4" a="1"/>
  <c r="D111" i="4" a="1"/>
  <c r="D79" i="4" a="1"/>
  <c r="D106" i="4" a="1"/>
  <c r="D15" i="4" a="1"/>
  <c r="D104" i="4" a="1"/>
  <c r="D94" i="4" a="1"/>
  <c r="E26" i="4" a="1"/>
  <c r="D127" i="4" a="1"/>
  <c r="D122" i="4" a="1"/>
  <c r="D128" i="4" a="1"/>
  <c r="D123" i="4" a="1"/>
  <c r="D118" i="4" a="1"/>
  <c r="D124" i="4" a="1"/>
  <c r="D87" i="4" a="1"/>
  <c r="D121" i="4" a="1"/>
  <c r="D89" i="4" a="1"/>
  <c r="D112" i="4" a="1"/>
  <c r="D80" i="4" a="1"/>
  <c r="D107" i="4" a="1"/>
  <c r="G26" i="4" a="1"/>
  <c r="D102" i="4" a="1"/>
  <c r="D102" i="4" l="1"/>
  <c r="G26" i="4"/>
  <c r="D107" i="4"/>
  <c r="D80" i="4"/>
  <c r="D112" i="4"/>
  <c r="D89" i="4"/>
  <c r="D121" i="4"/>
  <c r="D87" i="4"/>
  <c r="D124" i="4"/>
  <c r="D118" i="4"/>
  <c r="D123" i="4"/>
  <c r="D128" i="4"/>
  <c r="D122" i="4"/>
  <c r="D127" i="4"/>
  <c r="E26" i="4"/>
  <c r="D94" i="4"/>
  <c r="D104" i="4"/>
  <c r="D15" i="4"/>
  <c r="D16" i="4" s="1"/>
  <c r="D106" i="4"/>
  <c r="D79" i="4"/>
  <c r="D111" i="4"/>
  <c r="D84" i="4"/>
  <c r="D116" i="4"/>
  <c r="D93" i="4"/>
  <c r="D125" i="4"/>
  <c r="D99" i="4"/>
  <c r="D81" i="4"/>
  <c r="F26" i="4"/>
  <c r="D110" i="4"/>
  <c r="D83" i="4"/>
  <c r="D115" i="4"/>
  <c r="D88" i="4"/>
  <c r="D120" i="4"/>
  <c r="D97" i="4"/>
  <c r="D130" i="4"/>
  <c r="D82" i="4"/>
  <c r="D114" i="4"/>
  <c r="D119" i="4"/>
  <c r="D92" i="4"/>
  <c r="D101" i="4"/>
  <c r="D86" i="4"/>
  <c r="D91" i="4"/>
  <c r="D96" i="4"/>
  <c r="D105" i="4"/>
  <c r="D90" i="4"/>
  <c r="D95" i="4"/>
  <c r="D100" i="4"/>
  <c r="D109" i="4"/>
  <c r="D126" i="4"/>
  <c r="B6" i="4"/>
  <c r="D113" i="4"/>
  <c r="D98" i="4"/>
  <c r="D85" i="4"/>
  <c r="D17" i="4"/>
  <c r="D21" i="4" s="1"/>
  <c r="B66" i="4"/>
  <c r="B147" i="4" s="1"/>
  <c r="B58" i="4"/>
  <c r="B139" i="4" s="1"/>
  <c r="E65" i="4"/>
  <c r="D65" i="4"/>
  <c r="D57" i="4"/>
  <c r="F138" i="4" s="1"/>
  <c r="C65" i="4"/>
  <c r="C57" i="4"/>
  <c r="G138" i="4" s="1"/>
  <c r="B65" i="4"/>
  <c r="B146" i="4" s="1"/>
  <c r="B57" i="4"/>
  <c r="B138" i="4" s="1"/>
  <c r="E62" i="4"/>
  <c r="D66" i="4"/>
  <c r="D58" i="4"/>
  <c r="C66" i="4"/>
  <c r="G147" i="4" s="1"/>
  <c r="C58" i="4"/>
  <c r="E59" i="4"/>
  <c r="E56" i="4"/>
  <c r="B54" i="4"/>
  <c r="B135" i="4" s="1"/>
  <c r="E57" i="4"/>
  <c r="D61" i="4"/>
  <c r="C61" i="4"/>
  <c r="C53" i="4"/>
  <c r="G134" i="4" s="1"/>
  <c r="B61" i="4"/>
  <c r="B142" i="4" s="1"/>
  <c r="E54" i="4"/>
  <c r="D62" i="4"/>
  <c r="C62" i="4"/>
  <c r="E52" i="4"/>
  <c r="E63" i="4"/>
  <c r="E60" i="4"/>
  <c r="B64" i="4"/>
  <c r="B145" i="4" s="1"/>
  <c r="B56" i="4"/>
  <c r="B137" i="4" s="1"/>
  <c r="E61" i="4"/>
  <c r="D63" i="4"/>
  <c r="D55" i="4"/>
  <c r="C63" i="4"/>
  <c r="C55" i="4"/>
  <c r="B63" i="4"/>
  <c r="B144" i="4" s="1"/>
  <c r="B55" i="4"/>
  <c r="B136" i="4" s="1"/>
  <c r="E58" i="4"/>
  <c r="D64" i="4"/>
  <c r="F145" i="4" s="1"/>
  <c r="D56" i="4"/>
  <c r="C64" i="4"/>
  <c r="C56" i="4"/>
  <c r="B62" i="4"/>
  <c r="B143" i="4" s="1"/>
  <c r="D53" i="4"/>
  <c r="B53" i="4"/>
  <c r="B134" i="4" s="1"/>
  <c r="D54" i="4"/>
  <c r="C54" i="4"/>
  <c r="G135" i="4" s="1"/>
  <c r="E55" i="4"/>
  <c r="E53" i="4"/>
  <c r="C51" i="4"/>
  <c r="D60" i="4"/>
  <c r="E51" i="4"/>
  <c r="E64" i="4"/>
  <c r="E66" i="4"/>
  <c r="D59" i="4"/>
  <c r="F140" i="4" s="1"/>
  <c r="B59" i="4"/>
  <c r="B140" i="4" s="1"/>
  <c r="D52" i="4"/>
  <c r="B52" i="4"/>
  <c r="B133" i="4" s="1"/>
  <c r="B51" i="4"/>
  <c r="B132" i="4" s="1"/>
  <c r="C52" i="4"/>
  <c r="B60" i="4"/>
  <c r="B141" i="4" s="1"/>
  <c r="D51" i="4"/>
  <c r="C60" i="4"/>
  <c r="G141" i="4" s="1"/>
  <c r="C59" i="4"/>
  <c r="D103" i="4"/>
  <c r="D26" i="4"/>
  <c r="D108" i="4"/>
  <c r="D117" i="4"/>
  <c r="I44" i="3"/>
  <c r="J44" i="3" s="1" a="1"/>
  <c r="J44" i="3" s="1"/>
  <c r="H42" i="3"/>
  <c r="G42" i="3" s="1"/>
  <c r="I42" i="3" s="1"/>
  <c r="J42" i="3" s="1" a="1"/>
  <c r="J42" i="3" s="1"/>
  <c r="H43" i="3"/>
  <c r="G43" i="3" s="1"/>
  <c r="I43" i="3" s="1"/>
  <c r="J43" i="3" s="1" a="1"/>
  <c r="J43" i="3" s="1"/>
  <c r="H41" i="3"/>
  <c r="G41" i="3" s="1"/>
  <c r="I79" i="3"/>
  <c r="C41" i="4" s="1"/>
  <c r="H77" i="3"/>
  <c r="G77" i="3" s="1"/>
  <c r="H75" i="3"/>
  <c r="G75" i="3" s="1"/>
  <c r="I75" i="3" s="1"/>
  <c r="C37" i="4" s="1"/>
  <c r="H78" i="3"/>
  <c r="G78" i="3" s="1"/>
  <c r="H76" i="3"/>
  <c r="G76" i="3" s="1"/>
  <c r="I76" i="3" s="1"/>
  <c r="C38" i="4" s="1"/>
  <c r="E90" i="3"/>
  <c r="E91" i="3" a="1"/>
  <c r="E91" i="3" s="1"/>
  <c r="D45" i="4" a="1"/>
  <c r="D14" i="4" a="1"/>
  <c r="D44" i="4" a="1"/>
  <c r="D46" i="4" a="1"/>
  <c r="G132" i="4" l="1"/>
  <c r="G137" i="4"/>
  <c r="G144" i="4"/>
  <c r="F133" i="4"/>
  <c r="G145" i="4"/>
  <c r="F136" i="4"/>
  <c r="G143" i="4"/>
  <c r="G140" i="4"/>
  <c r="F137" i="4"/>
  <c r="F144" i="4"/>
  <c r="F143" i="4"/>
  <c r="F132" i="4"/>
  <c r="F135" i="4"/>
  <c r="G139" i="4"/>
  <c r="G146" i="4"/>
  <c r="F134" i="4"/>
  <c r="F146" i="4"/>
  <c r="G133" i="4"/>
  <c r="G142" i="4"/>
  <c r="F139" i="4"/>
  <c r="F141" i="4"/>
  <c r="G136" i="4"/>
  <c r="F142" i="4"/>
  <c r="F147" i="4"/>
  <c r="D46" i="4"/>
  <c r="D44" i="4"/>
  <c r="D14" i="4"/>
  <c r="D45" i="4"/>
  <c r="E99" i="3"/>
  <c r="I78" i="3"/>
  <c r="C40" i="4" s="1"/>
  <c r="H74" i="3"/>
  <c r="G74" i="3" s="1"/>
  <c r="I74" i="3" s="1"/>
  <c r="C36" i="4" s="1"/>
  <c r="H73" i="3"/>
  <c r="G73" i="3" s="1"/>
  <c r="I77" i="3"/>
  <c r="C39" i="4" s="1"/>
  <c r="H40" i="3"/>
  <c r="G40" i="3" s="1"/>
  <c r="I41" i="3"/>
  <c r="J41" i="3" s="1" a="1"/>
  <c r="J41" i="3" s="1"/>
  <c r="D43" i="4" a="1"/>
  <c r="D43" i="4" l="1"/>
  <c r="I40" i="3"/>
  <c r="J40" i="3" s="1" a="1"/>
  <c r="J40" i="3" s="1"/>
  <c r="H39" i="3"/>
  <c r="G39" i="3" s="1"/>
  <c r="I73" i="3"/>
  <c r="C35" i="4" s="1"/>
  <c r="H72" i="3"/>
  <c r="G72" i="3" s="1"/>
  <c r="D42" i="4" a="1"/>
  <c r="D42" i="4" l="1"/>
  <c r="I72" i="3"/>
  <c r="C34" i="4" s="1"/>
  <c r="H71" i="3"/>
  <c r="G71" i="3" s="1"/>
  <c r="H36" i="3"/>
  <c r="G36" i="3" s="1"/>
  <c r="I36" i="3" s="1"/>
  <c r="J36" i="3" s="1" a="1"/>
  <c r="J36" i="3" s="1"/>
  <c r="I39" i="3"/>
  <c r="J39" i="3" s="1" a="1"/>
  <c r="J39" i="3" s="1"/>
  <c r="H35" i="3"/>
  <c r="G35" i="3" s="1"/>
  <c r="I35" i="3" s="1"/>
  <c r="J35" i="3" s="1" a="1"/>
  <c r="J35" i="3" s="1"/>
  <c r="H37" i="3"/>
  <c r="G37" i="3" s="1"/>
  <c r="H38" i="3"/>
  <c r="G38" i="3" s="1"/>
  <c r="D38" i="4" a="1"/>
  <c r="D41" i="4" a="1"/>
  <c r="D37" i="4" a="1"/>
  <c r="D37" i="4" l="1"/>
  <c r="D41" i="4"/>
  <c r="D38" i="4"/>
  <c r="H70" i="3"/>
  <c r="G70" i="3" s="1"/>
  <c r="I70" i="3" s="1"/>
  <c r="C32" i="4" s="1"/>
  <c r="I71" i="3"/>
  <c r="C33" i="4" s="1"/>
  <c r="H34" i="3"/>
  <c r="G34" i="3" s="1"/>
  <c r="I34" i="3" s="1"/>
  <c r="J34" i="3" s="1" a="1"/>
  <c r="J34" i="3" s="1"/>
  <c r="I38" i="3"/>
  <c r="J38" i="3" s="1" a="1"/>
  <c r="J38" i="3" s="1"/>
  <c r="I37" i="3"/>
  <c r="J37" i="3" s="1" a="1"/>
  <c r="J37" i="3" s="1"/>
  <c r="H33" i="3"/>
  <c r="G33" i="3" s="1"/>
  <c r="D36" i="4" a="1"/>
  <c r="D39" i="4" a="1"/>
  <c r="D40" i="4" a="1"/>
  <c r="D40" i="4" l="1"/>
  <c r="D39" i="4"/>
  <c r="D36" i="4"/>
  <c r="I33" i="3"/>
  <c r="J33" i="3" s="1" a="1"/>
  <c r="J33" i="3" s="1"/>
  <c r="H32" i="3"/>
  <c r="G32" i="3" s="1"/>
  <c r="D35" i="4" a="1"/>
  <c r="D35" i="4" l="1"/>
  <c r="I32" i="3"/>
  <c r="J32" i="3" s="1" a="1"/>
  <c r="J32" i="3" s="1"/>
  <c r="H31" i="3"/>
  <c r="G31" i="3" s="1"/>
  <c r="D34" i="4" a="1"/>
  <c r="D34" i="4" l="1"/>
  <c r="I31" i="3"/>
  <c r="J31" i="3" s="1" a="1"/>
  <c r="J31" i="3" s="1"/>
  <c r="H30" i="3"/>
  <c r="G30" i="3" s="1"/>
  <c r="I30" i="3" s="1"/>
  <c r="D33" i="4" a="1"/>
  <c r="D33" i="4" l="1"/>
  <c r="J30" i="3" a="1"/>
  <c r="J30" i="3" s="1"/>
  <c r="E98" i="3"/>
  <c r="B7" i="4" s="1"/>
  <c r="D32" i="4" a="1"/>
  <c r="D32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<sst xmlns="http://schemas.openxmlformats.org/spreadsheetml/2006/main" count="383" uniqueCount="283">
  <si>
    <t xml:space="preserve">Риски сроков на сетевом графике</t>
  </si>
  <si>
    <t xml:space="preserve">Пример МоделРиск  ·  Проекты и строительство  ·  PC-03</t>
  </si>
  <si>
    <t xml:space="preserve">Когда откроют новый мост?  Риски сроков на сетевом графике работ: дата завершения, критичность и эффект слияния путей.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</si>
  <si>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</si>
  <si>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</si>
  <si>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</si>
  <si>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Проекты и строительство</t>
  </si>
  <si>
    <t xml:space="preserve">Сложность</t>
  </si>
  <si>
    <t xml:space="preserve">★★★☆☆   Сеть из 15 работ с трехточечными длительностями и рисковым событием: прямой и обратный проход в каждой итерации.</t>
  </si>
  <si>
    <t xml:space="preserve">Вопрос бизнеса</t>
  </si>
  <si>
    <t xml:space="preserve">Замена автомобильного моста по наиболее вероятным длительностям занимает 40 недель, контракт допускает 44. Насколько вероятно закончить за 44 недели, какую дату завершения можно обещать с надежностью 80% и какие работы на самом деле определяют срок?</t>
  </si>
  <si>
    <t xml:space="preserve">Для кого</t>
  </si>
  <si>
    <t xml:space="preserve">Планировщикам, руководителям проектов и подрядчикам, которые составляют или проверяют графики.</t>
  </si>
  <si>
    <t xml:space="preserve">Основные результаты</t>
  </si>
  <si>
    <t xml:space="preserve">Завершение в неделях и датой: P50 / P80 / P90 · вероятность уложиться в срок контракта · эффект асимметрии длительностей и эффект слияния путей · индекс критичности каждой работы и ее влияние на срок · диаграмма Ганта каждой итерации.</t>
  </si>
  <si>
    <t xml:space="preserve">Приемы МоделРиск</t>
  </si>
  <si>
    <t xml:space="preserve">Длительности PERT и рисковое событие в сети «окончание — начало» · прямой и обратный проход прямо в таблице в каждой итерации · резервы и индекс критичности · эффект слияния путей в узле, где сходятся пути · «торнадо» по условным средним.</t>
  </si>
  <si>
    <t xml:space="preserve">Файл</t>
  </si>
  <si>
    <t xml:space="preserve">PC-03 Риски сроков на сетевом графике  ·  Версия 1.0  ·  Ноябрь 2026  ·  создано в МоделРиск</t>
  </si>
  <si>
    <t xml:space="preserve">Вопрос бизнеса</t>
  </si>
  <si>
    <t xml:space="preserve">Муниципалитет заменяет старый автомобильный мост. В графике пятнадцать работ: проектирование, демонтаж, сваи и стены двух устоев, промежуточная опора в русле, изготовление балок на заводе, затем плита проезжей части, покрытие и открытие. При наиболее вероятных длительностях критический путь дает 40 недель, а контракт допускает 44. Но длительности неопределенны и асимметричны — работы скорее затянутся, чем закончатся раньше, — и до монтажа балок должны завершиться четыре пути. Там, где параллельные пути сходятся, темп задает самый поздний из них, поэтому проект опаздывает, если опаздывает любой. Этот эффект слияния путей не виден в детерминированном графике. Модель выбирает каждую длительность, в каждой итерации рассчитывает сетевой график прямым и обратным проходом и показывает дату завершения, вероятность уложиться в срок контракта и то, как часто каждая работа оказывается критической.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</si>
  <si>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</si>
  <si>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</si>
  <si>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</si>
  <si>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Дата начала, срок по контракту и рисковое событие: паводок, останавливающий работы на опоре в русле.</t>
  </si>
  <si>
    <t xml:space="preserve">2  Сеть</t>
  </si>
  <si>
    <t xml:space="preserve">У каждой работы длительность PERT и предшественники со связью «окончание — начало». Начало каждой работы — самое позднее окончание ее предшественников (прямой проход); позднее окончание — самое раннее позднее начало ее последователей (обратный проход). Резерв — разница между ними; работа без резерва в этой итерации критическая. Для сравнения та же сеть рассчитывается с наиболее вероятными и со средними длительностями.</t>
  </si>
  <si>
    <t xml:space="preserve">3  Результаты</t>
  </si>
  <si>
    <t xml:space="preserve">Процентили и даты завершения, вероятность уложиться в срок контракта, разница между детерминированным и смоделированным сроком, разложенная на асимметрию и эффект слияния, и для каждой работы — как часто она критическая и насколько ее длительность влияет на срок.</t>
  </si>
  <si>
    <t xml:space="preserve">Как пользоваться моделью</t>
  </si>
  <si>
    <t xml:space="preserve">Шаг 1</t>
  </si>
  <si>
    <t xml:space="preserve">Введите трехточечные длительности своих работ на листе «Сеть». Логика (предшественники) встроена в формулы столбца «Начало»: каждая берет самое позднее окончание перечисленных работ.</t>
  </si>
  <si>
    <t xml:space="preserve">Шаг 2</t>
  </si>
  <si>
    <t xml:space="preserve">Задайте дату начала, срок по контракту и рисковое событие на листе «Исходные данные».</t>
  </si>
  <si>
    <t xml:space="preserve">Шаг 3</t>
  </si>
  <si>
    <t xml:space="preserve">Нажимайте F9, чтобы видеть, как меняется диаграмма Ганта, затем запустите моделирование на ленте МоделРиск (10 000 итераций).</t>
  </si>
  <si>
    <t xml:space="preserve">Шаг 4</t>
  </si>
  <si>
    <t xml:space="preserve">Нагоняйте график на работах с высоким индексом критичности и сильным влиянием на срок.</t>
  </si>
  <si>
    <t xml:space="preserve">Структура модели</t>
  </si>
  <si>
    <t xml:space="preserve">Исходные данные</t>
  </si>
  <si>
    <t xml:space="preserve">Дата начала, срок по контракту и рисковое событие «паводок».</t>
  </si>
  <si>
    <t xml:space="preserve">Сеть</t>
  </si>
  <si>
    <t xml:space="preserve">Работы, график итерации с резервами и критичностью и его диаграмма Ганта, детерминированные графики, результаты.</t>
  </si>
  <si>
    <t xml:space="preserve">Результаты</t>
  </si>
  <si>
    <t xml:space="preserve">Завершение, вероятность уложиться в контракт, асимметрия и эффект слияния, критичность и чувствительность.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</si>
  <si>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</si>
  <si>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</si>
  <si>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</si>
  <si>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</si>
  <si>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</si>
  <si>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</si>
  <si>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</si>
  <si>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</si>
  <si>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</si>
  <si>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</si>
  <si>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</si>
  <si>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</si>
  <si>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Время</t>
  </si>
  <si>
    <t xml:space="preserve">Недели от начала проекта; даты — дата начала плюс целые недели.</t>
  </si>
  <si>
    <t xml:space="preserve">Критическая</t>
  </si>
  <si>
    <t xml:space="preserve">Работа критическая в итерации, если у нее нет резерва: любая ее задержка задерживает открытие.</t>
  </si>
  <si>
    <t xml:space="preserve">Индекс критичности</t>
  </si>
  <si>
    <t xml:space="preserve">Доля итераций, в которых работа критическая.</t>
  </si>
  <si>
    <t>P50 / P80 / P90</t>
  </si>
  <si>
    <t xml:space="preserve">Вероятность 50%, 80% и 90% закончить к этому сроку.</t>
  </si>
  <si>
    <t xml:space="preserve">Основные допущения и ограничения</t>
  </si>
  <si>
    <t xml:space="preserve">Логика</t>
  </si>
  <si>
    <t xml:space="preserve">Только связи «окончание — начало», без задержек; ресурсы не ограничены; погодного календаря нет, кроме риска паводка.</t>
  </si>
  <si>
    <t xml:space="preserve">Независимость</t>
  </si>
  <si>
    <t xml:space="preserve">Длительности независимы друг от друга; на практике их могут связывать общие причины (производительность, погода).</t>
  </si>
  <si>
    <t xml:space="preserve">Паводок</t>
  </si>
  <si>
    <t xml:space="preserve">Паводок добавляет задержку только опоре в русле.</t>
  </si>
  <si>
    <t xml:space="preserve">Данные</t>
  </si>
  <si>
    <t xml:space="preserve">Проект и все длительности придуманы для этого примера.</t>
  </si>
  <si>
    <t xml:space="preserve">Функции МоделРиск в модели</t>
  </si>
  <si>
    <t>VosePERT</t>
  </si>
  <si>
    <t xml:space="preserve">Длительность каждой работы по минимальной, наиболее вероятной и максимальной оценкам.</t>
  </si>
  <si>
    <t>VoseRiskEvent, VosePERTObject</t>
  </si>
  <si>
    <t xml:space="preserve">Паводок: нет задержки или число недель по PERT.</t>
  </si>
  <si>
    <t>VoseInput, VoseOutput</t>
  </si>
  <si>
    <t xml:space="preserve">Задают имена длительностей и результатов, в том числе критичности каждой работы.</t>
  </si>
  <si>
    <t>VoseSimMean, VoseSimPercentile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</si>
  <si>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</si>
  <si>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</si>
  <si>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все VoseInput по тому, насколько меняется среднее время завершения в пределах их диапазона.</t>
  </si>
  <si>
    <t xml:space="preserve">Что почитать</t>
  </si>
  <si>
    <t xml:space="preserve">Риски сроков</t>
  </si>
  <si>
    <t>Hulett, D. T. (2009). Practical Schedule Risk Analysis. Gower.</t>
  </si>
  <si>
    <t xml:space="preserve">Эффект слияния путей</t>
  </si>
  <si>
    <t>MacCrimmon, K. R. and Ryavec, C. A. (1964). An analytical study of the PERT assumptions. Operations Research 12(1), 16–37.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</si>
  <si>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</si>
  <si>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Дата начала, срок по контракту и риск паводка. Пятнадцать работ и их трехточечные длительности — на листе «Сеть». Меняйте только желтые ячейки.</t>
  </si>
  <si>
    <t xml:space="preserve">◂  Описание</t>
  </si>
  <si>
    <t xml:space="preserve">Далее:  Сеть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</si>
  <si>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</si>
  <si>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График</t>
  </si>
  <si>
    <t xml:space="preserve">Когда начинаются работы и что допускает контракт.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</si>
  <si>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</si>
  <si>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</si>
  <si>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</si>
  <si>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</si>
  <si>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</si>
  <si>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Дата начала</t>
  </si>
  <si>
    <t xml:space="preserve">дата</t>
  </si>
  <si>
    <t xml:space="preserve">Константа</t>
  </si>
  <si>
    <t xml:space="preserve">Уведомление о начале работ (1 марта 2027 г.).</t>
  </si>
  <si>
    <t xml:space="preserve">Срок по контракту</t>
  </si>
  <si>
    <t xml:space="preserve">нед.</t>
  </si>
  <si>
    <t xml:space="preserve">Дата завершения по контракту: 44 недели от начала.</t>
  </si>
  <si>
    <t xml:space="preserve">2   Рисковое событие</t>
  </si>
  <si>
    <t xml:space="preserve">Паводок останавливает работы в русле, пока не спадет вода.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</si>
  <si>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</si>
  <si>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</si>
  <si>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</si>
  <si>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</si>
  <si>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Вероятность паводка во время работ на опоре</t>
  </si>
  <si>
    <t xml:space="preserve">вероятность</t>
  </si>
  <si>
    <t xml:space="preserve">Данные гидропоста: один паводок за четыре зимы выше расчетного уровня перемычки.</t>
  </si>
  <si>
    <t xml:space="preserve">Задержка работ на опоре из-за паводка</t>
  </si>
  <si>
    <t xml:space="preserve">Рисковое событие  · PERT</t>
  </si>
  <si>
    <t xml:space="preserve">Откачка, осмотр и ремонт перемычки.</t>
  </si>
  <si>
    <t xml:space="preserve">СЕТЬ   ·   Пятнадцать работ: длительности, прямой и обратный проход, резервы и критический путь (недели).</t>
  </si>
  <si>
    <t xml:space="preserve">◂  Исходные данные</t>
  </si>
  <si>
    <t xml:space="preserve">Далее:  Результаты  ▸</t>
  </si>
  <si>
    <t xml:space="preserve">1   Работы</t>
  </si>
  <si>
    <t xml:space="preserve">Желтые ячейки — исходные данные. Столбец «Предшественники» — только подпись: логика записана в формулы столбца «Начало» в разделе 2, поэтому правка текста ничего не меняет.</t>
  </si>
  <si>
    <t xml:space="preserve">№</t>
  </si>
  <si>
    <t xml:space="preserve">Работа</t>
  </si>
  <si>
    <t xml:space="preserve">Предшественники</t>
  </si>
  <si>
    <t xml:space="preserve">Длительность  (нед.)</t>
  </si>
  <si>
    <t xml:space="preserve">Примечание</t>
  </si>
  <si>
    <t xml:space="preserve">только подпись</t>
  </si>
  <si>
    <t>PERT</t>
  </si>
  <si>
    <t>A</t>
  </si>
  <si>
    <t xml:space="preserve">Проектирование и согласования</t>
  </si>
  <si>
    <t>–</t>
  </si>
  <si>
    <t xml:space="preserve">Рабочая документация, согласование с дорожным ведомством</t>
  </si>
  <si>
    <t>B</t>
  </si>
  <si>
    <t xml:space="preserve">Мобилизация и организация движения</t>
  </si>
  <si>
    <t xml:space="preserve">Объезд обозначен и открыт</t>
  </si>
  <si>
    <t>C</t>
  </si>
  <si>
    <t xml:space="preserve">Демонтаж старого моста</t>
  </si>
  <si>
    <t xml:space="preserve">Ночные «окна» на железной дороге под мостом</t>
  </si>
  <si>
    <t>D</t>
  </si>
  <si>
    <t xml:space="preserve">Сваи северного устоя</t>
  </si>
  <si>
    <t xml:space="preserve">Буронабивные сваи; грунты известны по скважинам</t>
  </si>
  <si>
    <t>E</t>
  </si>
  <si>
    <t xml:space="preserve">Сваи южного устоя</t>
  </si>
  <si>
    <t xml:space="preserve">У берега реки грунты слабее</t>
  </si>
  <si>
    <t>F</t>
  </si>
  <si>
    <t xml:space="preserve">Опора в русле</t>
  </si>
  <si>
    <t xml:space="preserve">Перемычка в русле; риск паводка добавлен ниже</t>
  </si>
  <si>
    <t>G</t>
  </si>
  <si>
    <t xml:space="preserve">Изготовление стальных балок (на заводе)</t>
  </si>
  <si>
    <t xml:space="preserve">Слот на заводе забронирован после утверждения проекта</t>
  </si>
  <si>
    <t>H</t>
  </si>
  <si>
    <t xml:space="preserve">Стены северного устоя</t>
  </si>
  <si>
    <t>I</t>
  </si>
  <si>
    <t xml:space="preserve">Стены южного устоя</t>
  </si>
  <si>
    <t>J</t>
  </si>
  <si>
    <t xml:space="preserve">Доставка и монтаж балок</t>
  </si>
  <si>
    <t>F, G, H, I</t>
  </si>
  <si>
    <t xml:space="preserve">Нужны оба устоя, опора и балки</t>
  </si>
  <si>
    <t>K</t>
  </si>
  <si>
    <t xml:space="preserve">Плита проезжей части</t>
  </si>
  <si>
    <t>L</t>
  </si>
  <si>
    <t xml:space="preserve">Гидроизоляция и покрытие</t>
  </si>
  <si>
    <t>M</t>
  </si>
  <si>
    <t xml:space="preserve">Ограждения и отделка</t>
  </si>
  <si>
    <t>N</t>
  </si>
  <si>
    <t xml:space="preserve">Примыкания подходов</t>
  </si>
  <si>
    <t xml:space="preserve">Не зависит от самого моста</t>
  </si>
  <si>
    <t>O</t>
  </si>
  <si>
    <t xml:space="preserve">Испытания и открытие</t>
  </si>
  <si>
    <t>L, M, N</t>
  </si>
  <si>
    <t xml:space="preserve">Испытание нагрузкой и аудит безопасности</t>
  </si>
  <si>
    <t xml:space="preserve">2   График в этой итерации</t>
  </si>
  <si>
    <t xml:space="preserve">Начало = самое позднее окончание предшественников. Позднее окончание = самое раннее позднее начало последователей.</t>
  </si>
  <si>
    <t xml:space="preserve">Длительность</t>
  </si>
  <si>
    <t xml:space="preserve">Начало</t>
  </si>
  <si>
    <t xml:space="preserve">Окончание</t>
  </si>
  <si>
    <t xml:space="preserve">Позднее начало</t>
  </si>
  <si>
    <t xml:space="preserve">Позднее окончание</t>
  </si>
  <si>
    <t xml:space="preserve">Резерв</t>
  </si>
  <si>
    <t xml:space="preserve">Критическая?</t>
  </si>
  <si>
    <t xml:space="preserve">Как рассчитывается</t>
  </si>
  <si>
    <t xml:space="preserve">выборка</t>
  </si>
  <si>
    <t xml:space="preserve">1 = да</t>
  </si>
  <si>
    <t xml:space="preserve">Начало: окончание предшественника или самое позднее окончание, если их несколько (прямой проход)</t>
  </si>
  <si>
    <t xml:space="preserve">Позднее окончание: позднее начало последователя или самое раннее, если их несколько (обратный проход)</t>
  </si>
  <si>
    <t xml:space="preserve">Резерв = позднее начало − начало;  работа критическая, если резерв равен нулю</t>
  </si>
  <si>
    <t xml:space="preserve">Опора в русле: ее длительность включает задержку из-за паводка с листа «Исходные данные»</t>
  </si>
  <si>
    <t xml:space="preserve">3   Эта итерация в виде диаграммы Ганта</t>
  </si>
  <si>
    <t xml:space="preserve">График выше в масштабе. Нажмите F9, чтобы увидеть другой возможный график.</t>
  </si>
  <si>
    <t xml:space="preserve">4   Детерминированные графики</t>
  </si>
  <si>
    <t xml:space="preserve">Та же сеть с наиболее вероятными длительностями — прямой и обратный проход, чтобы найти ее критический путь, — и со средними длительностями (паводок по ожидаемому значению).</t>
  </si>
  <si>
    <t xml:space="preserve">длительность</t>
  </si>
  <si>
    <t xml:space="preserve">наиболее вероятное</t>
  </si>
  <si>
    <t xml:space="preserve">Наиболее вероятные длительности: обычный детерминированный график</t>
  </si>
  <si>
    <t xml:space="preserve">Критические в нем: нет резерва между началом и поздним началом</t>
  </si>
  <si>
    <t xml:space="preserve">Средние длительности: убирают асимметрию, но не эффект слияния</t>
  </si>
  <si>
    <t xml:space="preserve">5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</si>
  <si>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</si>
  <si>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</si>
  <si>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</si>
  <si>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</si>
  <si>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Завершение</t>
  </si>
  <si>
    <t xml:space="preserve">Окончание последней работы в этой итерации.</t>
  </si>
  <si>
    <t xml:space="preserve">Дата завершения</t>
  </si>
  <si>
    <t xml:space="preserve">Дата начала + недели × 7 дней.</t>
  </si>
  <si>
    <t xml:space="preserve">В пределах срока по контракту?  (1 = да)</t>
  </si>
  <si>
    <t>1 / 0</t>
  </si>
  <si>
    <t xml:space="preserve">Детерминированный, наиболее вероятные длительности</t>
  </si>
  <si>
    <t xml:space="preserve">Обычный график.</t>
  </si>
  <si>
    <t xml:space="preserve">Детерминированный, средние длительности</t>
  </si>
  <si>
    <t xml:space="preserve">Асимметрия убрана; эффект слияния по-прежнему не учтен.</t>
  </si>
  <si>
    <t xml:space="preserve">6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</si>
  <si>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</si>
  <si>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Длительности: мин. ≤ наиболее вероятное ≤ макс.</t>
  </si>
  <si>
    <t xml:space="preserve">Нет отрицательных резервов  (обратный проход согласован)</t>
  </si>
  <si>
    <t xml:space="preserve">Последняя работа критическая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</si>
  <si>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</si>
  <si>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Сеть</t>
  </si>
  <si>
    <t xml:space="preserve">1   Завершение</t>
  </si>
  <si>
    <t xml:space="preserve">Завершение — S-кривая</t>
  </si>
  <si>
    <t xml:space="preserve">Недели от начала. Контракт допускает длительность с листа «Исходные данные».</t>
  </si>
  <si>
    <t xml:space="preserve">Показатель</t>
  </si>
  <si>
    <t xml:space="preserve">Срок по контракту  (лист «Исходные данные»)</t>
  </si>
  <si>
    <t xml:space="preserve">Дата завершения по контракту</t>
  </si>
  <si>
    <t xml:space="preserve">Вероятность уложиться в срок контракта</t>
  </si>
  <si>
    <t xml:space="preserve">Завершение P80</t>
  </si>
  <si>
    <t xml:space="preserve">Дата завершения P80</t>
  </si>
  <si>
    <t xml:space="preserve">Среднее завершение  (моделирование)</t>
  </si>
  <si>
    <t xml:space="preserve">Детерминированное завершение, наиболее вероятные длительности</t>
  </si>
  <si>
    <t xml:space="preserve">Детерминированное завершение, средние длительности</t>
  </si>
  <si>
    <t xml:space="preserve">Эффект асимметрии длительностей  (график по средним − по наиболее вероятным)</t>
  </si>
  <si>
    <t xml:space="preserve">Эффект слияния путей  (среднее моделирования − график по средним)</t>
  </si>
  <si>
    <t xml:space="preserve">2   Процентили завершения</t>
  </si>
  <si>
    <t xml:space="preserve">P50 / P80 / P90: вероятность 50%, 80% и 90% закончить к этому сроку.</t>
  </si>
  <si>
    <t>P50</t>
  </si>
  <si>
    <t>P80</t>
  </si>
  <si>
    <t>P90</t>
  </si>
  <si>
    <t xml:space="preserve">3   Какие работы критические</t>
  </si>
  <si>
    <t xml:space="preserve">Индекс критичности: как часто работа оказывается на критическом пути при моделировании.</t>
  </si>
  <si>
    <t xml:space="preserve">Критическая,</t>
  </si>
  <si>
    <t xml:space="preserve">Индекс</t>
  </si>
  <si>
    <t xml:space="preserve">критичности</t>
  </si>
  <si>
    <t xml:space="preserve">A  Проектирование и согласования</t>
  </si>
  <si>
    <t xml:space="preserve">B  Мобилизация и организация движения</t>
  </si>
  <si>
    <t xml:space="preserve">C  Демонтаж старого моста</t>
  </si>
  <si>
    <t xml:space="preserve">D  Сваи северного устоя</t>
  </si>
  <si>
    <t xml:space="preserve">E  Сваи южного устоя</t>
  </si>
  <si>
    <t xml:space="preserve">F  Опора в русле</t>
  </si>
  <si>
    <t xml:space="preserve">G  Изготовление стальных балок (на заводе)</t>
  </si>
  <si>
    <t xml:space="preserve">H  Стены северного устоя</t>
  </si>
  <si>
    <t xml:space="preserve">I  Стены южного устоя</t>
  </si>
  <si>
    <t xml:space="preserve">J  Доставка и монтаж балок</t>
  </si>
  <si>
    <t xml:space="preserve">K  Плита проезжей части</t>
  </si>
  <si>
    <t xml:space="preserve">L  Гидроизоляция и покрытие</t>
  </si>
  <si>
    <t xml:space="preserve">M  Ограждения и отделка</t>
  </si>
  <si>
    <t xml:space="preserve">N  Примыкания подходов</t>
  </si>
  <si>
    <t xml:space="preserve">O  Испытания и открытие</t>
  </si>
  <si>
    <t xml:space="preserve">4   Какие длительности определяют срок</t>
  </si>
  <si>
    <t xml:space="preserve">Влияние каждой длительности на срок завершения  (нед.)</t>
  </si>
  <si>
    <t xml:space="preserve">Наименьшее и наибольшее среднее срока завершения по десяти равным группам каждой исходной величины (VoseSimSensitivityMean), от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</si>
  <si>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</si>
  <si>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</si>
  <si>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</si>
  <si>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</si>
  <si>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5   Как читать результаты</t>
  </si>
  <si>
    <t xml:space="preserve">•  Детерминированный график заканчивается через 40 недель, но этот срок почти не выдерживается: сумма наиболее вероятных длительностей меньше медианы, а там, где пути сходятся, темп задает самый поздний из них (эффект слияния). Эти два эффекта показаны отдельно.</t>
  </si>
  <si>
    <t xml:space="preserve">•  Работы, критические в детерминированном графике, не всегда критические на практике, а другие становятся критическими, когда затягиваются: индекс критичности показывает, как часто каждая работа определяет срок.</t>
  </si>
  <si>
    <t xml:space="preserve">•  Усилия по нагону графика окупаются на работах с высоким индексом критичности и сильным влиянием: сокращение некритической работы ничего не меняет.</t>
  </si>
  <si>
    <t xml:space="preserve">•  Общие причины, например производительность или погода, могут заставить длительности меняться вместе, что расширяет диапазон; в этой модели они независимы.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</si>
  <si>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</si>
  <si>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</si>
  <si>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</si>
  <si>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</si>
  <si>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 xml:space="preserve">Общее среднее Finish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</si>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</sst>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\ mmm\ yyyy"/>
    <numFmt numFmtId="165" formatCode="#,##0.0_);\(#,##0.0\);&quot;–&quot;_)"/>
    <numFmt numFmtId="166" formatCode="#,##0_);\(#,##0\);&quot;–&quot;_)"/>
    <numFmt numFmtId="167" formatCode="0.0%;\-0.0%;0.0%;&quot;–&quot;"/>
    <numFmt numFmtId="168" formatCode="#,##0.0_);\(#,##0.0\);&quot;–&quot;_);&quot;–&quot;"/>
    <numFmt numFmtId="169" formatCode="d\ mmm\ yyyy;\-d\ mmm\ yyyy;d\ mmm\ yyyy;&quot;–&quot;"/>
    <numFmt numFmtId="170" formatCode="0%;\-0%;0%;&quot;–&quot;"/>
    <numFmt numFmtId="171" formatCode="0;\-0;0;&quot;–&quot;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b/>
      <sz val="13"/>
      <color rgb="FF1F2328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3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" fontId="1" fillId="2" borderId="7" xfId="1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0" fillId="7" borderId="2" xfId="0" applyFill="1" applyBorder="1"/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6" fontId="1" fillId="2" borderId="7" xfId="1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165" fontId="4" fillId="4" borderId="9" xfId="4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21" fillId="0" borderId="6" xfId="0" applyFont="1" applyBorder="1" applyAlignment="1">
      <alignment horizontal="left" vertical="center" indent="1"/>
    </xf>
    <xf numFmtId="167" fontId="22" fillId="5" borderId="7" xfId="5" applyNumberFormat="1" applyFont="1" applyBorder="1">
      <alignment horizontal="right" vertical="center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/>
    </xf>
    <xf numFmtId="170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1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8" fontId="1" fillId="5" borderId="1" xfId="5" applyNumberFormat="1">
      <alignment horizontal="right" vertical="center"/>
    </xf>
    <xf numFmtId="0" fontId="21" fillId="0" borderId="0" xfId="0" applyFont="1" applyAlignment="1">
      <alignment horizontal="left" vertical="center" indent="1"/>
    </xf>
    <xf numFmtId="165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7"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v>Начало</c:v>
          </c:tx>
          <c:spPr>
            <a:noFill/>
            <a:ln>
              <a:noFill/>
              <a:prstDash val="solid"/>
            </a:ln>
          </c:spPr>
          <c:invertIfNegative val="1"/>
          <c:cat>
            <c:strRef>
              <c:f>'Сеть'!$C$30:$C$44</c:f>
              <c:strCache>
                <c:ptCount val="15"/>
                <c:pt idx="0">
                  <c:v>Проектирование и согласования</c:v>
                </c:pt>
                <c:pt idx="1">
                  <c:v>Мобилизация и организация движения</c:v>
                </c:pt>
                <c:pt idx="2">
                  <c:v>Демонтаж старого моста</c:v>
                </c:pt>
                <c:pt idx="3">
                  <c:v>Сваи северного устоя</c:v>
                </c:pt>
                <c:pt idx="4">
                  <c:v>Сваи южного устоя</c:v>
                </c:pt>
                <c:pt idx="5">
                  <c:v>Опора в русле</c:v>
                </c:pt>
                <c:pt idx="6">
                  <c:v>Изготовление стальных балок (на заводе)</c:v>
                </c:pt>
                <c:pt idx="7">
                  <c:v>Стены северного устоя</c:v>
                </c:pt>
                <c:pt idx="8">
                  <c:v>Стены южного устоя</c:v>
                </c:pt>
                <c:pt idx="9">
                  <c:v>Доставка и монтаж балок</c:v>
                </c:pt>
                <c:pt idx="10">
                  <c:v>Плита проезжей части</c:v>
                </c:pt>
                <c:pt idx="11">
                  <c:v>Гидроизоляция и покрытие</c:v>
                </c:pt>
                <c:pt idx="12">
                  <c:v>Ограждения и отделка</c:v>
                </c:pt>
                <c:pt idx="13">
                  <c:v>Примыкания подходов</c:v>
                </c:pt>
                <c:pt idx="14">
                  <c:v>Испытания и открытие</c:v>
                </c:pt>
              </c:strCache>
            </c:strRef>
          </c:cat>
          <c:val>
            <c:numRef>
              <c:f>'Сеть'!$E$30:$E$44</c:f>
              <c:numCache>
                <c:formatCode>#,##0.0_);\(#,##0.0\);"–"_)</c:formatCode>
                <c:ptCount val="15"/>
                <c:pt idx="0">
                  <c:v>0</c:v>
                </c:pt>
                <c:pt idx="1">
                  <c:v>11.598555271046601</c:v>
                </c:pt>
                <c:pt idx="2">
                  <c:v>14.927270862498478</c:v>
                </c:pt>
                <c:pt idx="3">
                  <c:v>19.67744417736543</c:v>
                </c:pt>
                <c:pt idx="4">
                  <c:v>19.67744417736543</c:v>
                </c:pt>
                <c:pt idx="5">
                  <c:v>19.67744417736543</c:v>
                </c:pt>
                <c:pt idx="6">
                  <c:v>11.598555271046601</c:v>
                </c:pt>
                <c:pt idx="7">
                  <c:v>27.486235968656214</c:v>
                </c:pt>
                <c:pt idx="8">
                  <c:v>29.156361190320453</c:v>
                </c:pt>
                <c:pt idx="9">
                  <c:v>33.28229839246135</c:v>
                </c:pt>
                <c:pt idx="10">
                  <c:v>35.607788063429048</c:v>
                </c:pt>
                <c:pt idx="11">
                  <c:v>40.89458121440974</c:v>
                </c:pt>
                <c:pt idx="12">
                  <c:v>40.89458121440974</c:v>
                </c:pt>
                <c:pt idx="13">
                  <c:v>14.927270862498478</c:v>
                </c:pt>
                <c:pt idx="14">
                  <c:v>43.408459159484082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C5-4ED9-A9A9-7EF233F3D1F6}"/>
            </c:ext>
          </c:extLst>
        </c:ser>
        <c:ser>
          <c:idx val="1"/>
          <c:order val="1"/>
          <c:tx>
            <c:v>Длительность (нед.)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strRef>
              <c:f>'Сеть'!$C$30:$C$44</c:f>
              <c:strCache>
                <c:ptCount val="15"/>
                <c:pt idx="0">
                  <c:v>Проектирование и согласования</c:v>
                </c:pt>
                <c:pt idx="1">
                  <c:v>Мобилизация и организация движения</c:v>
                </c:pt>
                <c:pt idx="2">
                  <c:v>Демонтаж старого моста</c:v>
                </c:pt>
                <c:pt idx="3">
                  <c:v>Сваи северного устоя</c:v>
                </c:pt>
                <c:pt idx="4">
                  <c:v>Сваи южного устоя</c:v>
                </c:pt>
                <c:pt idx="5">
                  <c:v>Опора в русле</c:v>
                </c:pt>
                <c:pt idx="6">
                  <c:v>Изготовление стальных балок (на заводе)</c:v>
                </c:pt>
                <c:pt idx="7">
                  <c:v>Стены северного устоя</c:v>
                </c:pt>
                <c:pt idx="8">
                  <c:v>Стены южного устоя</c:v>
                </c:pt>
                <c:pt idx="9">
                  <c:v>Доставка и монтаж балок</c:v>
                </c:pt>
                <c:pt idx="10">
                  <c:v>Плита проезжей части</c:v>
                </c:pt>
                <c:pt idx="11">
                  <c:v>Гидроизоляция и покрытие</c:v>
                </c:pt>
                <c:pt idx="12">
                  <c:v>Ограждения и отделка</c:v>
                </c:pt>
                <c:pt idx="13">
                  <c:v>Примыкания подходов</c:v>
                </c:pt>
                <c:pt idx="14">
                  <c:v>Испытания и открытие</c:v>
                </c:pt>
              </c:strCache>
            </c:strRef>
          </c:cat>
          <c:val>
            <c:numRef>
              <c:f>'Сеть'!$D$30:$D$44</c:f>
              <c:numCache>
                <c:formatCode>#,##0.0_);\(#,##0.0\);"–"_)</c:formatCode>
                <c:ptCount val="15"/>
                <c:pt idx="0">
                  <c:v>11.598555271046601</c:v>
                </c:pt>
                <c:pt idx="1">
                  <c:v>3.3287155914518776</c:v>
                </c:pt>
                <c:pt idx="2">
                  <c:v>4.7501733148669532</c:v>
                </c:pt>
                <c:pt idx="3">
                  <c:v>7.8087917912907825</c:v>
                </c:pt>
                <c:pt idx="4">
                  <c:v>9.4789170129550229</c:v>
                </c:pt>
                <c:pt idx="5">
                  <c:v>12.558102774384377</c:v>
                </c:pt>
                <c:pt idx="6">
                  <c:v>14.592216350081415</c:v>
                </c:pt>
                <c:pt idx="7">
                  <c:v>3.5561115693979488</c:v>
                </c:pt>
                <c:pt idx="8">
                  <c:v>4.1259372021408973</c:v>
                </c:pt>
                <c:pt idx="9">
                  <c:v>2.3254896709676958</c:v>
                </c:pt>
                <c:pt idx="10">
                  <c:v>5.2867931509806887</c:v>
                </c:pt>
                <c:pt idx="11">
                  <c:v>2.5138779450743449</c:v>
                </c:pt>
                <c:pt idx="12">
                  <c:v>2.0753303007780324</c:v>
                </c:pt>
                <c:pt idx="13">
                  <c:v>4.276137040744322</c:v>
                </c:pt>
                <c:pt idx="14">
                  <c:v>1.2292119419956793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EC5-4ED9-A9A9-7EF233F3D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Недели от начала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"/>
        <c:crosses val="max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Завершение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'Результаты'!$D$79:$D$128</c:f>
              <c:numCache>
                <c:formatCode>#,##0.00</c:formatCode>
                <c:ptCount val="50"/>
                <c:pt idx="0">
                  <c:v>38.645177427762668</c:v>
                </c:pt>
                <c:pt idx="1">
                  <c:v>39.498353092374174</c:v>
                </c:pt>
                <c:pt idx="2">
                  <c:v>39.969215777900196</c:v>
                </c:pt>
                <c:pt idx="3">
                  <c:v>40.290247086893785</c:v>
                </c:pt>
                <c:pt idx="4">
                  <c:v>40.549903596220638</c:v>
                </c:pt>
                <c:pt idx="5">
                  <c:v>40.841547844613551</c:v>
                </c:pt>
                <c:pt idx="6">
                  <c:v>41.044440067427914</c:v>
                </c:pt>
                <c:pt idx="7">
                  <c:v>41.215215140204677</c:v>
                </c:pt>
                <c:pt idx="8">
                  <c:v>41.414731584433341</c:v>
                </c:pt>
                <c:pt idx="9">
                  <c:v>41.568598132595469</c:v>
                </c:pt>
                <c:pt idx="10">
                  <c:v>41.723508175838752</c:v>
                </c:pt>
                <c:pt idx="11">
                  <c:v>41.877764219736704</c:v>
                </c:pt>
                <c:pt idx="12">
                  <c:v>42.015750323029678</c:v>
                </c:pt>
                <c:pt idx="13">
                  <c:v>42.170203727647532</c:v>
                </c:pt>
                <c:pt idx="14">
                  <c:v>42.291399384893353</c:v>
                </c:pt>
                <c:pt idx="15">
                  <c:v>42.396102350162984</c:v>
                </c:pt>
                <c:pt idx="16">
                  <c:v>42.517772226265109</c:v>
                </c:pt>
                <c:pt idx="17">
                  <c:v>42.629527389475314</c:v>
                </c:pt>
                <c:pt idx="18">
                  <c:v>42.767018525866</c:v>
                </c:pt>
                <c:pt idx="19">
                  <c:v>42.888719157318093</c:v>
                </c:pt>
                <c:pt idx="20">
                  <c:v>43.013778324887177</c:v>
                </c:pt>
                <c:pt idx="21">
                  <c:v>43.123107150725197</c:v>
                </c:pt>
                <c:pt idx="22">
                  <c:v>43.231946424396902</c:v>
                </c:pt>
                <c:pt idx="23">
                  <c:v>43.343927952940994</c:v>
                </c:pt>
                <c:pt idx="24">
                  <c:v>43.477957064849981</c:v>
                </c:pt>
                <c:pt idx="25">
                  <c:v>43.58717236481705</c:v>
                </c:pt>
                <c:pt idx="26">
                  <c:v>43.710448537720318</c:v>
                </c:pt>
                <c:pt idx="27">
                  <c:v>43.817662750068493</c:v>
                </c:pt>
                <c:pt idx="28">
                  <c:v>43.938285583820957</c:v>
                </c:pt>
                <c:pt idx="29">
                  <c:v>44.072126093791155</c:v>
                </c:pt>
                <c:pt idx="30">
                  <c:v>44.208180445819487</c:v>
                </c:pt>
                <c:pt idx="31">
                  <c:v>44.351866284941799</c:v>
                </c:pt>
                <c:pt idx="32">
                  <c:v>44.472057476690644</c:v>
                </c:pt>
                <c:pt idx="33">
                  <c:v>44.600218375696102</c:v>
                </c:pt>
                <c:pt idx="34">
                  <c:v>44.732700641412798</c:v>
                </c:pt>
                <c:pt idx="35">
                  <c:v>44.886483762451292</c:v>
                </c:pt>
                <c:pt idx="36">
                  <c:v>45.039325605813147</c:v>
                </c:pt>
                <c:pt idx="37">
                  <c:v>45.193546439494369</c:v>
                </c:pt>
                <c:pt idx="38">
                  <c:v>45.351198921840052</c:v>
                </c:pt>
                <c:pt idx="39">
                  <c:v>45.499853186329112</c:v>
                </c:pt>
                <c:pt idx="40">
                  <c:v>45.675923125103822</c:v>
                </c:pt>
                <c:pt idx="41">
                  <c:v>45.876355561063875</c:v>
                </c:pt>
                <c:pt idx="42">
                  <c:v>46.066632066198515</c:v>
                </c:pt>
                <c:pt idx="43">
                  <c:v>46.295749812580965</c:v>
                </c:pt>
                <c:pt idx="44">
                  <c:v>46.555128327729562</c:v>
                </c:pt>
                <c:pt idx="45">
                  <c:v>46.877549174975606</c:v>
                </c:pt>
                <c:pt idx="46">
                  <c:v>47.222848055756174</c:v>
                </c:pt>
                <c:pt idx="47">
                  <c:v>47.629467122919785</c:v>
                </c:pt>
                <c:pt idx="48">
                  <c:v>48.279918959451948</c:v>
                </c:pt>
                <c:pt idx="49">
                  <c:v>49.342089018475932</c:v>
                </c:pt>
              </c:numCache>
            </c:numRef>
          </c:xVal>
          <c:yVal>
            <c:numRef>
              <c:f>'Результаты'!$B$79:$B$128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53B-44E8-ACBD-4D3F12B69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in val="3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Недели от начала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'Результаты'!$B$132:$B$147</c:f>
              <c:strCache>
                <c:ptCount val="16"/>
                <c:pt idx="0">
                  <c:v>A  Проектирование и согласования</c:v>
                </c:pt>
                <c:pt idx="1">
                  <c:v>K  Плита проезжей части</c:v>
                </c:pt>
                <c:pt idx="2">
                  <c:v>C  Демонтаж старого моста</c:v>
                </c:pt>
                <c:pt idx="3">
                  <c:v>E  Сваи южного устоя</c:v>
                </c:pt>
                <c:pt idx="4">
                  <c:v>F  Опора в русле</c:v>
                </c:pt>
                <c:pt idx="5">
                  <c:v>J  Доставка и монтаж балок</c:v>
                </c:pt>
                <c:pt idx="6">
                  <c:v>B  Мобилизация и организация движения</c:v>
                </c:pt>
                <c:pt idx="7">
                  <c:v>L  Гидроизоляция и покрытие</c:v>
                </c:pt>
                <c:pt idx="8">
                  <c:v>D  Сваи северного устоя</c:v>
                </c:pt>
                <c:pt idx="9">
                  <c:v>Задержка из-за паводка</c:v>
                </c:pt>
                <c:pt idx="10">
                  <c:v>H  Стены северного устоя</c:v>
                </c:pt>
                <c:pt idx="11">
                  <c:v>I  Стены южного устоя</c:v>
                </c:pt>
                <c:pt idx="12">
                  <c:v>O  Испытания и открытие</c:v>
                </c:pt>
                <c:pt idx="13">
                  <c:v>G  Изготовление стальных балок (на заводе)</c:v>
                </c:pt>
                <c:pt idx="14">
                  <c:v>N  Примыкания подходов</c:v>
                </c:pt>
                <c:pt idx="15">
                  <c:v>M  Ограждения и отделка</c:v>
                </c:pt>
              </c:strCache>
            </c:strRef>
          </c:cat>
          <c:val>
            <c:numRef>
              <c:f>'Результаты'!$F$132:$F$147</c:f>
              <c:numCache>
                <c:formatCode>#,##0.0_);\(#,##0.0\);"–"_)</c:formatCode>
                <c:ptCount val="16"/>
                <c:pt idx="0">
                  <c:v>2.7391251415986275</c:v>
                </c:pt>
                <c:pt idx="1">
                  <c:v>1.3617124105378551</c:v>
                </c:pt>
                <c:pt idx="2">
                  <c:v>1.2746533609668589</c:v>
                </c:pt>
                <c:pt idx="3">
                  <c:v>1.6116510771652415</c:v>
                </c:pt>
                <c:pt idx="4">
                  <c:v>1.8331558776866075</c:v>
                </c:pt>
                <c:pt idx="5">
                  <c:v>1.1701898378300584</c:v>
                </c:pt>
                <c:pt idx="6">
                  <c:v>0.99847619549677802</c:v>
                </c:pt>
                <c:pt idx="7">
                  <c:v>1.0405534563850338</c:v>
                </c:pt>
                <c:pt idx="8">
                  <c:v>1.0598666916113899</c:v>
                </c:pt>
                <c:pt idx="9">
                  <c:v>1.1955302708564588</c:v>
                </c:pt>
                <c:pt idx="10">
                  <c:v>0.45069428190229388</c:v>
                </c:pt>
                <c:pt idx="11">
                  <c:v>0.4421618789439492</c:v>
                </c:pt>
                <c:pt idx="12">
                  <c:v>0.26592009721155563</c:v>
                </c:pt>
                <c:pt idx="13">
                  <c:v>0.21819434024815365</c:v>
                </c:pt>
                <c:pt idx="14">
                  <c:v>0.15347648341052178</c:v>
                </c:pt>
                <c:pt idx="15">
                  <c:v>0.12195207472854008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20-4538-B5D2-9991461205EE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'Результаты'!$B$132:$B$147</c:f>
              <c:strCache>
                <c:ptCount val="16"/>
                <c:pt idx="0">
                  <c:v>A  Проектирование и согласования</c:v>
                </c:pt>
                <c:pt idx="1">
                  <c:v>K  Плита проезжей части</c:v>
                </c:pt>
                <c:pt idx="2">
                  <c:v>C  Демонтаж старого моста</c:v>
                </c:pt>
                <c:pt idx="3">
                  <c:v>E  Сваи южного устоя</c:v>
                </c:pt>
                <c:pt idx="4">
                  <c:v>F  Опора в русле</c:v>
                </c:pt>
                <c:pt idx="5">
                  <c:v>J  Доставка и монтаж балок</c:v>
                </c:pt>
                <c:pt idx="6">
                  <c:v>B  Мобилизация и организация движения</c:v>
                </c:pt>
                <c:pt idx="7">
                  <c:v>L  Гидроизоляция и покрытие</c:v>
                </c:pt>
                <c:pt idx="8">
                  <c:v>D  Сваи северного устоя</c:v>
                </c:pt>
                <c:pt idx="9">
                  <c:v>Задержка из-за паводка</c:v>
                </c:pt>
                <c:pt idx="10">
                  <c:v>H  Стены северного устоя</c:v>
                </c:pt>
                <c:pt idx="11">
                  <c:v>I  Стены южного устоя</c:v>
                </c:pt>
                <c:pt idx="12">
                  <c:v>O  Испытания и открытие</c:v>
                </c:pt>
                <c:pt idx="13">
                  <c:v>G  Изготовление стальных балок (на заводе)</c:v>
                </c:pt>
                <c:pt idx="14">
                  <c:v>N  Примыкания подходов</c:v>
                </c:pt>
                <c:pt idx="15">
                  <c:v>M  Ограждения и отделка</c:v>
                </c:pt>
              </c:strCache>
            </c:strRef>
          </c:cat>
          <c:val>
            <c:numRef>
              <c:f>'Результаты'!$G$132:$G$147</c:f>
              <c:numCache>
                <c:formatCode>#,##0.0_);\(#,##0.0\);"–"_)</c:formatCode>
                <c:ptCount val="16"/>
                <c:pt idx="0">
                  <c:v>-2.1122159979322532</c:v>
                </c:pt>
                <c:pt idx="1">
                  <c:v>-1.0735266869729969</c:v>
                </c:pt>
                <c:pt idx="2">
                  <c:v>-0.99057006626870248</c:v>
                </c:pt>
                <c:pt idx="3">
                  <c:v>-0.61005035748430458</c:v>
                </c:pt>
                <c:pt idx="4">
                  <c:v>-0.36441209028947696</c:v>
                </c:pt>
                <c:pt idx="5">
                  <c:v>-0.88355130307671459</c:v>
                </c:pt>
                <c:pt idx="6">
                  <c:v>-0.84789871210334411</c:v>
                </c:pt>
                <c:pt idx="7">
                  <c:v>-0.76722363975176933</c:v>
                </c:pt>
                <c:pt idx="8">
                  <c:v>-0.45905683722256185</c:v>
                </c:pt>
                <c:pt idx="9">
                  <c:v>-0.2306389966131519</c:v>
                </c:pt>
                <c:pt idx="10">
                  <c:v>-0.32642728013269817</c:v>
                </c:pt>
                <c:pt idx="11">
                  <c:v>-0.324835400492681</c:v>
                </c:pt>
                <c:pt idx="12">
                  <c:v>-0.21034621476891147</c:v>
                </c:pt>
                <c:pt idx="13">
                  <c:v>-0.13754816283206139</c:v>
                </c:pt>
                <c:pt idx="14">
                  <c:v>-0.15164871639522914</c:v>
                </c:pt>
                <c:pt idx="15">
                  <c:v>-0.18222979338046486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20-4538-B5D2-999146120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0.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47</xdr:row>
      <xdr:rowOff>0</xdr:rowOff>
    </xdr:from>
    <xdr:ext cx="864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48</xdr:row>
      <xdr:rowOff>0</xdr:rowOff>
    </xdr:from>
    <xdr:ext cx="6263999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68" t="s">
        <v>20</v>
      </c>
      <c r="C16" s="69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ht="26.25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ht="26.25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26.25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70" t="s">
        <v>90</v>
      </c>
      <c r="C73" s="69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Сеть'!A1" display="Сеть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19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30" customHeight="1" x14ac:dyDescent="0.45">
      <c r="B6" s="71" t="s">
        <v>94</v>
      </c>
      <c r="C6" s="69"/>
      <c r="D6" s="69"/>
      <c r="E6" s="69"/>
      <c r="F6" s="69"/>
      <c r="G6" s="69"/>
      <c r="H6" s="69"/>
      <c r="I6" s="69"/>
      <c r="J6" s="69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46447</v>
      </c>
      <c r="E11" s="26" t="s">
        <v>104</v>
      </c>
      <c r="F11" s="28"/>
      <c r="G11" s="28"/>
      <c r="H11" s="28"/>
      <c r="I11" s="28"/>
      <c r="J11" s="29" t="s">
        <v>105</v>
      </c>
    </row>
    <row r="12" spans="1:10" x14ac:dyDescent="0.45">
      <c r="B12" s="25" t="s">
        <v>106</v>
      </c>
      <c r="C12" s="26" t="s">
        <v>107</v>
      </c>
      <c r="D12" s="30">
        <v>44</v>
      </c>
      <c r="E12" s="26" t="s">
        <v>104</v>
      </c>
      <c r="F12" s="28"/>
      <c r="G12" s="28"/>
      <c r="H12" s="28"/>
      <c r="I12" s="28"/>
      <c r="J12" s="29" t="s">
        <v>108</v>
      </c>
    </row>
    <row r="13" spans="1:10" ht="8" customHeight="1" x14ac:dyDescent="0.45"/>
    <row r="14" spans="1:10" ht="22.05" customHeight="1" x14ac:dyDescent="0.5">
      <c r="B14" s="7" t="s">
        <v>109</v>
      </c>
      <c r="C14" s="8"/>
      <c r="D14" s="8"/>
      <c r="E14" s="8"/>
      <c r="F14" s="8"/>
      <c r="G14" s="8"/>
      <c r="H14" s="8"/>
      <c r="I14" s="8"/>
      <c r="J14" s="8"/>
    </row>
    <row r="15" spans="1:10" ht="18" customHeight="1" x14ac:dyDescent="0.45">
      <c r="B15" s="13" t="s">
        <v>110</v>
      </c>
    </row>
    <row r="16" spans="1:10" ht="18" customHeight="1" x14ac:dyDescent="0.45">
      <c r="B16" s="23" t="s">
        <v>97</v>
      </c>
      <c r="C16" s="23" t="s">
        <v>98</v>
      </c>
      <c r="D16" s="24" t="s">
        <v>99</v>
      </c>
      <c r="E16" s="23" t="s">
        <v>100</v>
      </c>
      <c r="F16" s="24" t="s">
        <v>111</v>
      </c>
      <c r="G16" s="24" t="s">
        <v>112</v>
      </c>
      <c r="H16" s="24" t="s">
        <v>113</v>
      </c>
      <c r="I16" s="24" t="s">
        <v>114</v>
      </c>
      <c r="J16" s="23" t="s">
        <v>101</v>
      </c>
    </row>
    <row r="17" spans="2:10" x14ac:dyDescent="0.45">
      <c r="B17" s="25" t="s">
        <v>115</v>
      </c>
      <c r="C17" s="26" t="s">
        <v>116</v>
      </c>
      <c r="D17" s="31">
        <v>0.25</v>
      </c>
      <c r="E17" s="26" t="s">
        <v>104</v>
      </c>
      <c r="F17" s="28"/>
      <c r="G17" s="28"/>
      <c r="H17" s="28"/>
      <c r="I17" s="28"/>
      <c r="J17" s="29" t="s">
        <v>117</v>
      </c>
    </row>
    <row r="18" spans="2:10" x14ac:dyDescent="0.45">
      <c r="B18" s="25" t="s">
        <v>118</v>
      </c>
      <c r="C18" s="26" t="s">
        <v>107</v>
      </c>
      <c r="D18" s="32" cm="1">
        <f t="array" aca="1" ref="D18" ca="1">_xll.VoseInput("Задержка из-за паводка","нед.")+_xll.VoseRiskEvent(Prob_Flood,_xll.VosePERTObject(F18,G18,H18))</f>
        <v>0</v>
      </c>
      <c r="E18" s="26" t="s">
        <v>119</v>
      </c>
      <c r="F18" s="33">
        <v>2</v>
      </c>
      <c r="G18" s="33">
        <v>3</v>
      </c>
      <c r="H18" s="33">
        <v>6</v>
      </c>
      <c r="I18" s="34" cm="1">
        <f t="array" ref="I18">IF(AND(F18&lt;=G18,G18&lt;=H18,F18&lt;H18),_xll.VoseMean(_xll.VoseRiskEventObject(Prob_Flood,_xll.VosePERTObject(F18,G18,H18))),"✗ диапазон")</f>
        <v>0.83333333333333337</v>
      </c>
      <c r="J18" s="29" t="s">
        <v>120</v>
      </c>
    </row>
    <row r="19" spans="2:10" ht="8" customHeight="1" x14ac:dyDescent="0.45"/>
  </sheetData>
  <mergeCells count="1">
    <mergeCell ref="B6:J6"/>
  </mergeCells>
  <conditionalFormatting sqref="I18">
    <cfRule type="expression" dxfId="6" priority="1">
      <formula>LEFT($I18,1)="✗"</formula>
    </cfRule>
  </conditionalFormatting>
  <dataValidations count="3">
    <dataValidation type="whole" showErrorMessage="1" errorTitle="Целое число" error="Введите целое число." sqref="D12" xr:uid="{00000000-0002-0000-0100-000000000000}">
      <formula1>0</formula1>
      <formula2>1000000</formula2>
    </dataValidation>
    <dataValidation type="decimal" showErrorMessage="1" errorTitle="Вероятность" error="Введите значение от 0% до 100%." sqref="D17" xr:uid="{00000000-0002-0000-0100-000001000000}">
      <formula1>0</formula1>
      <formula2>1</formula2>
    </dataValidation>
    <dataValidation type="custom" showErrorMessage="1" errorTitle="Диапазон PERT" error="Мин. должно быть меньше макс., наиболее вероятное — между ними." sqref="F18:H18" xr:uid="{00000000-0002-0000-0100-000002000000}">
      <formula1>AND($F18&lt;=$G18,$G18&lt;=$H18,$F18&lt;$H18)</formula1>
    </dataValidation>
  </dataValidations>
  <hyperlinks>
    <hyperlink ref="B4" location="'Описание'!A1" display="◂  Описание" xr:uid="{00000000-0004-0000-0100-000000000000}"/>
    <hyperlink ref="J4" location="'Сеть'!A1" display="Далее:  Сеть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O100"/>
  <sheetViews>
    <sheetView showGridLines="0" workbookViewId="0"/>
  </sheetViews>
  <sheetFormatPr defaultRowHeight="14.25" x14ac:dyDescent="0.45"/>
  <cols>
    <col min="1" max="1" width="2" customWidth="1"/>
    <col min="2" max="2" width="5" customWidth="1"/>
    <col min="3" max="3" width="36" customWidth="1"/>
    <col min="4" max="4" width="11" customWidth="1"/>
    <col min="5" max="5" width="10.46484375" customWidth="1"/>
    <col min="6" max="13" width="8" customWidth="1"/>
    <col min="14" max="14" width="2" customWidth="1"/>
    <col min="15" max="15" width="52" customWidth="1"/>
  </cols>
  <sheetData>
    <row r="1" spans="1:15" ht="6" customHeight="1" x14ac:dyDescent="0.45"/>
    <row r="2" spans="1:15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</row>
    <row r="3" spans="1:15" ht="20" customHeight="1" x14ac:dyDescent="0.45">
      <c r="A3" s="1"/>
      <c r="B3" s="4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" customHeight="1" x14ac:dyDescent="0.45">
      <c r="A4" s="5"/>
      <c r="B4" s="22" t="s">
        <v>122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123</v>
      </c>
    </row>
    <row r="5" spans="1:15" ht="8" customHeight="1" x14ac:dyDescent="0.45"/>
    <row r="6" spans="1:15" ht="22.05" customHeight="1" x14ac:dyDescent="0.5">
      <c r="B6" s="7" t="s">
        <v>124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18" customHeight="1" x14ac:dyDescent="0.45">
      <c r="B7" s="13" t="s">
        <v>125</v>
      </c>
    </row>
    <row r="8" spans="1:15" ht="18" customHeight="1" x14ac:dyDescent="0.45">
      <c r="B8" s="35" t="s">
        <v>126</v>
      </c>
      <c r="C8" s="35" t="s">
        <v>127</v>
      </c>
      <c r="D8" s="35" t="s">
        <v>128</v>
      </c>
      <c r="E8" s="35" t="s">
        <v>129</v>
      </c>
      <c r="F8" s="36"/>
      <c r="G8" s="36"/>
      <c r="H8" s="37" t="s">
        <v>114</v>
      </c>
      <c r="I8" s="36"/>
      <c r="J8" s="36"/>
      <c r="K8" s="36"/>
      <c r="L8" s="36"/>
      <c r="M8" s="36"/>
      <c r="N8" s="36"/>
      <c r="O8" s="35" t="s">
        <v>130</v>
      </c>
    </row>
    <row r="9" spans="1:15" x14ac:dyDescent="0.45">
      <c r="B9" s="38"/>
      <c r="C9" s="38"/>
      <c r="D9" s="38" t="s">
        <v>131</v>
      </c>
      <c r="E9" s="38" t="s">
        <v>111</v>
      </c>
      <c r="F9" s="38" t="s">
        <v>112</v>
      </c>
      <c r="G9" s="38" t="s">
        <v>113</v>
      </c>
      <c r="H9" s="38" t="s">
        <v>132</v>
      </c>
      <c r="I9" s="38"/>
      <c r="J9" s="38"/>
      <c r="K9" s="38"/>
      <c r="L9" s="38"/>
      <c r="M9" s="38"/>
      <c r="N9" s="38"/>
      <c r="O9" s="38"/>
    </row>
    <row r="10" spans="1:15" x14ac:dyDescent="0.45">
      <c r="B10" s="39" t="s">
        <v>133</v>
      </c>
      <c r="C10" s="25" t="s">
        <v>134</v>
      </c>
      <c r="D10" s="26" t="s">
        <v>135</v>
      </c>
      <c r="E10" s="40">
        <v>8</v>
      </c>
      <c r="F10" s="40">
        <v>10</v>
      </c>
      <c r="G10" s="40">
        <v>16</v>
      </c>
      <c r="H10" s="34" cm="1">
        <f t="array" ref="H10">_xll.VoseMean(_xll.VosePERTObject(E10,F10,G10))</f>
        <v>10.666666666666666</v>
      </c>
      <c r="I10" s="28"/>
      <c r="J10" s="28"/>
      <c r="K10" s="28"/>
      <c r="L10" s="28"/>
      <c r="M10" s="28"/>
      <c r="N10" s="28"/>
      <c r="O10" s="26" t="s">
        <v>136</v>
      </c>
    </row>
    <row r="11" spans="1:15" x14ac:dyDescent="0.45">
      <c r="B11" s="39" t="s">
        <v>137</v>
      </c>
      <c r="C11" s="25" t="s">
        <v>138</v>
      </c>
      <c r="D11" s="26" t="s">
        <v>133</v>
      </c>
      <c r="E11" s="40">
        <v>2</v>
      </c>
      <c r="F11" s="40">
        <v>3</v>
      </c>
      <c r="G11" s="40">
        <v>5</v>
      </c>
      <c r="H11" s="34" cm="1">
        <f t="array" ref="H11">_xll.VoseMean(_xll.VosePERTObject(E11,F11,G11))</f>
        <v>3.1666666666666665</v>
      </c>
      <c r="I11" s="28"/>
      <c r="J11" s="28"/>
      <c r="K11" s="28"/>
      <c r="L11" s="28"/>
      <c r="M11" s="28"/>
      <c r="N11" s="28"/>
      <c r="O11" s="26" t="s">
        <v>139</v>
      </c>
    </row>
    <row r="12" spans="1:15" x14ac:dyDescent="0.45">
      <c r="B12" s="39" t="s">
        <v>140</v>
      </c>
      <c r="C12" s="25" t="s">
        <v>141</v>
      </c>
      <c r="D12" s="26" t="s">
        <v>137</v>
      </c>
      <c r="E12" s="40">
        <v>3</v>
      </c>
      <c r="F12" s="40">
        <v>4</v>
      </c>
      <c r="G12" s="40">
        <v>7</v>
      </c>
      <c r="H12" s="34" cm="1">
        <f t="array" ref="H12">_xll.VoseMean(_xll.VosePERTObject(E12,F12,G12))</f>
        <v>4.333333333333333</v>
      </c>
      <c r="I12" s="28"/>
      <c r="J12" s="28"/>
      <c r="K12" s="28"/>
      <c r="L12" s="28"/>
      <c r="M12" s="28"/>
      <c r="N12" s="28"/>
      <c r="O12" s="26" t="s">
        <v>142</v>
      </c>
    </row>
    <row r="13" spans="1:15" x14ac:dyDescent="0.45">
      <c r="B13" s="39" t="s">
        <v>143</v>
      </c>
      <c r="C13" s="25" t="s">
        <v>144</v>
      </c>
      <c r="D13" s="26" t="s">
        <v>140</v>
      </c>
      <c r="E13" s="40">
        <v>5</v>
      </c>
      <c r="F13" s="40">
        <v>7</v>
      </c>
      <c r="G13" s="40">
        <v>11</v>
      </c>
      <c r="H13" s="34" cm="1">
        <f t="array" ref="H13">_xll.VoseMean(_xll.VosePERTObject(E13,F13,G13))</f>
        <v>7.333333333333333</v>
      </c>
      <c r="I13" s="28"/>
      <c r="J13" s="28"/>
      <c r="K13" s="28"/>
      <c r="L13" s="28"/>
      <c r="M13" s="28"/>
      <c r="N13" s="28"/>
      <c r="O13" s="26" t="s">
        <v>145</v>
      </c>
    </row>
    <row r="14" spans="1:15" x14ac:dyDescent="0.45">
      <c r="B14" s="39" t="s">
        <v>146</v>
      </c>
      <c r="C14" s="25" t="s">
        <v>147</v>
      </c>
      <c r="D14" s="26" t="s">
        <v>140</v>
      </c>
      <c r="E14" s="40">
        <v>5</v>
      </c>
      <c r="F14" s="40">
        <v>7</v>
      </c>
      <c r="G14" s="40">
        <v>12</v>
      </c>
      <c r="H14" s="34" cm="1">
        <f t="array" ref="H14">_xll.VoseMean(_xll.VosePERTObject(E14,F14,G14))</f>
        <v>7.5</v>
      </c>
      <c r="I14" s="28"/>
      <c r="J14" s="28"/>
      <c r="K14" s="28"/>
      <c r="L14" s="28"/>
      <c r="M14" s="28"/>
      <c r="N14" s="28"/>
      <c r="O14" s="26" t="s">
        <v>148</v>
      </c>
    </row>
    <row r="15" spans="1:15" x14ac:dyDescent="0.45">
      <c r="B15" s="39" t="s">
        <v>149</v>
      </c>
      <c r="C15" s="25" t="s">
        <v>150</v>
      </c>
      <c r="D15" s="26" t="s">
        <v>140</v>
      </c>
      <c r="E15" s="40">
        <v>6</v>
      </c>
      <c r="F15" s="40">
        <v>9</v>
      </c>
      <c r="G15" s="40">
        <v>14</v>
      </c>
      <c r="H15" s="34" cm="1">
        <f t="array" ref="H15">_xll.VoseMean(_xll.VosePERTObject(E15,F15,G15))</f>
        <v>9.3333333333333339</v>
      </c>
      <c r="I15" s="28"/>
      <c r="J15" s="28"/>
      <c r="K15" s="28"/>
      <c r="L15" s="28"/>
      <c r="M15" s="28"/>
      <c r="N15" s="28"/>
      <c r="O15" s="26" t="s">
        <v>151</v>
      </c>
    </row>
    <row r="16" spans="1:15" x14ac:dyDescent="0.45">
      <c r="B16" s="39" t="s">
        <v>152</v>
      </c>
      <c r="C16" s="25" t="s">
        <v>153</v>
      </c>
      <c r="D16" s="26" t="s">
        <v>133</v>
      </c>
      <c r="E16" s="40">
        <v>10</v>
      </c>
      <c r="F16" s="40">
        <v>14</v>
      </c>
      <c r="G16" s="40">
        <v>20</v>
      </c>
      <c r="H16" s="34" cm="1">
        <f t="array" ref="H16">_xll.VoseMean(_xll.VosePERTObject(E16,F16,G16))</f>
        <v>14.333333333333334</v>
      </c>
      <c r="I16" s="28"/>
      <c r="J16" s="28"/>
      <c r="K16" s="28"/>
      <c r="L16" s="28"/>
      <c r="M16" s="28"/>
      <c r="N16" s="28"/>
      <c r="O16" s="26" t="s">
        <v>154</v>
      </c>
    </row>
    <row r="17" spans="2:15" x14ac:dyDescent="0.45">
      <c r="B17" s="39" t="s">
        <v>155</v>
      </c>
      <c r="C17" s="25" t="s">
        <v>156</v>
      </c>
      <c r="D17" s="26" t="s">
        <v>143</v>
      </c>
      <c r="E17" s="40">
        <v>3</v>
      </c>
      <c r="F17" s="40">
        <v>4</v>
      </c>
      <c r="G17" s="40">
        <v>6</v>
      </c>
      <c r="H17" s="34" cm="1">
        <f t="array" ref="H17">_xll.VoseMean(_xll.VosePERTObject(E17,F17,G17))</f>
        <v>4.166666666666667</v>
      </c>
      <c r="I17" s="28"/>
      <c r="J17" s="28"/>
      <c r="K17" s="28"/>
      <c r="L17" s="28"/>
      <c r="M17" s="28"/>
      <c r="N17" s="28"/>
      <c r="O17" s="26"/>
    </row>
    <row r="18" spans="2:15" x14ac:dyDescent="0.45">
      <c r="B18" s="39" t="s">
        <v>157</v>
      </c>
      <c r="C18" s="25" t="s">
        <v>158</v>
      </c>
      <c r="D18" s="26" t="s">
        <v>146</v>
      </c>
      <c r="E18" s="40">
        <v>3</v>
      </c>
      <c r="F18" s="40">
        <v>4</v>
      </c>
      <c r="G18" s="40">
        <v>6</v>
      </c>
      <c r="H18" s="34" cm="1">
        <f t="array" ref="H18">_xll.VoseMean(_xll.VosePERTObject(E18,F18,G18))</f>
        <v>4.166666666666667</v>
      </c>
      <c r="I18" s="28"/>
      <c r="J18" s="28"/>
      <c r="K18" s="28"/>
      <c r="L18" s="28"/>
      <c r="M18" s="28"/>
      <c r="N18" s="28"/>
      <c r="O18" s="26"/>
    </row>
    <row r="19" spans="2:15" x14ac:dyDescent="0.45">
      <c r="B19" s="39" t="s">
        <v>159</v>
      </c>
      <c r="C19" s="25" t="s">
        <v>160</v>
      </c>
      <c r="D19" s="26" t="s">
        <v>161</v>
      </c>
      <c r="E19" s="40">
        <v>2</v>
      </c>
      <c r="F19" s="40">
        <v>3</v>
      </c>
      <c r="G19" s="40">
        <v>5</v>
      </c>
      <c r="H19" s="34" cm="1">
        <f t="array" ref="H19">_xll.VoseMean(_xll.VosePERTObject(E19,F19,G19))</f>
        <v>3.1666666666666665</v>
      </c>
      <c r="I19" s="28"/>
      <c r="J19" s="28"/>
      <c r="K19" s="28"/>
      <c r="L19" s="28"/>
      <c r="M19" s="28"/>
      <c r="N19" s="28"/>
      <c r="O19" s="26" t="s">
        <v>162</v>
      </c>
    </row>
    <row r="20" spans="2:15" x14ac:dyDescent="0.45">
      <c r="B20" s="39" t="s">
        <v>163</v>
      </c>
      <c r="C20" s="25" t="s">
        <v>164</v>
      </c>
      <c r="D20" s="26" t="s">
        <v>159</v>
      </c>
      <c r="E20" s="40">
        <v>4</v>
      </c>
      <c r="F20" s="40">
        <v>5</v>
      </c>
      <c r="G20" s="40">
        <v>8</v>
      </c>
      <c r="H20" s="34" cm="1">
        <f t="array" ref="H20">_xll.VoseMean(_xll.VosePERTObject(E20,F20,G20))</f>
        <v>5.333333333333333</v>
      </c>
      <c r="I20" s="28"/>
      <c r="J20" s="28"/>
      <c r="K20" s="28"/>
      <c r="L20" s="28"/>
      <c r="M20" s="28"/>
      <c r="N20" s="28"/>
      <c r="O20" s="26"/>
    </row>
    <row r="21" spans="2:15" x14ac:dyDescent="0.45">
      <c r="B21" s="39" t="s">
        <v>165</v>
      </c>
      <c r="C21" s="25" t="s">
        <v>166</v>
      </c>
      <c r="D21" s="26" t="s">
        <v>163</v>
      </c>
      <c r="E21" s="40">
        <v>2</v>
      </c>
      <c r="F21" s="40">
        <v>3</v>
      </c>
      <c r="G21" s="40">
        <v>5</v>
      </c>
      <c r="H21" s="34" cm="1">
        <f t="array" ref="H21">_xll.VoseMean(_xll.VosePERTObject(E21,F21,G21))</f>
        <v>3.1666666666666665</v>
      </c>
      <c r="I21" s="28"/>
      <c r="J21" s="28"/>
      <c r="K21" s="28"/>
      <c r="L21" s="28"/>
      <c r="M21" s="28"/>
      <c r="N21" s="28"/>
      <c r="O21" s="26"/>
    </row>
    <row r="22" spans="2:15" x14ac:dyDescent="0.45">
      <c r="B22" s="39" t="s">
        <v>167</v>
      </c>
      <c r="C22" s="25" t="s">
        <v>168</v>
      </c>
      <c r="D22" s="26" t="s">
        <v>163</v>
      </c>
      <c r="E22" s="40">
        <v>2</v>
      </c>
      <c r="F22" s="40">
        <v>2</v>
      </c>
      <c r="G22" s="40">
        <v>4</v>
      </c>
      <c r="H22" s="34" cm="1">
        <f t="array" ref="H22">_xll.VoseMean(_xll.VosePERTObject(E22,F22,G22))</f>
        <v>2.3333333333333335</v>
      </c>
      <c r="I22" s="28"/>
      <c r="J22" s="28"/>
      <c r="K22" s="28"/>
      <c r="L22" s="28"/>
      <c r="M22" s="28"/>
      <c r="N22" s="28"/>
      <c r="O22" s="26"/>
    </row>
    <row r="23" spans="2:15" x14ac:dyDescent="0.45">
      <c r="B23" s="39" t="s">
        <v>169</v>
      </c>
      <c r="C23" s="25" t="s">
        <v>170</v>
      </c>
      <c r="D23" s="26" t="s">
        <v>137</v>
      </c>
      <c r="E23" s="40">
        <v>3</v>
      </c>
      <c r="F23" s="40">
        <v>4</v>
      </c>
      <c r="G23" s="40">
        <v>6</v>
      </c>
      <c r="H23" s="34" cm="1">
        <f t="array" ref="H23">_xll.VoseMean(_xll.VosePERTObject(E23,F23,G23))</f>
        <v>4.166666666666667</v>
      </c>
      <c r="I23" s="28"/>
      <c r="J23" s="28"/>
      <c r="K23" s="28"/>
      <c r="L23" s="28"/>
      <c r="M23" s="28"/>
      <c r="N23" s="28"/>
      <c r="O23" s="26" t="s">
        <v>171</v>
      </c>
    </row>
    <row r="24" spans="2:15" x14ac:dyDescent="0.45">
      <c r="B24" s="39" t="s">
        <v>172</v>
      </c>
      <c r="C24" s="25" t="s">
        <v>173</v>
      </c>
      <c r="D24" s="26" t="s">
        <v>174</v>
      </c>
      <c r="E24" s="40">
        <v>1</v>
      </c>
      <c r="F24" s="40">
        <v>1</v>
      </c>
      <c r="G24" s="40">
        <v>2</v>
      </c>
      <c r="H24" s="34" cm="1">
        <f t="array" ref="H24">_xll.VoseMean(_xll.VosePERTObject(E24,F24,G24))</f>
        <v>1.1666666666666667</v>
      </c>
      <c r="I24" s="28"/>
      <c r="J24" s="28"/>
      <c r="K24" s="28"/>
      <c r="L24" s="28"/>
      <c r="M24" s="28"/>
      <c r="N24" s="28"/>
      <c r="O24" s="26" t="s">
        <v>175</v>
      </c>
    </row>
    <row r="25" spans="2:15" ht="8" customHeight="1" x14ac:dyDescent="0.45"/>
    <row r="26" spans="2:15" ht="22.05" customHeight="1" x14ac:dyDescent="0.5">
      <c r="B26" s="7" t="s">
        <v>176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2:15" ht="18" customHeight="1" x14ac:dyDescent="0.45">
      <c r="B27" s="13" t="s">
        <v>177</v>
      </c>
    </row>
    <row r="28" spans="2:15" ht="18" customHeight="1" x14ac:dyDescent="0.45">
      <c r="B28" s="35" t="s">
        <v>126</v>
      </c>
      <c r="C28" s="35" t="s">
        <v>127</v>
      </c>
      <c r="D28" s="37" t="s">
        <v>178</v>
      </c>
      <c r="E28" s="37" t="s">
        <v>179</v>
      </c>
      <c r="F28" s="37" t="s">
        <v>180</v>
      </c>
      <c r="G28" s="37" t="s">
        <v>181</v>
      </c>
      <c r="H28" s="37" t="s">
        <v>182</v>
      </c>
      <c r="I28" s="37" t="s">
        <v>183</v>
      </c>
      <c r="J28" s="37" t="s">
        <v>184</v>
      </c>
      <c r="K28" s="36"/>
      <c r="L28" s="36"/>
      <c r="M28" s="36"/>
      <c r="N28" s="36"/>
      <c r="O28" s="35" t="s">
        <v>185</v>
      </c>
    </row>
    <row r="29" spans="2:15" x14ac:dyDescent="0.45">
      <c r="B29" s="38"/>
      <c r="C29" s="38"/>
      <c r="D29" s="38" t="s">
        <v>186</v>
      </c>
      <c r="E29" s="38"/>
      <c r="F29" s="38"/>
      <c r="G29" s="38"/>
      <c r="H29" s="38"/>
      <c r="I29" s="38"/>
      <c r="J29" s="38" t="s">
        <v>187</v>
      </c>
      <c r="K29" s="38"/>
      <c r="L29" s="38"/>
      <c r="M29" s="38"/>
      <c r="N29" s="38"/>
      <c r="O29" s="38"/>
    </row>
    <row r="30" spans="2:15" x14ac:dyDescent="0.45">
      <c r="B30" s="39" t="s">
        <v>133</v>
      </c>
      <c r="C30" s="25" t="str">
        <f t="shared" ref="C30:C44" si="0">C10</f>
        <v>Проектирование и согласования</v>
      </c>
      <c r="D30" s="32" cm="1">
        <f t="array" aca="1" ref="D30" ca="1">_xll.VoseInput("A  Проектирование и согласования","нед.")+_xll.VosePERT(E10,F10,G10)</f>
        <v>11.598555271046601</v>
      </c>
      <c r="E30" s="34">
        <f>0</f>
        <v>0</v>
      </c>
      <c r="F30" s="34">
        <f t="shared" ref="F30:F44" ca="1" si="1">E30+D30</f>
        <v>11.598555271046601</v>
      </c>
      <c r="G30" s="34">
        <f t="shared" ref="G30:G44" ca="1" si="2">H30-D30</f>
        <v>0</v>
      </c>
      <c r="H30" s="34">
        <f ca="1">MIN(G31,G36)</f>
        <v>11.598555271046607</v>
      </c>
      <c r="I30" s="34">
        <f t="shared" ref="I30:I44" ca="1" si="3">G30-E30</f>
        <v>0</v>
      </c>
      <c r="J30" s="41" cm="1">
        <f t="array" aca="1" ref="J30" ca="1">_xll.VoseOutput("Критична A","1 = да")+IF(I30&lt;0.0001,1,0)</f>
        <v>1</v>
      </c>
      <c r="K30" s="28"/>
      <c r="L30" s="28"/>
      <c r="M30" s="28"/>
      <c r="N30" s="28"/>
      <c r="O30" s="26" t="s">
        <v>188</v>
      </c>
    </row>
    <row r="31" spans="2:15" x14ac:dyDescent="0.45">
      <c r="B31" s="39" t="s">
        <v>137</v>
      </c>
      <c r="C31" s="25" t="str">
        <f t="shared" si="0"/>
        <v>Мобилизация и организация движения</v>
      </c>
      <c r="D31" s="32" cm="1">
        <f t="array" aca="1" ref="D31" ca="1">_xll.VoseInput("B  Мобилизация и организация движения","нед.")+_xll.VosePERT(E11,F11,G11)</f>
        <v>3.3287155914518776</v>
      </c>
      <c r="E31" s="34">
        <f ca="1">F30</f>
        <v>11.598555271046601</v>
      </c>
      <c r="F31" s="34">
        <f t="shared" ca="1" si="1"/>
        <v>14.927270862498478</v>
      </c>
      <c r="G31" s="34">
        <f t="shared" ca="1" si="2"/>
        <v>11.598555271046607</v>
      </c>
      <c r="H31" s="34">
        <f ca="1">MIN(G32,G43)</f>
        <v>14.927270862498485</v>
      </c>
      <c r="I31" s="34">
        <f t="shared" ca="1" si="3"/>
        <v>0</v>
      </c>
      <c r="J31" s="41" cm="1">
        <f t="array" aca="1" ref="J31" ca="1">_xll.VoseOutput("Критична B","1 = да")+IF(I31&lt;0.0001,1,0)</f>
        <v>1</v>
      </c>
      <c r="K31" s="28"/>
      <c r="L31" s="28"/>
      <c r="M31" s="28"/>
      <c r="N31" s="28"/>
      <c r="O31" s="26" t="s">
        <v>189</v>
      </c>
    </row>
    <row r="32" spans="2:15" x14ac:dyDescent="0.45">
      <c r="B32" s="39" t="s">
        <v>140</v>
      </c>
      <c r="C32" s="25" t="str">
        <f t="shared" si="0"/>
        <v>Демонтаж старого моста</v>
      </c>
      <c r="D32" s="32" cm="1">
        <f t="array" aca="1" ref="D32" ca="1">_xll.VoseInput("C  Демонтаж старого моста","нед.")+_xll.VosePERT(E12,F12,G12)</f>
        <v>4.7501733148669532</v>
      </c>
      <c r="E32" s="34">
        <f ca="1">F31</f>
        <v>14.927270862498478</v>
      </c>
      <c r="F32" s="34">
        <f t="shared" ca="1" si="1"/>
        <v>19.67744417736543</v>
      </c>
      <c r="G32" s="34">
        <f t="shared" ca="1" si="2"/>
        <v>14.927270862498485</v>
      </c>
      <c r="H32" s="34">
        <f ca="1">MIN(G33,G34,G35)</f>
        <v>19.677444177365437</v>
      </c>
      <c r="I32" s="34">
        <f t="shared" ca="1" si="3"/>
        <v>0</v>
      </c>
      <c r="J32" s="41" cm="1">
        <f t="array" aca="1" ref="J32" ca="1">_xll.VoseOutput("Критична C","1 = да")+IF(I32&lt;0.0001,1,0)</f>
        <v>1</v>
      </c>
      <c r="K32" s="28"/>
      <c r="L32" s="28"/>
      <c r="M32" s="28"/>
      <c r="N32" s="28"/>
      <c r="O32" s="26" t="s">
        <v>190</v>
      </c>
    </row>
    <row r="33" spans="2:15" x14ac:dyDescent="0.45">
      <c r="B33" s="39" t="s">
        <v>143</v>
      </c>
      <c r="C33" s="25" t="str">
        <f t="shared" si="0"/>
        <v>Сваи северного устоя</v>
      </c>
      <c r="D33" s="32" cm="1">
        <f t="array" aca="1" ref="D33" ca="1">_xll.VoseInput("D  Сваи северного устоя","нед.")+_xll.VosePERT(E13,F13,G13)</f>
        <v>7.8087917912907825</v>
      </c>
      <c r="E33" s="34">
        <f ca="1">F32</f>
        <v>19.67744417736543</v>
      </c>
      <c r="F33" s="34">
        <f t="shared" ca="1" si="1"/>
        <v>27.486235968656214</v>
      </c>
      <c r="G33" s="34">
        <f t="shared" ca="1" si="2"/>
        <v>21.917395031772624</v>
      </c>
      <c r="H33" s="34">
        <f ca="1">G37</f>
        <v>29.726186823063408</v>
      </c>
      <c r="I33" s="34">
        <f t="shared" ca="1" si="3"/>
        <v>2.2399508544071942</v>
      </c>
      <c r="J33" s="41" cm="1">
        <f t="array" aca="1" ref="J33" ca="1">_xll.VoseOutput("Критична D","1 = да")+IF(I33&lt;0.0001,1,0)</f>
        <v>0</v>
      </c>
      <c r="K33" s="28"/>
      <c r="L33" s="28"/>
      <c r="M33" s="28"/>
      <c r="N33" s="28"/>
      <c r="O33" s="28"/>
    </row>
    <row r="34" spans="2:15" x14ac:dyDescent="0.45">
      <c r="B34" s="39" t="s">
        <v>146</v>
      </c>
      <c r="C34" s="25" t="str">
        <f t="shared" si="0"/>
        <v>Сваи южного устоя</v>
      </c>
      <c r="D34" s="32" cm="1">
        <f t="array" aca="1" ref="D34" ca="1">_xll.VoseInput("E  Сваи южного устоя","нед.")+_xll.VosePERT(E14,F14,G14)</f>
        <v>9.4789170129550229</v>
      </c>
      <c r="E34" s="34">
        <f ca="1">F32</f>
        <v>19.67744417736543</v>
      </c>
      <c r="F34" s="34">
        <f t="shared" ca="1" si="1"/>
        <v>29.156361190320453</v>
      </c>
      <c r="G34" s="34">
        <f t="shared" ca="1" si="2"/>
        <v>19.677444177365437</v>
      </c>
      <c r="H34" s="34">
        <f ca="1">G38</f>
        <v>29.15636119032046</v>
      </c>
      <c r="I34" s="34">
        <f t="shared" ca="1" si="3"/>
        <v>0</v>
      </c>
      <c r="J34" s="41" cm="1">
        <f t="array" aca="1" ref="J34" ca="1">_xll.VoseOutput("Критична E","1 = да")+IF(I34&lt;0.0001,1,0)</f>
        <v>1</v>
      </c>
      <c r="K34" s="28"/>
      <c r="L34" s="28"/>
      <c r="M34" s="28"/>
      <c r="N34" s="28"/>
      <c r="O34" s="28"/>
    </row>
    <row r="35" spans="2:15" x14ac:dyDescent="0.45">
      <c r="B35" s="39" t="s">
        <v>149</v>
      </c>
      <c r="C35" s="25" t="str">
        <f t="shared" si="0"/>
        <v>Опора в русле</v>
      </c>
      <c r="D35" s="32" cm="1">
        <f t="array" aca="1" ref="D35" ca="1">_xll.VoseInput("F  Опора в русле","нед.")+_xll.VosePERT(E15,F15,G15)+Flood</f>
        <v>12.558102774384377</v>
      </c>
      <c r="E35" s="34">
        <f ca="1">F32</f>
        <v>19.67744417736543</v>
      </c>
      <c r="F35" s="34">
        <f t="shared" ca="1" si="1"/>
        <v>32.235546951749811</v>
      </c>
      <c r="G35" s="34">
        <f t="shared" ca="1" si="2"/>
        <v>20.72419561807698</v>
      </c>
      <c r="H35" s="34">
        <f ca="1">G39</f>
        <v>33.282298392461357</v>
      </c>
      <c r="I35" s="34">
        <f t="shared" ca="1" si="3"/>
        <v>1.0467514407115495</v>
      </c>
      <c r="J35" s="41" cm="1">
        <f t="array" aca="1" ref="J35" ca="1">_xll.VoseOutput("Критична F","1 = да")+IF(I35&lt;0.0001,1,0)</f>
        <v>0</v>
      </c>
      <c r="K35" s="28"/>
      <c r="L35" s="28"/>
      <c r="M35" s="28"/>
      <c r="N35" s="28"/>
      <c r="O35" s="26" t="s">
        <v>191</v>
      </c>
    </row>
    <row r="36" spans="2:15" x14ac:dyDescent="0.45">
      <c r="B36" s="39" t="s">
        <v>152</v>
      </c>
      <c r="C36" s="25" t="str">
        <f t="shared" si="0"/>
        <v>Изготовление стальных балок (на заводе)</v>
      </c>
      <c r="D36" s="32" cm="1">
        <f t="array" aca="1" ref="D36" ca="1">_xll.VoseInput("G  Изготовление стальных балок (на заводе)","нед.")+_xll.VosePERT(E16,F16,G16)</f>
        <v>14.592216350081415</v>
      </c>
      <c r="E36" s="34">
        <f ca="1">F30</f>
        <v>11.598555271046601</v>
      </c>
      <c r="F36" s="34">
        <f t="shared" ca="1" si="1"/>
        <v>26.190771621128015</v>
      </c>
      <c r="G36" s="34">
        <f t="shared" ca="1" si="2"/>
        <v>18.690082042379942</v>
      </c>
      <c r="H36" s="34">
        <f ca="1">G39</f>
        <v>33.282298392461357</v>
      </c>
      <c r="I36" s="34">
        <f t="shared" ca="1" si="3"/>
        <v>7.0915267713333403</v>
      </c>
      <c r="J36" s="41" cm="1">
        <f t="array" aca="1" ref="J36" ca="1">_xll.VoseOutput("Критична G","1 = да")+IF(I36&lt;0.0001,1,0)</f>
        <v>0</v>
      </c>
      <c r="K36" s="28"/>
      <c r="L36" s="28"/>
      <c r="M36" s="28"/>
      <c r="N36" s="28"/>
      <c r="O36" s="28"/>
    </row>
    <row r="37" spans="2:15" x14ac:dyDescent="0.45">
      <c r="B37" s="39" t="s">
        <v>155</v>
      </c>
      <c r="C37" s="25" t="str">
        <f t="shared" si="0"/>
        <v>Стены северного устоя</v>
      </c>
      <c r="D37" s="32" cm="1">
        <f t="array" aca="1" ref="D37" ca="1">_xll.VoseInput("H  Стены северного устоя","нед.")+_xll.VosePERT(E17,F17,G17)</f>
        <v>3.5561115693979488</v>
      </c>
      <c r="E37" s="34">
        <f ca="1">F33</f>
        <v>27.486235968656214</v>
      </c>
      <c r="F37" s="34">
        <f t="shared" ca="1" si="1"/>
        <v>31.042347538054162</v>
      </c>
      <c r="G37" s="34">
        <f t="shared" ca="1" si="2"/>
        <v>29.726186823063408</v>
      </c>
      <c r="H37" s="34">
        <f ca="1">G39</f>
        <v>33.282298392461357</v>
      </c>
      <c r="I37" s="34">
        <f t="shared" ca="1" si="3"/>
        <v>2.2399508544071942</v>
      </c>
      <c r="J37" s="41" cm="1">
        <f t="array" aca="1" ref="J37" ca="1">_xll.VoseOutput("Критична H","1 = да")+IF(I37&lt;0.0001,1,0)</f>
        <v>0</v>
      </c>
      <c r="K37" s="28"/>
      <c r="L37" s="28"/>
      <c r="M37" s="28"/>
      <c r="N37" s="28"/>
      <c r="O37" s="28"/>
    </row>
    <row r="38" spans="2:15" x14ac:dyDescent="0.45">
      <c r="B38" s="39" t="s">
        <v>157</v>
      </c>
      <c r="C38" s="25" t="str">
        <f t="shared" si="0"/>
        <v>Стены южного устоя</v>
      </c>
      <c r="D38" s="32" cm="1">
        <f t="array" aca="1" ref="D38" ca="1">_xll.VoseInput("I  Стены южного устоя","нед.")+_xll.VosePERT(E18,F18,G18)</f>
        <v>4.1259372021408973</v>
      </c>
      <c r="E38" s="34">
        <f ca="1">F34</f>
        <v>29.156361190320453</v>
      </c>
      <c r="F38" s="34">
        <f t="shared" ca="1" si="1"/>
        <v>33.28229839246135</v>
      </c>
      <c r="G38" s="34">
        <f t="shared" ca="1" si="2"/>
        <v>29.15636119032046</v>
      </c>
      <c r="H38" s="34">
        <f ca="1">G39</f>
        <v>33.282298392461357</v>
      </c>
      <c r="I38" s="34">
        <f t="shared" ca="1" si="3"/>
        <v>0</v>
      </c>
      <c r="J38" s="41" cm="1">
        <f t="array" aca="1" ref="J38" ca="1">_xll.VoseOutput("Критична I","1 = да")+IF(I38&lt;0.0001,1,0)</f>
        <v>1</v>
      </c>
      <c r="K38" s="28"/>
      <c r="L38" s="28"/>
      <c r="M38" s="28"/>
      <c r="N38" s="28"/>
      <c r="O38" s="28"/>
    </row>
    <row r="39" spans="2:15" x14ac:dyDescent="0.45">
      <c r="B39" s="39" t="s">
        <v>159</v>
      </c>
      <c r="C39" s="25" t="str">
        <f t="shared" si="0"/>
        <v>Доставка и монтаж балок</v>
      </c>
      <c r="D39" s="32" cm="1">
        <f t="array" aca="1" ref="D39" ca="1">_xll.VoseInput("J  Доставка и монтаж балок","нед.")+_xll.VosePERT(E19,F19,G19)</f>
        <v>2.3254896709676958</v>
      </c>
      <c r="E39" s="34">
        <f ca="1">MAX(F35,F36,F37,F38)</f>
        <v>33.28229839246135</v>
      </c>
      <c r="F39" s="34">
        <f t="shared" ca="1" si="1"/>
        <v>35.607788063429048</v>
      </c>
      <c r="G39" s="34">
        <f t="shared" ca="1" si="2"/>
        <v>33.282298392461357</v>
      </c>
      <c r="H39" s="34">
        <f ca="1">G40</f>
        <v>35.607788063429055</v>
      </c>
      <c r="I39" s="34">
        <f t="shared" ca="1" si="3"/>
        <v>0</v>
      </c>
      <c r="J39" s="41" cm="1">
        <f t="array" aca="1" ref="J39" ca="1">_xll.VoseOutput("Критична J","1 = да")+IF(I39&lt;0.0001,1,0)</f>
        <v>1</v>
      </c>
      <c r="K39" s="28"/>
      <c r="L39" s="28"/>
      <c r="M39" s="28"/>
      <c r="N39" s="28"/>
      <c r="O39" s="28"/>
    </row>
    <row r="40" spans="2:15" x14ac:dyDescent="0.45">
      <c r="B40" s="39" t="s">
        <v>163</v>
      </c>
      <c r="C40" s="25" t="str">
        <f t="shared" si="0"/>
        <v>Плита проезжей части</v>
      </c>
      <c r="D40" s="32" cm="1">
        <f t="array" aca="1" ref="D40" ca="1">_xll.VoseInput("K  Плита проезжей части","нед.")+_xll.VosePERT(E20,F20,G20)</f>
        <v>5.2867931509806887</v>
      </c>
      <c r="E40" s="34">
        <f ca="1">F39</f>
        <v>35.607788063429048</v>
      </c>
      <c r="F40" s="34">
        <f t="shared" ca="1" si="1"/>
        <v>40.89458121440974</v>
      </c>
      <c r="G40" s="34">
        <f t="shared" ca="1" si="2"/>
        <v>35.607788063429055</v>
      </c>
      <c r="H40" s="34">
        <f ca="1">MIN(G41,G42)</f>
        <v>40.89458121440974</v>
      </c>
      <c r="I40" s="34">
        <f t="shared" ca="1" si="3"/>
        <v>0</v>
      </c>
      <c r="J40" s="41" cm="1">
        <f t="array" aca="1" ref="J40" ca="1">_xll.VoseOutput("Критична K","1 = да")+IF(I40&lt;0.0001,1,0)</f>
        <v>1</v>
      </c>
      <c r="K40" s="28"/>
      <c r="L40" s="28"/>
      <c r="M40" s="28"/>
      <c r="N40" s="28"/>
      <c r="O40" s="28"/>
    </row>
    <row r="41" spans="2:15" x14ac:dyDescent="0.45">
      <c r="B41" s="39" t="s">
        <v>165</v>
      </c>
      <c r="C41" s="25" t="str">
        <f t="shared" si="0"/>
        <v>Гидроизоляция и покрытие</v>
      </c>
      <c r="D41" s="32" cm="1">
        <f t="array" aca="1" ref="D41" ca="1">_xll.VoseInput("L  Гидроизоляция и покрытие","нед.")+_xll.VosePERT(E21,F21,G21)</f>
        <v>2.5138779450743449</v>
      </c>
      <c r="E41" s="34">
        <f ca="1">F40</f>
        <v>40.89458121440974</v>
      </c>
      <c r="F41" s="34">
        <f t="shared" ca="1" si="1"/>
        <v>43.408459159484082</v>
      </c>
      <c r="G41" s="34">
        <f t="shared" ca="1" si="2"/>
        <v>40.89458121440974</v>
      </c>
      <c r="H41" s="34">
        <f ca="1">G44</f>
        <v>43.408459159484082</v>
      </c>
      <c r="I41" s="34">
        <f t="shared" ca="1" si="3"/>
        <v>0</v>
      </c>
      <c r="J41" s="41" cm="1">
        <f t="array" aca="1" ref="J41" ca="1">_xll.VoseOutput("Критична L","1 = да")+IF(I41&lt;0.0001,1,0)</f>
        <v>1</v>
      </c>
      <c r="K41" s="28"/>
      <c r="L41" s="28"/>
      <c r="M41" s="28"/>
      <c r="N41" s="28"/>
      <c r="O41" s="28"/>
    </row>
    <row r="42" spans="2:15" x14ac:dyDescent="0.45">
      <c r="B42" s="39" t="s">
        <v>167</v>
      </c>
      <c r="C42" s="25" t="str">
        <f t="shared" si="0"/>
        <v>Ограждения и отделка</v>
      </c>
      <c r="D42" s="32" cm="1">
        <f t="array" aca="1" ref="D42" ca="1">_xll.VoseInput("M  Ограждения и отделка","нед.")+_xll.VosePERT(E22,F22,G22)</f>
        <v>2.0753303007780324</v>
      </c>
      <c r="E42" s="34">
        <f ca="1">F40</f>
        <v>40.89458121440974</v>
      </c>
      <c r="F42" s="34">
        <f t="shared" ca="1" si="1"/>
        <v>42.969911515187775</v>
      </c>
      <c r="G42" s="34">
        <f t="shared" ca="1" si="2"/>
        <v>41.333128858706047</v>
      </c>
      <c r="H42" s="34">
        <f ca="1">G44</f>
        <v>43.408459159484082</v>
      </c>
      <c r="I42" s="34">
        <f t="shared" ca="1" si="3"/>
        <v>0.43854764429630677</v>
      </c>
      <c r="J42" s="41" cm="1">
        <f t="array" aca="1" ref="J42" ca="1">_xll.VoseOutput("Критична M","1 = да")+IF(I42&lt;0.0001,1,0)</f>
        <v>0</v>
      </c>
      <c r="K42" s="28"/>
      <c r="L42" s="28"/>
      <c r="M42" s="28"/>
      <c r="N42" s="28"/>
      <c r="O42" s="28"/>
    </row>
    <row r="43" spans="2:15" x14ac:dyDescent="0.45">
      <c r="B43" s="39" t="s">
        <v>169</v>
      </c>
      <c r="C43" s="25" t="str">
        <f t="shared" si="0"/>
        <v>Примыкания подходов</v>
      </c>
      <c r="D43" s="32" cm="1">
        <f t="array" aca="1" ref="D43" ca="1">_xll.VoseInput("N  Примыкания подходов","нед.")+_xll.VosePERT(E23,F23,G23)</f>
        <v>4.276137040744322</v>
      </c>
      <c r="E43" s="34">
        <f ca="1">F31</f>
        <v>14.927270862498478</v>
      </c>
      <c r="F43" s="34">
        <f t="shared" ca="1" si="1"/>
        <v>19.203407903242798</v>
      </c>
      <c r="G43" s="34">
        <f t="shared" ca="1" si="2"/>
        <v>39.132322118739758</v>
      </c>
      <c r="H43" s="34">
        <f ca="1">G44</f>
        <v>43.408459159484082</v>
      </c>
      <c r="I43" s="34">
        <f t="shared" ca="1" si="3"/>
        <v>24.20505125624128</v>
      </c>
      <c r="J43" s="41" cm="1">
        <f t="array" aca="1" ref="J43" ca="1">_xll.VoseOutput("Критична N","1 = да")+IF(I43&lt;0.0001,1,0)</f>
        <v>0</v>
      </c>
      <c r="K43" s="28"/>
      <c r="L43" s="28"/>
      <c r="M43" s="28"/>
      <c r="N43" s="28"/>
      <c r="O43" s="28"/>
    </row>
    <row r="44" spans="2:15" x14ac:dyDescent="0.45">
      <c r="B44" s="39" t="s">
        <v>172</v>
      </c>
      <c r="C44" s="25" t="str">
        <f t="shared" si="0"/>
        <v>Испытания и открытие</v>
      </c>
      <c r="D44" s="32" cm="1">
        <f t="array" aca="1" ref="D44" ca="1">_xll.VoseInput("O  Испытания и открытие","нед.")+_xll.VosePERT(E24,F24,G24)</f>
        <v>1.2292119419956793</v>
      </c>
      <c r="E44" s="34">
        <f ca="1">MAX(F41,F42,F43)</f>
        <v>43.408459159484082</v>
      </c>
      <c r="F44" s="34">
        <f t="shared" ca="1" si="1"/>
        <v>44.637671101479761</v>
      </c>
      <c r="G44" s="34">
        <f t="shared" ca="1" si="2"/>
        <v>43.408459159484082</v>
      </c>
      <c r="H44" s="34">
        <f ca="1">F44</f>
        <v>44.637671101479761</v>
      </c>
      <c r="I44" s="34">
        <f t="shared" ca="1" si="3"/>
        <v>0</v>
      </c>
      <c r="J44" s="41" cm="1">
        <f t="array" aca="1" ref="J44" ca="1">_xll.VoseOutput("Критична O","1 = да")+IF(I44&lt;0.0001,1,0)</f>
        <v>1</v>
      </c>
      <c r="K44" s="28"/>
      <c r="L44" s="28"/>
      <c r="M44" s="28"/>
      <c r="N44" s="28"/>
      <c r="O44" s="28"/>
    </row>
    <row r="45" spans="2:15" ht="8" customHeight="1" x14ac:dyDescent="0.45"/>
    <row r="46" spans="2:15" ht="22.05" customHeight="1" x14ac:dyDescent="0.5">
      <c r="B46" s="7" t="s">
        <v>192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2:15" ht="18" customHeight="1" x14ac:dyDescent="0.45">
      <c r="B47" s="13" t="s">
        <v>193</v>
      </c>
    </row>
    <row r="66" spans="2:15" ht="22.05" customHeight="1" x14ac:dyDescent="0.5">
      <c r="B66" s="7" t="s">
        <v>194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2:15" ht="18" customHeight="1" x14ac:dyDescent="0.45">
      <c r="B67" s="13" t="s">
        <v>195</v>
      </c>
    </row>
    <row r="68" spans="2:15" ht="18" customHeight="1" x14ac:dyDescent="0.45">
      <c r="B68" s="35" t="s">
        <v>126</v>
      </c>
      <c r="C68" s="35" t="s">
        <v>127</v>
      </c>
      <c r="D68" s="37" t="s">
        <v>112</v>
      </c>
      <c r="E68" s="37" t="s">
        <v>179</v>
      </c>
      <c r="F68" s="37" t="s">
        <v>180</v>
      </c>
      <c r="G68" s="37" t="s">
        <v>181</v>
      </c>
      <c r="H68" s="37" t="s">
        <v>182</v>
      </c>
      <c r="I68" s="37" t="s">
        <v>184</v>
      </c>
      <c r="J68" s="37" t="s">
        <v>114</v>
      </c>
      <c r="K68" s="37" t="s">
        <v>179</v>
      </c>
      <c r="L68" s="37" t="s">
        <v>180</v>
      </c>
      <c r="M68" s="36"/>
      <c r="N68" s="36"/>
      <c r="O68" s="35" t="s">
        <v>185</v>
      </c>
    </row>
    <row r="69" spans="2:15" x14ac:dyDescent="0.45">
      <c r="B69" s="38"/>
      <c r="C69" s="38"/>
      <c r="D69" s="38" t="s">
        <v>196</v>
      </c>
      <c r="E69" s="38"/>
      <c r="F69" s="38"/>
      <c r="G69" s="38"/>
      <c r="H69" s="38"/>
      <c r="I69" s="38" t="s">
        <v>197</v>
      </c>
      <c r="J69" s="38" t="s">
        <v>196</v>
      </c>
      <c r="K69" s="38"/>
      <c r="L69" s="38"/>
      <c r="M69" s="38"/>
      <c r="N69" s="38"/>
      <c r="O69" s="38"/>
    </row>
    <row r="70" spans="2:15" x14ac:dyDescent="0.45">
      <c r="B70" s="39" t="s">
        <v>133</v>
      </c>
      <c r="C70" s="25" t="str">
        <f t="shared" ref="C70:C84" si="4">C10</f>
        <v>Проектирование и согласования</v>
      </c>
      <c r="D70" s="34">
        <f t="shared" ref="D70:D84" si="5">F10</f>
        <v>10</v>
      </c>
      <c r="E70" s="34">
        <f>0</f>
        <v>0</v>
      </c>
      <c r="F70" s="34">
        <f t="shared" ref="F70:F84" si="6">E70+D70</f>
        <v>10</v>
      </c>
      <c r="G70" s="34">
        <f t="shared" ref="G70:G84" si="7">H70-D70</f>
        <v>0</v>
      </c>
      <c r="H70" s="34">
        <f>MIN(G71,G76)</f>
        <v>10</v>
      </c>
      <c r="I70" s="42">
        <f t="shared" ref="I70:I84" si="8">IF(G70-E70&lt;0.0001,1,0)</f>
        <v>1</v>
      </c>
      <c r="J70" s="34">
        <f>H10</f>
        <v>10.666666666666666</v>
      </c>
      <c r="K70" s="34">
        <f>0</f>
        <v>0</v>
      </c>
      <c r="L70" s="34">
        <f t="shared" ref="L70:L84" si="9">K70+J70</f>
        <v>10.666666666666666</v>
      </c>
      <c r="M70" s="28"/>
      <c r="N70" s="28"/>
      <c r="O70" s="26" t="s">
        <v>198</v>
      </c>
    </row>
    <row r="71" spans="2:15" x14ac:dyDescent="0.45">
      <c r="B71" s="39" t="s">
        <v>137</v>
      </c>
      <c r="C71" s="25" t="str">
        <f t="shared" si="4"/>
        <v>Мобилизация и организация движения</v>
      </c>
      <c r="D71" s="34">
        <f t="shared" si="5"/>
        <v>3</v>
      </c>
      <c r="E71" s="34">
        <f>F70</f>
        <v>10</v>
      </c>
      <c r="F71" s="34">
        <f t="shared" si="6"/>
        <v>13</v>
      </c>
      <c r="G71" s="34">
        <f t="shared" si="7"/>
        <v>10</v>
      </c>
      <c r="H71" s="34">
        <f>MIN(G72,G83)</f>
        <v>13</v>
      </c>
      <c r="I71" s="42">
        <f t="shared" si="8"/>
        <v>1</v>
      </c>
      <c r="J71" s="34">
        <f>H11</f>
        <v>3.1666666666666665</v>
      </c>
      <c r="K71" s="34">
        <f>L70</f>
        <v>10.666666666666666</v>
      </c>
      <c r="L71" s="34">
        <f t="shared" si="9"/>
        <v>13.833333333333332</v>
      </c>
      <c r="M71" s="28"/>
      <c r="N71" s="28"/>
      <c r="O71" s="26" t="s">
        <v>199</v>
      </c>
    </row>
    <row r="72" spans="2:15" x14ac:dyDescent="0.45">
      <c r="B72" s="39" t="s">
        <v>140</v>
      </c>
      <c r="C72" s="25" t="str">
        <f t="shared" si="4"/>
        <v>Демонтаж старого моста</v>
      </c>
      <c r="D72" s="34">
        <f t="shared" si="5"/>
        <v>4</v>
      </c>
      <c r="E72" s="34">
        <f>F71</f>
        <v>13</v>
      </c>
      <c r="F72" s="34">
        <f t="shared" si="6"/>
        <v>17</v>
      </c>
      <c r="G72" s="34">
        <f t="shared" si="7"/>
        <v>13</v>
      </c>
      <c r="H72" s="34">
        <f>MIN(G73,G74,G75)</f>
        <v>17</v>
      </c>
      <c r="I72" s="42">
        <f t="shared" si="8"/>
        <v>1</v>
      </c>
      <c r="J72" s="34">
        <f>H12</f>
        <v>4.333333333333333</v>
      </c>
      <c r="K72" s="34">
        <f>L71</f>
        <v>13.833333333333332</v>
      </c>
      <c r="L72" s="34">
        <f t="shared" si="9"/>
        <v>18.166666666666664</v>
      </c>
      <c r="M72" s="28"/>
      <c r="N72" s="28"/>
      <c r="O72" s="26" t="s">
        <v>200</v>
      </c>
    </row>
    <row r="73" spans="2:15" x14ac:dyDescent="0.45">
      <c r="B73" s="39" t="s">
        <v>143</v>
      </c>
      <c r="C73" s="25" t="str">
        <f t="shared" si="4"/>
        <v>Сваи северного устоя</v>
      </c>
      <c r="D73" s="34">
        <f t="shared" si="5"/>
        <v>7</v>
      </c>
      <c r="E73" s="34">
        <f>F72</f>
        <v>17</v>
      </c>
      <c r="F73" s="34">
        <f t="shared" si="6"/>
        <v>24</v>
      </c>
      <c r="G73" s="34">
        <f t="shared" si="7"/>
        <v>17</v>
      </c>
      <c r="H73" s="34">
        <f>G77</f>
        <v>24</v>
      </c>
      <c r="I73" s="42">
        <f t="shared" si="8"/>
        <v>1</v>
      </c>
      <c r="J73" s="34">
        <f>H13</f>
        <v>7.333333333333333</v>
      </c>
      <c r="K73" s="34">
        <f>L72</f>
        <v>18.166666666666664</v>
      </c>
      <c r="L73" s="34">
        <f t="shared" si="9"/>
        <v>25.499999999999996</v>
      </c>
      <c r="M73" s="28"/>
      <c r="N73" s="28"/>
      <c r="O73" s="28"/>
    </row>
    <row r="74" spans="2:15" x14ac:dyDescent="0.45">
      <c r="B74" s="39" t="s">
        <v>146</v>
      </c>
      <c r="C74" s="25" t="str">
        <f t="shared" si="4"/>
        <v>Сваи южного устоя</v>
      </c>
      <c r="D74" s="34">
        <f t="shared" si="5"/>
        <v>7</v>
      </c>
      <c r="E74" s="34">
        <f>F72</f>
        <v>17</v>
      </c>
      <c r="F74" s="34">
        <f t="shared" si="6"/>
        <v>24</v>
      </c>
      <c r="G74" s="34">
        <f t="shared" si="7"/>
        <v>17</v>
      </c>
      <c r="H74" s="34">
        <f>G78</f>
        <v>24</v>
      </c>
      <c r="I74" s="42">
        <f t="shared" si="8"/>
        <v>1</v>
      </c>
      <c r="J74" s="34">
        <f>H14</f>
        <v>7.5</v>
      </c>
      <c r="K74" s="34">
        <f>L72</f>
        <v>18.166666666666664</v>
      </c>
      <c r="L74" s="34">
        <f t="shared" si="9"/>
        <v>25.666666666666664</v>
      </c>
      <c r="M74" s="28"/>
      <c r="N74" s="28"/>
      <c r="O74" s="28"/>
    </row>
    <row r="75" spans="2:15" x14ac:dyDescent="0.45">
      <c r="B75" s="39" t="s">
        <v>149</v>
      </c>
      <c r="C75" s="25" t="str">
        <f t="shared" si="4"/>
        <v>Опора в русле</v>
      </c>
      <c r="D75" s="34">
        <f t="shared" si="5"/>
        <v>9</v>
      </c>
      <c r="E75" s="34">
        <f>F72</f>
        <v>17</v>
      </c>
      <c r="F75" s="34">
        <f t="shared" si="6"/>
        <v>26</v>
      </c>
      <c r="G75" s="34">
        <f t="shared" si="7"/>
        <v>19</v>
      </c>
      <c r="H75" s="34">
        <f>G79</f>
        <v>28</v>
      </c>
      <c r="I75" s="42">
        <f t="shared" si="8"/>
        <v>0</v>
      </c>
      <c r="J75" s="34">
        <f>H15+Flood_Mean</f>
        <v>10.166666666666668</v>
      </c>
      <c r="K75" s="34">
        <f>L72</f>
        <v>18.166666666666664</v>
      </c>
      <c r="L75" s="34">
        <f t="shared" si="9"/>
        <v>28.333333333333332</v>
      </c>
      <c r="M75" s="28"/>
      <c r="N75" s="28"/>
      <c r="O75" s="28"/>
    </row>
    <row r="76" spans="2:15" x14ac:dyDescent="0.45">
      <c r="B76" s="39" t="s">
        <v>152</v>
      </c>
      <c r="C76" s="25" t="str">
        <f t="shared" si="4"/>
        <v>Изготовление стальных балок (на заводе)</v>
      </c>
      <c r="D76" s="34">
        <f t="shared" si="5"/>
        <v>14</v>
      </c>
      <c r="E76" s="34">
        <f>F70</f>
        <v>10</v>
      </c>
      <c r="F76" s="34">
        <f t="shared" si="6"/>
        <v>24</v>
      </c>
      <c r="G76" s="34">
        <f t="shared" si="7"/>
        <v>14</v>
      </c>
      <c r="H76" s="34">
        <f>G79</f>
        <v>28</v>
      </c>
      <c r="I76" s="42">
        <f t="shared" si="8"/>
        <v>0</v>
      </c>
      <c r="J76" s="34">
        <f t="shared" ref="J76:J84" si="10">H16</f>
        <v>14.333333333333334</v>
      </c>
      <c r="K76" s="34">
        <f>L70</f>
        <v>10.666666666666666</v>
      </c>
      <c r="L76" s="34">
        <f t="shared" si="9"/>
        <v>25</v>
      </c>
      <c r="M76" s="28"/>
      <c r="N76" s="28"/>
      <c r="O76" s="28"/>
    </row>
    <row r="77" spans="2:15" x14ac:dyDescent="0.45">
      <c r="B77" s="39" t="s">
        <v>155</v>
      </c>
      <c r="C77" s="25" t="str">
        <f t="shared" si="4"/>
        <v>Стены северного устоя</v>
      </c>
      <c r="D77" s="34">
        <f t="shared" si="5"/>
        <v>4</v>
      </c>
      <c r="E77" s="34">
        <f>F73</f>
        <v>24</v>
      </c>
      <c r="F77" s="34">
        <f t="shared" si="6"/>
        <v>28</v>
      </c>
      <c r="G77" s="34">
        <f t="shared" si="7"/>
        <v>24</v>
      </c>
      <c r="H77" s="34">
        <f>G79</f>
        <v>28</v>
      </c>
      <c r="I77" s="42">
        <f t="shared" si="8"/>
        <v>1</v>
      </c>
      <c r="J77" s="34">
        <f t="shared" si="10"/>
        <v>4.166666666666667</v>
      </c>
      <c r="K77" s="34">
        <f>L73</f>
        <v>25.499999999999996</v>
      </c>
      <c r="L77" s="34">
        <f t="shared" si="9"/>
        <v>29.666666666666664</v>
      </c>
      <c r="M77" s="28"/>
      <c r="N77" s="28"/>
      <c r="O77" s="28"/>
    </row>
    <row r="78" spans="2:15" x14ac:dyDescent="0.45">
      <c r="B78" s="39" t="s">
        <v>157</v>
      </c>
      <c r="C78" s="25" t="str">
        <f t="shared" si="4"/>
        <v>Стены южного устоя</v>
      </c>
      <c r="D78" s="34">
        <f t="shared" si="5"/>
        <v>4</v>
      </c>
      <c r="E78" s="34">
        <f>F74</f>
        <v>24</v>
      </c>
      <c r="F78" s="34">
        <f t="shared" si="6"/>
        <v>28</v>
      </c>
      <c r="G78" s="34">
        <f t="shared" si="7"/>
        <v>24</v>
      </c>
      <c r="H78" s="34">
        <f>G79</f>
        <v>28</v>
      </c>
      <c r="I78" s="42">
        <f t="shared" si="8"/>
        <v>1</v>
      </c>
      <c r="J78" s="34">
        <f t="shared" si="10"/>
        <v>4.166666666666667</v>
      </c>
      <c r="K78" s="34">
        <f>L74</f>
        <v>25.666666666666664</v>
      </c>
      <c r="L78" s="34">
        <f t="shared" si="9"/>
        <v>29.833333333333332</v>
      </c>
      <c r="M78" s="28"/>
      <c r="N78" s="28"/>
      <c r="O78" s="28"/>
    </row>
    <row r="79" spans="2:15" x14ac:dyDescent="0.45">
      <c r="B79" s="39" t="s">
        <v>159</v>
      </c>
      <c r="C79" s="25" t="str">
        <f t="shared" si="4"/>
        <v>Доставка и монтаж балок</v>
      </c>
      <c r="D79" s="34">
        <f t="shared" si="5"/>
        <v>3</v>
      </c>
      <c r="E79" s="34">
        <f>MAX(F75,F76,F77,F78)</f>
        <v>28</v>
      </c>
      <c r="F79" s="34">
        <f t="shared" si="6"/>
        <v>31</v>
      </c>
      <c r="G79" s="34">
        <f t="shared" si="7"/>
        <v>28</v>
      </c>
      <c r="H79" s="34">
        <f>G80</f>
        <v>31</v>
      </c>
      <c r="I79" s="42">
        <f t="shared" si="8"/>
        <v>1</v>
      </c>
      <c r="J79" s="34">
        <f t="shared" si="10"/>
        <v>3.1666666666666665</v>
      </c>
      <c r="K79" s="34">
        <f>MAX(L75,L76,L77,L78)</f>
        <v>29.833333333333332</v>
      </c>
      <c r="L79" s="34">
        <f t="shared" si="9"/>
        <v>33</v>
      </c>
      <c r="M79" s="28"/>
      <c r="N79" s="28"/>
      <c r="O79" s="28"/>
    </row>
    <row r="80" spans="2:15" x14ac:dyDescent="0.45">
      <c r="B80" s="39" t="s">
        <v>163</v>
      </c>
      <c r="C80" s="25" t="str">
        <f t="shared" si="4"/>
        <v>Плита проезжей части</v>
      </c>
      <c r="D80" s="34">
        <f t="shared" si="5"/>
        <v>5</v>
      </c>
      <c r="E80" s="34">
        <f>F79</f>
        <v>31</v>
      </c>
      <c r="F80" s="34">
        <f t="shared" si="6"/>
        <v>36</v>
      </c>
      <c r="G80" s="34">
        <f t="shared" si="7"/>
        <v>31</v>
      </c>
      <c r="H80" s="34">
        <f>MIN(G81,G82)</f>
        <v>36</v>
      </c>
      <c r="I80" s="42">
        <f t="shared" si="8"/>
        <v>1</v>
      </c>
      <c r="J80" s="34">
        <f t="shared" si="10"/>
        <v>5.333333333333333</v>
      </c>
      <c r="K80" s="34">
        <f>L79</f>
        <v>33</v>
      </c>
      <c r="L80" s="34">
        <f t="shared" si="9"/>
        <v>38.333333333333336</v>
      </c>
      <c r="M80" s="28"/>
      <c r="N80" s="28"/>
      <c r="O80" s="28"/>
    </row>
    <row r="81" spans="2:15" x14ac:dyDescent="0.45">
      <c r="B81" s="39" t="s">
        <v>165</v>
      </c>
      <c r="C81" s="25" t="str">
        <f t="shared" si="4"/>
        <v>Гидроизоляция и покрытие</v>
      </c>
      <c r="D81" s="34">
        <f t="shared" si="5"/>
        <v>3</v>
      </c>
      <c r="E81" s="34">
        <f>F80</f>
        <v>36</v>
      </c>
      <c r="F81" s="34">
        <f t="shared" si="6"/>
        <v>39</v>
      </c>
      <c r="G81" s="34">
        <f t="shared" si="7"/>
        <v>36</v>
      </c>
      <c r="H81" s="34">
        <f>G84</f>
        <v>39</v>
      </c>
      <c r="I81" s="42">
        <f t="shared" si="8"/>
        <v>1</v>
      </c>
      <c r="J81" s="34">
        <f t="shared" si="10"/>
        <v>3.1666666666666665</v>
      </c>
      <c r="K81" s="34">
        <f>L80</f>
        <v>38.333333333333336</v>
      </c>
      <c r="L81" s="34">
        <f t="shared" si="9"/>
        <v>41.5</v>
      </c>
      <c r="M81" s="28"/>
      <c r="N81" s="28"/>
      <c r="O81" s="28"/>
    </row>
    <row r="82" spans="2:15" x14ac:dyDescent="0.45">
      <c r="B82" s="39" t="s">
        <v>167</v>
      </c>
      <c r="C82" s="25" t="str">
        <f t="shared" si="4"/>
        <v>Ограждения и отделка</v>
      </c>
      <c r="D82" s="34">
        <f t="shared" si="5"/>
        <v>2</v>
      </c>
      <c r="E82" s="34">
        <f>F80</f>
        <v>36</v>
      </c>
      <c r="F82" s="34">
        <f t="shared" si="6"/>
        <v>38</v>
      </c>
      <c r="G82" s="34">
        <f t="shared" si="7"/>
        <v>37</v>
      </c>
      <c r="H82" s="34">
        <f>G84</f>
        <v>39</v>
      </c>
      <c r="I82" s="42">
        <f t="shared" si="8"/>
        <v>0</v>
      </c>
      <c r="J82" s="34">
        <f t="shared" si="10"/>
        <v>2.3333333333333335</v>
      </c>
      <c r="K82" s="34">
        <f>L80</f>
        <v>38.333333333333336</v>
      </c>
      <c r="L82" s="34">
        <f t="shared" si="9"/>
        <v>40.666666666666671</v>
      </c>
      <c r="M82" s="28"/>
      <c r="N82" s="28"/>
      <c r="O82" s="28"/>
    </row>
    <row r="83" spans="2:15" x14ac:dyDescent="0.45">
      <c r="B83" s="39" t="s">
        <v>169</v>
      </c>
      <c r="C83" s="25" t="str">
        <f t="shared" si="4"/>
        <v>Примыкания подходов</v>
      </c>
      <c r="D83" s="34">
        <f t="shared" si="5"/>
        <v>4</v>
      </c>
      <c r="E83" s="34">
        <f>F71</f>
        <v>13</v>
      </c>
      <c r="F83" s="34">
        <f t="shared" si="6"/>
        <v>17</v>
      </c>
      <c r="G83" s="34">
        <f t="shared" si="7"/>
        <v>35</v>
      </c>
      <c r="H83" s="34">
        <f>G84</f>
        <v>39</v>
      </c>
      <c r="I83" s="42">
        <f t="shared" si="8"/>
        <v>0</v>
      </c>
      <c r="J83" s="34">
        <f t="shared" si="10"/>
        <v>4.166666666666667</v>
      </c>
      <c r="K83" s="34">
        <f>L71</f>
        <v>13.833333333333332</v>
      </c>
      <c r="L83" s="34">
        <f t="shared" si="9"/>
        <v>18</v>
      </c>
      <c r="M83" s="28"/>
      <c r="N83" s="28"/>
      <c r="O83" s="28"/>
    </row>
    <row r="84" spans="2:15" x14ac:dyDescent="0.45">
      <c r="B84" s="39" t="s">
        <v>172</v>
      </c>
      <c r="C84" s="25" t="str">
        <f t="shared" si="4"/>
        <v>Испытания и открытие</v>
      </c>
      <c r="D84" s="34">
        <f t="shared" si="5"/>
        <v>1</v>
      </c>
      <c r="E84" s="34">
        <f>MAX(F81,F82,F83)</f>
        <v>39</v>
      </c>
      <c r="F84" s="34">
        <f t="shared" si="6"/>
        <v>40</v>
      </c>
      <c r="G84" s="34">
        <f t="shared" si="7"/>
        <v>39</v>
      </c>
      <c r="H84" s="34">
        <f>F84</f>
        <v>40</v>
      </c>
      <c r="I84" s="42">
        <f t="shared" si="8"/>
        <v>1</v>
      </c>
      <c r="J84" s="34">
        <f t="shared" si="10"/>
        <v>1.1666666666666667</v>
      </c>
      <c r="K84" s="34">
        <f>MAX(L81,L82,L83)</f>
        <v>41.5</v>
      </c>
      <c r="L84" s="34">
        <f t="shared" si="9"/>
        <v>42.666666666666664</v>
      </c>
      <c r="M84" s="28"/>
      <c r="N84" s="28"/>
      <c r="O84" s="28"/>
    </row>
    <row r="85" spans="2:15" ht="8" customHeight="1" x14ac:dyDescent="0.45"/>
    <row r="86" spans="2:15" ht="22.05" customHeight="1" x14ac:dyDescent="0.5">
      <c r="B86" s="7" t="s">
        <v>201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2:15" ht="18" customHeight="1" x14ac:dyDescent="0.45">
      <c r="B87" s="13" t="s">
        <v>202</v>
      </c>
    </row>
    <row r="88" spans="2:15" ht="18" customHeight="1" x14ac:dyDescent="0.45">
      <c r="B88" s="5"/>
      <c r="C88" s="43" t="s">
        <v>203</v>
      </c>
      <c r="D88" s="43" t="s">
        <v>98</v>
      </c>
      <c r="E88" s="44" t="s">
        <v>204</v>
      </c>
      <c r="F88" s="5"/>
      <c r="G88" s="5"/>
      <c r="H88" s="5"/>
      <c r="I88" s="5"/>
      <c r="J88" s="5"/>
      <c r="K88" s="5"/>
      <c r="L88" s="5"/>
      <c r="M88" s="5"/>
      <c r="N88" s="5"/>
      <c r="O88" s="43" t="s">
        <v>205</v>
      </c>
    </row>
    <row r="89" spans="2:15" x14ac:dyDescent="0.45">
      <c r="B89" s="28"/>
      <c r="C89" s="25" t="s">
        <v>206</v>
      </c>
      <c r="D89" s="26" t="s">
        <v>107</v>
      </c>
      <c r="E89" s="45" cm="1">
        <f t="array" aca="1" ref="E89" ca="1">_xll.VoseOutput("Завершение","нед.")+F44</f>
        <v>44.637671101479761</v>
      </c>
      <c r="F89" s="28"/>
      <c r="G89" s="28"/>
      <c r="H89" s="28"/>
      <c r="I89" s="28"/>
      <c r="J89" s="28"/>
      <c r="K89" s="28"/>
      <c r="L89" s="28"/>
      <c r="M89" s="28"/>
      <c r="N89" s="28"/>
      <c r="O89" s="26" t="s">
        <v>207</v>
      </c>
    </row>
    <row r="90" spans="2:15" x14ac:dyDescent="0.45">
      <c r="B90" s="28"/>
      <c r="C90" s="25" t="s">
        <v>208</v>
      </c>
      <c r="D90" s="26" t="s">
        <v>103</v>
      </c>
      <c r="E90" s="46">
        <f ca="1">StartDate+ROUND(7*Finish,0)</f>
        <v>46759</v>
      </c>
      <c r="F90" s="28"/>
      <c r="G90" s="28"/>
      <c r="H90" s="28"/>
      <c r="I90" s="28"/>
      <c r="J90" s="28"/>
      <c r="K90" s="28"/>
      <c r="L90" s="28"/>
      <c r="M90" s="28"/>
      <c r="N90" s="28"/>
      <c r="O90" s="26" t="s">
        <v>209</v>
      </c>
    </row>
    <row r="91" spans="2:15" x14ac:dyDescent="0.45">
      <c r="B91" s="28"/>
      <c r="C91" s="25" t="s">
        <v>210</v>
      </c>
      <c r="D91" s="26" t="s">
        <v>211</v>
      </c>
      <c r="E91" s="41" cm="1">
        <f t="array" aca="1" ref="E91" ca="1">_xll.VoseOutput("Укладывается в контракт","1 = да")+IF(Finish&lt;=ContractWeeks,1,0)</f>
        <v>0</v>
      </c>
      <c r="F91" s="28"/>
      <c r="G91" s="28"/>
      <c r="H91" s="28"/>
      <c r="I91" s="28"/>
      <c r="J91" s="28"/>
      <c r="K91" s="28"/>
      <c r="L91" s="28"/>
      <c r="M91" s="28"/>
      <c r="N91" s="28"/>
      <c r="O91" s="26"/>
    </row>
    <row r="92" spans="2:15" x14ac:dyDescent="0.45">
      <c r="B92" s="28"/>
      <c r="C92" s="25" t="s">
        <v>212</v>
      </c>
      <c r="D92" s="26" t="s">
        <v>107</v>
      </c>
      <c r="E92" s="34">
        <f>F84</f>
        <v>40</v>
      </c>
      <c r="F92" s="28"/>
      <c r="G92" s="28"/>
      <c r="H92" s="28"/>
      <c r="I92" s="28"/>
      <c r="J92" s="28"/>
      <c r="K92" s="28"/>
      <c r="L92" s="28"/>
      <c r="M92" s="28"/>
      <c r="N92" s="28"/>
      <c r="O92" s="26" t="s">
        <v>213</v>
      </c>
    </row>
    <row r="93" spans="2:15" x14ac:dyDescent="0.45">
      <c r="B93" s="28"/>
      <c r="C93" s="25" t="s">
        <v>214</v>
      </c>
      <c r="D93" s="26" t="s">
        <v>107</v>
      </c>
      <c r="E93" s="34">
        <f>L84</f>
        <v>42.666666666666664</v>
      </c>
      <c r="F93" s="28"/>
      <c r="G93" s="28"/>
      <c r="H93" s="28"/>
      <c r="I93" s="28"/>
      <c r="J93" s="28"/>
      <c r="K93" s="28"/>
      <c r="L93" s="28"/>
      <c r="M93" s="28"/>
      <c r="N93" s="28"/>
      <c r="O93" s="26" t="s">
        <v>215</v>
      </c>
    </row>
    <row r="94" spans="2:15" ht="8" customHeight="1" x14ac:dyDescent="0.45"/>
    <row r="95" spans="2:15" ht="22.05" customHeight="1" x14ac:dyDescent="0.5">
      <c r="B95" s="7" t="s">
        <v>216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18" customHeight="1" x14ac:dyDescent="0.45">
      <c r="B96" s="13" t="s">
        <v>217</v>
      </c>
    </row>
    <row r="97" spans="2:15" x14ac:dyDescent="0.45">
      <c r="B97" s="28"/>
      <c r="C97" s="25" t="s">
        <v>218</v>
      </c>
      <c r="D97" s="28"/>
      <c r="E97" s="47" t="str">
        <f>IF(SUMPRODUCT((E10:E24&gt;F10:F24)+(F10:F24&gt;G10:G24))=0,"ОК","ПРОВЕРИТЬ")</f>
        <v>ОК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</row>
    <row r="98" spans="2:15" x14ac:dyDescent="0.45">
      <c r="B98" s="28"/>
      <c r="C98" s="25" t="s">
        <v>219</v>
      </c>
      <c r="D98" s="28"/>
      <c r="E98" s="47" t="str">
        <f ca="1">IF(MIN(I30:I44)&gt;-0.0001,"ОК","ПРОВЕРИТЬ")</f>
        <v>ОК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</row>
    <row r="99" spans="2:15" x14ac:dyDescent="0.45">
      <c r="B99" s="28"/>
      <c r="C99" s="25" t="s">
        <v>220</v>
      </c>
      <c r="D99" s="28"/>
      <c r="E99" s="47" t="str">
        <f ca="1">IF(J44=1,"ОК","ПРОВЕРИТЬ")</f>
        <v>ОК</v>
      </c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2:15" ht="14" customHeight="1" x14ac:dyDescent="0.45"/>
  </sheetData>
  <conditionalFormatting sqref="B30:J44">
    <cfRule type="expression" dxfId="5" priority="1">
      <formula>$J30=1</formula>
    </cfRule>
  </conditionalFormatting>
  <conditionalFormatting sqref="E97:E99">
    <cfRule type="expression" dxfId="4" priority="2">
      <formula>E97="CHECK"</formula>
    </cfRule>
  </conditionalFormatting>
  <dataValidations count="1">
    <dataValidation type="custom" showErrorMessage="1" errorTitle="Длительность" error="Мин. ≤ наиболее вероятное ≤ макс." sqref="E10:G24" xr:uid="{00000000-0002-0000-0200-000000000000}">
      <formula1>AND($E10&lt;=$F10,$F10&lt;=$G10,$E10&gt;=0)</formula1>
    </dataValidation>
  </dataValidations>
  <hyperlinks>
    <hyperlink ref="B4" location="'Исходные данные'!A1" display="◂  Исходные данные" xr:uid="{00000000-0004-0000-0200-000000000000}"/>
    <hyperlink ref="O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69" fitToHeight="0" orientation="landscape" r:id="rId1"/>
  <headerFooter>
    <oddFooter>&amp;L&amp;K3F5876&amp;8&amp;F · &amp;A&amp;R&amp;K3F5876&amp;8Page &amp;P of &amp;N</oddFooter>
  </headerFooter>
  <rowBreaks count="2" manualBreakCount="2">
    <brk id="45" max="16383" man="1"/>
    <brk id="8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47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8" t="str" cm="1">
        <f t="array" aca="1" ref="B6" ca="1">IF(ISNUMBER(_xll.VoseSimMean(Finish)),"✔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49"/>
      <c r="D6" s="49"/>
      <c r="E6" s="49"/>
      <c r="F6" s="49"/>
      <c r="G6" s="49"/>
    </row>
    <row r="7" spans="1:18" x14ac:dyDescent="0.45">
      <c r="B7" s="50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223</v>
      </c>
      <c r="C9" s="8"/>
      <c r="D9" s="8"/>
      <c r="E9" s="8"/>
      <c r="F9" s="8"/>
      <c r="G9" s="8"/>
      <c r="I9" s="51" t="s">
        <v>224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225</v>
      </c>
    </row>
    <row r="11" spans="1:18" ht="18" customHeight="1" x14ac:dyDescent="0.45">
      <c r="B11" s="23" t="s">
        <v>226</v>
      </c>
      <c r="C11" s="23" t="s">
        <v>98</v>
      </c>
      <c r="D11" s="24" t="s">
        <v>204</v>
      </c>
      <c r="E11" s="5"/>
      <c r="F11" s="5"/>
      <c r="G11" s="5"/>
    </row>
    <row r="12" spans="1:18" x14ac:dyDescent="0.45">
      <c r="B12" s="52" t="s">
        <v>227</v>
      </c>
      <c r="C12" s="26" t="s">
        <v>107</v>
      </c>
      <c r="D12" s="42">
        <f>ContractWeeks</f>
        <v>44</v>
      </c>
      <c r="E12" s="28"/>
      <c r="F12" s="28"/>
      <c r="G12" s="28"/>
    </row>
    <row r="13" spans="1:18" x14ac:dyDescent="0.45">
      <c r="B13" s="52" t="s">
        <v>228</v>
      </c>
      <c r="C13" s="26" t="s">
        <v>103</v>
      </c>
      <c r="D13" s="46">
        <f>StartDate+7*ContractWeeks</f>
        <v>46755</v>
      </c>
      <c r="E13" s="28"/>
      <c r="F13" s="28"/>
      <c r="G13" s="28"/>
    </row>
    <row r="14" spans="1:18" ht="22.05" customHeight="1" x14ac:dyDescent="0.45">
      <c r="B14" s="39" t="s">
        <v>229</v>
      </c>
      <c r="C14" s="26" t="s">
        <v>116</v>
      </c>
      <c r="D14" s="53" cm="1">
        <f t="array" aca="1" ref="D14" ca="1">_xll.VoseSimMean(MeetsContract)</f>
        <v>0.57889999999999997</v>
      </c>
      <c r="E14" s="28"/>
      <c r="F14" s="28"/>
      <c r="G14" s="28"/>
    </row>
    <row r="15" spans="1:18" x14ac:dyDescent="0.45">
      <c r="B15" s="39" t="s">
        <v>230</v>
      </c>
      <c r="C15" s="26" t="s">
        <v>107</v>
      </c>
      <c r="D15" s="54" cm="1">
        <f t="array" aca="1" ref="D15" ca="1">_xll.VoseSimPercentile(Finish,0.8)</f>
        <v>45.578355906508598</v>
      </c>
      <c r="E15" s="28"/>
      <c r="F15" s="28"/>
      <c r="G15" s="28"/>
    </row>
    <row r="16" spans="1:18" x14ac:dyDescent="0.45">
      <c r="B16" s="25" t="s">
        <v>231</v>
      </c>
      <c r="C16" s="26" t="s">
        <v>103</v>
      </c>
      <c r="D16" s="55">
        <f ca="1">IFERROR(StartDate+ROUND(7*D15,0),"–")</f>
        <v>46766</v>
      </c>
      <c r="E16" s="28"/>
      <c r="F16" s="28"/>
      <c r="G16" s="28"/>
    </row>
    <row r="17" spans="2:7" x14ac:dyDescent="0.45">
      <c r="B17" s="25" t="s">
        <v>232</v>
      </c>
      <c r="C17" s="26" t="s">
        <v>107</v>
      </c>
      <c r="D17" s="54" cm="1">
        <f t="array" aca="1" ref="D17" ca="1">_xll.VoseSimMean(Finish)</f>
        <v>43.638402745073968</v>
      </c>
      <c r="E17" s="28"/>
      <c r="F17" s="28"/>
      <c r="G17" s="28"/>
    </row>
    <row r="18" spans="2:7" x14ac:dyDescent="0.45">
      <c r="B18" s="52" t="s">
        <v>233</v>
      </c>
      <c r="C18" s="26" t="s">
        <v>107</v>
      </c>
      <c r="D18" s="34">
        <f>Det_ML</f>
        <v>40</v>
      </c>
      <c r="E18" s="28"/>
      <c r="F18" s="28"/>
      <c r="G18" s="28"/>
    </row>
    <row r="19" spans="2:7" x14ac:dyDescent="0.45">
      <c r="B19" s="52" t="s">
        <v>234</v>
      </c>
      <c r="C19" s="26" t="s">
        <v>107</v>
      </c>
      <c r="D19" s="34">
        <f>Det_Mean</f>
        <v>42.666666666666664</v>
      </c>
      <c r="E19" s="28"/>
      <c r="F19" s="28"/>
      <c r="G19" s="28"/>
    </row>
    <row r="20" spans="2:7" x14ac:dyDescent="0.45">
      <c r="B20" s="52" t="s">
        <v>235</v>
      </c>
      <c r="C20" s="26" t="s">
        <v>107</v>
      </c>
      <c r="D20" s="34">
        <f>Det_Mean-Det_ML</f>
        <v>2.6666666666666643</v>
      </c>
      <c r="E20" s="28"/>
      <c r="F20" s="28"/>
      <c r="G20" s="28"/>
    </row>
    <row r="21" spans="2:7" x14ac:dyDescent="0.45">
      <c r="B21" s="25" t="s">
        <v>236</v>
      </c>
      <c r="C21" s="26" t="s">
        <v>107</v>
      </c>
      <c r="D21" s="54">
        <f ca="1">IFERROR(D17-Det_Mean,"–")</f>
        <v>0.97173607840730369</v>
      </c>
      <c r="E21" s="28"/>
      <c r="F21" s="28"/>
      <c r="G21" s="28"/>
    </row>
    <row r="22" spans="2:7" ht="8" customHeight="1" x14ac:dyDescent="0.45"/>
    <row r="23" spans="2:7" ht="22.05" customHeight="1" x14ac:dyDescent="0.5">
      <c r="B23" s="7" t="s">
        <v>237</v>
      </c>
      <c r="C23" s="8"/>
      <c r="D23" s="8"/>
      <c r="E23" s="8"/>
      <c r="F23" s="8"/>
      <c r="G23" s="8"/>
    </row>
    <row r="24" spans="2:7" ht="18" customHeight="1" x14ac:dyDescent="0.45">
      <c r="B24" s="13" t="s">
        <v>238</v>
      </c>
    </row>
    <row r="25" spans="2:7" ht="18" customHeight="1" x14ac:dyDescent="0.45">
      <c r="B25" s="23" t="s">
        <v>226</v>
      </c>
      <c r="C25" s="23" t="s">
        <v>98</v>
      </c>
      <c r="D25" s="24" t="s">
        <v>239</v>
      </c>
      <c r="E25" s="24" t="s">
        <v>240</v>
      </c>
      <c r="F25" s="24" t="s">
        <v>241</v>
      </c>
      <c r="G25" s="24" t="s">
        <v>114</v>
      </c>
    </row>
    <row r="26" spans="2:7" x14ac:dyDescent="0.45">
      <c r="B26" s="25" t="s">
        <v>206</v>
      </c>
      <c r="C26" s="26" t="s">
        <v>107</v>
      </c>
      <c r="D26" s="54" cm="1">
        <f t="array" aca="1" ref="D26" ca="1">_xll.VoseSimPercentile(Finish,0.5)</f>
        <v>43.530618508359495</v>
      </c>
      <c r="E26" s="54" cm="1">
        <f t="array" aca="1" ref="E26" ca="1">_xll.VoseSimPercentile(Finish,0.8)</f>
        <v>45.578355906508598</v>
      </c>
      <c r="F26" s="54" cm="1">
        <f t="array" aca="1" ref="F26" ca="1">_xll.VoseSimPercentile(Finish,0.9)</f>
        <v>46.700888288545471</v>
      </c>
      <c r="G26" s="54" cm="1">
        <f t="array" aca="1" ref="G26" ca="1">_xll.VoseSimMean(Finish)</f>
        <v>43.638402745073968</v>
      </c>
    </row>
    <row r="27" spans="2:7" ht="8" customHeight="1" x14ac:dyDescent="0.45"/>
    <row r="28" spans="2:7" ht="22.05" customHeight="1" x14ac:dyDescent="0.5">
      <c r="B28" s="7" t="s">
        <v>242</v>
      </c>
      <c r="C28" s="8"/>
      <c r="D28" s="8"/>
      <c r="E28" s="8"/>
      <c r="F28" s="8"/>
      <c r="G28" s="8"/>
    </row>
    <row r="29" spans="2:7" ht="18" customHeight="1" x14ac:dyDescent="0.45">
      <c r="B29" s="13" t="s">
        <v>243</v>
      </c>
    </row>
    <row r="30" spans="2:7" ht="18" customHeight="1" x14ac:dyDescent="0.45">
      <c r="B30" s="56" t="s">
        <v>127</v>
      </c>
      <c r="C30" s="57" t="s">
        <v>244</v>
      </c>
      <c r="D30" s="57" t="s">
        <v>245</v>
      </c>
      <c r="E30" s="36"/>
      <c r="F30" s="36"/>
      <c r="G30" s="36"/>
    </row>
    <row r="31" spans="2:7" x14ac:dyDescent="0.45">
      <c r="B31" s="38"/>
      <c r="C31" s="38" t="s">
        <v>197</v>
      </c>
      <c r="D31" s="38" t="s">
        <v>246</v>
      </c>
      <c r="E31" s="38"/>
      <c r="F31" s="38"/>
      <c r="G31" s="38"/>
    </row>
    <row r="32" spans="2:7" x14ac:dyDescent="0.45">
      <c r="B32" s="25" t="s">
        <v>247</v>
      </c>
      <c r="C32" s="58" t="str">
        <f>IF(INDEX(DetCrit,1)=1,"да","")</f>
        <v>да</v>
      </c>
      <c r="D32" s="59" cm="1">
        <f t="array" aca="1" ref="D32" ca="1">_xll.VoseSimMean(Crit_A)</f>
        <v>1</v>
      </c>
      <c r="E32" s="28"/>
      <c r="F32" s="28"/>
      <c r="G32" s="28"/>
    </row>
    <row r="33" spans="2:18" x14ac:dyDescent="0.45">
      <c r="B33" s="25" t="s">
        <v>248</v>
      </c>
      <c r="C33" s="58" t="str">
        <f>IF(INDEX(DetCrit,2)=1,"да","")</f>
        <v>да</v>
      </c>
      <c r="D33" s="59" cm="1">
        <f t="array" aca="1" ref="D33" ca="1">_xll.VoseSimMean(Crit_B)</f>
        <v>0.99390000000000001</v>
      </c>
      <c r="E33" s="28"/>
      <c r="F33" s="28"/>
      <c r="G33" s="28"/>
    </row>
    <row r="34" spans="2:18" x14ac:dyDescent="0.45">
      <c r="B34" s="25" t="s">
        <v>249</v>
      </c>
      <c r="C34" s="58" t="str">
        <f>IF(INDEX(DetCrit,3)=1,"да","")</f>
        <v>да</v>
      </c>
      <c r="D34" s="59" cm="1">
        <f t="array" aca="1" ref="D34" ca="1">_xll.VoseSimMean(Crit_C)</f>
        <v>0.99390000000000001</v>
      </c>
      <c r="E34" s="28"/>
      <c r="F34" s="28"/>
      <c r="G34" s="28"/>
    </row>
    <row r="35" spans="2:18" x14ac:dyDescent="0.45">
      <c r="B35" s="25" t="s">
        <v>250</v>
      </c>
      <c r="C35" s="58" t="str">
        <f>IF(INDEX(DetCrit,4)=1,"да","")</f>
        <v>да</v>
      </c>
      <c r="D35" s="59" cm="1">
        <f t="array" aca="1" ref="D35" ca="1">_xll.VoseSimMean(Crit_D)</f>
        <v>0.37219999999999998</v>
      </c>
      <c r="E35" s="28"/>
      <c r="F35" s="28"/>
      <c r="G35" s="28"/>
    </row>
    <row r="36" spans="2:18" x14ac:dyDescent="0.45">
      <c r="B36" s="25" t="s">
        <v>251</v>
      </c>
      <c r="C36" s="58" t="str">
        <f>IF(INDEX(DetCrit,5)=1,"да","")</f>
        <v>да</v>
      </c>
      <c r="D36" s="59" cm="1">
        <f t="array" aca="1" ref="D36" ca="1">_xll.VoseSimMean(Crit_E)</f>
        <v>0.4345</v>
      </c>
      <c r="E36" s="28"/>
      <c r="F36" s="28"/>
      <c r="G36" s="28"/>
    </row>
    <row r="37" spans="2:18" x14ac:dyDescent="0.45">
      <c r="B37" s="25" t="s">
        <v>252</v>
      </c>
      <c r="C37" s="58" t="str">
        <f>IF(INDEX(DetCrit,6)=1,"да","")</f>
        <v/>
      </c>
      <c r="D37" s="59" cm="1">
        <f t="array" aca="1" ref="D37" ca="1">_xll.VoseSimMean(Crit_F)</f>
        <v>0.18720000000000001</v>
      </c>
      <c r="E37" s="28"/>
      <c r="F37" s="28"/>
      <c r="G37" s="28"/>
    </row>
    <row r="38" spans="2:18" x14ac:dyDescent="0.45">
      <c r="B38" s="25" t="s">
        <v>253</v>
      </c>
      <c r="C38" s="58" t="str">
        <f>IF(INDEX(DetCrit,7)=1,"да","")</f>
        <v/>
      </c>
      <c r="D38" s="59" cm="1">
        <f t="array" aca="1" ref="D38" ca="1">_xll.VoseSimMean(Crit_G)</f>
        <v>6.1000000000000004E-3</v>
      </c>
      <c r="E38" s="28"/>
      <c r="F38" s="28"/>
      <c r="G38" s="28"/>
    </row>
    <row r="39" spans="2:18" x14ac:dyDescent="0.45">
      <c r="B39" s="25" t="s">
        <v>254</v>
      </c>
      <c r="C39" s="58" t="str">
        <f>IF(INDEX(DetCrit,8)=1,"да","")</f>
        <v>да</v>
      </c>
      <c r="D39" s="59" cm="1">
        <f t="array" aca="1" ref="D39" ca="1">_xll.VoseSimMean(Crit_H)</f>
        <v>0.37219999999999998</v>
      </c>
      <c r="E39" s="28"/>
      <c r="F39" s="28"/>
      <c r="G39" s="28"/>
    </row>
    <row r="40" spans="2:18" x14ac:dyDescent="0.45">
      <c r="B40" s="25" t="s">
        <v>255</v>
      </c>
      <c r="C40" s="58" t="str">
        <f>IF(INDEX(DetCrit,9)=1,"да","")</f>
        <v>да</v>
      </c>
      <c r="D40" s="59" cm="1">
        <f t="array" aca="1" ref="D40" ca="1">_xll.VoseSimMean(Crit_I)</f>
        <v>0.4345</v>
      </c>
      <c r="E40" s="28"/>
      <c r="F40" s="28"/>
      <c r="G40" s="28"/>
    </row>
    <row r="41" spans="2:18" x14ac:dyDescent="0.45">
      <c r="B41" s="25" t="s">
        <v>256</v>
      </c>
      <c r="C41" s="58" t="str">
        <f>IF(INDEX(DetCrit,10)=1,"да","")</f>
        <v>да</v>
      </c>
      <c r="D41" s="59" cm="1">
        <f t="array" aca="1" ref="D41" ca="1">_xll.VoseSimMean(Crit_J)</f>
        <v>1</v>
      </c>
      <c r="E41" s="28"/>
      <c r="F41" s="28"/>
      <c r="G41" s="28"/>
    </row>
    <row r="42" spans="2:18" x14ac:dyDescent="0.45">
      <c r="B42" s="25" t="s">
        <v>257</v>
      </c>
      <c r="C42" s="58" t="str">
        <f>IF(INDEX(DetCrit,11)=1,"да","")</f>
        <v>да</v>
      </c>
      <c r="D42" s="59" cm="1">
        <f t="array" aca="1" ref="D42" ca="1">_xll.VoseSimMean(Crit_K)</f>
        <v>1</v>
      </c>
      <c r="E42" s="28"/>
      <c r="F42" s="28"/>
      <c r="G42" s="28"/>
    </row>
    <row r="43" spans="2:18" x14ac:dyDescent="0.45">
      <c r="B43" s="25" t="s">
        <v>258</v>
      </c>
      <c r="C43" s="58" t="str">
        <f>IF(INDEX(DetCrit,12)=1,"да","")</f>
        <v>да</v>
      </c>
      <c r="D43" s="59" cm="1">
        <f t="array" aca="1" ref="D43" ca="1">_xll.VoseSimMean(Crit_L)</f>
        <v>0.91620000000000001</v>
      </c>
      <c r="E43" s="28"/>
      <c r="F43" s="28"/>
      <c r="G43" s="28"/>
    </row>
    <row r="44" spans="2:18" x14ac:dyDescent="0.45">
      <c r="B44" s="25" t="s">
        <v>259</v>
      </c>
      <c r="C44" s="58" t="str">
        <f>IF(INDEX(DetCrit,13)=1,"да","")</f>
        <v/>
      </c>
      <c r="D44" s="59" cm="1">
        <f t="array" aca="1" ref="D44" ca="1">_xll.VoseSimMean(Crit_M)</f>
        <v>8.3799999999999999E-2</v>
      </c>
      <c r="E44" s="28"/>
      <c r="F44" s="28"/>
      <c r="G44" s="28"/>
    </row>
    <row r="45" spans="2:18" x14ac:dyDescent="0.45">
      <c r="B45" s="25" t="s">
        <v>260</v>
      </c>
      <c r="C45" s="58" t="str">
        <f>IF(INDEX(DetCrit,14)=1,"да","")</f>
        <v/>
      </c>
      <c r="D45" s="59" cm="1">
        <f t="array" aca="1" ref="D45" ca="1">_xll.VoseSimMean(Crit_N)</f>
        <v>0</v>
      </c>
      <c r="E45" s="28"/>
      <c r="F45" s="28"/>
      <c r="G45" s="28"/>
    </row>
    <row r="46" spans="2:18" x14ac:dyDescent="0.45">
      <c r="B46" s="25" t="s">
        <v>261</v>
      </c>
      <c r="C46" s="58" t="str">
        <f>IF(INDEX(DetCrit,15)=1,"да","")</f>
        <v>да</v>
      </c>
      <c r="D46" s="59" cm="1">
        <f t="array" aca="1" ref="D46" ca="1">_xll.VoseSimMean(Crit_O)</f>
        <v>1</v>
      </c>
      <c r="E46" s="28"/>
      <c r="F46" s="28"/>
      <c r="G46" s="28"/>
    </row>
    <row r="47" spans="2:18" ht="8" customHeight="1" x14ac:dyDescent="0.45"/>
    <row r="48" spans="2:18" ht="22.05" customHeight="1" x14ac:dyDescent="0.5">
      <c r="B48" s="7" t="s">
        <v>262</v>
      </c>
      <c r="C48" s="8"/>
      <c r="D48" s="8"/>
      <c r="E48" s="8"/>
      <c r="F48" s="8"/>
      <c r="G48" s="8"/>
      <c r="I48" s="51" t="s">
        <v>263</v>
      </c>
      <c r="J48" s="8"/>
      <c r="K48" s="8"/>
      <c r="L48" s="8"/>
      <c r="M48" s="8"/>
      <c r="N48" s="8"/>
      <c r="O48" s="8"/>
      <c r="P48" s="8"/>
      <c r="Q48" s="8"/>
      <c r="R48" s="8"/>
    </row>
    <row r="49" spans="2:7" ht="18" customHeight="1" x14ac:dyDescent="0.45">
      <c r="B49" s="13" t="s">
        <v>264</v>
      </c>
    </row>
    <row r="50" spans="2:7" ht="18" customHeight="1" x14ac:dyDescent="0.45">
      <c r="B50" s="23" t="s">
        <v>265</v>
      </c>
      <c r="C50" s="24" t="s">
        <v>266</v>
      </c>
      <c r="D50" s="24" t="s">
        <v>267</v>
      </c>
      <c r="E50" s="60" t="s">
        <v>268</v>
      </c>
      <c r="F50" s="5"/>
      <c r="G50" s="5"/>
    </row>
    <row r="51" spans="2:7" x14ac:dyDescent="0.45">
      <c r="B51" s="25" t="str">
        <f t="array" aca="1" ref="B51:E66" ca="1">_xll.VoseSimSensitivityMean(Finish,10,1,FALSE)</f>
        <v>A  Проектирование и согласования</v>
      </c>
      <c r="C51" s="54">
        <f ca="1"/>
        <v>41.526186747141715</v>
      </c>
      <c r="D51" s="54">
        <f ca="1"/>
        <v>46.377527886672596</v>
      </c>
      <c r="E51" s="61">
        <f ca="1"/>
        <v>1</v>
      </c>
      <c r="F51" s="28"/>
      <c r="G51" s="28"/>
    </row>
    <row r="52" spans="2:7" x14ac:dyDescent="0.45">
      <c r="B52" s="25" t="str">
        <f ca="1"/>
        <v>K  Плита проезжей части</v>
      </c>
      <c r="C52" s="54">
        <f ca="1"/>
        <v>42.564876058100971</v>
      </c>
      <c r="D52" s="54">
        <f ca="1"/>
        <v>45.000115155611823</v>
      </c>
      <c r="E52" s="61">
        <f ca="1"/>
        <v>2</v>
      </c>
      <c r="F52" s="28"/>
      <c r="G52" s="28"/>
    </row>
    <row r="53" spans="2:7" x14ac:dyDescent="0.45">
      <c r="B53" s="25" t="str">
        <f ca="1"/>
        <v>C  Демонтаж старого моста</v>
      </c>
      <c r="C53" s="54">
        <f ca="1"/>
        <v>42.647832678805266</v>
      </c>
      <c r="D53" s="54">
        <f ca="1"/>
        <v>44.913056106040827</v>
      </c>
      <c r="E53" s="61">
        <f ca="1"/>
        <v>3</v>
      </c>
      <c r="F53" s="28"/>
      <c r="G53" s="28"/>
    </row>
    <row r="54" spans="2:7" x14ac:dyDescent="0.45">
      <c r="B54" s="25" t="str">
        <f ca="1"/>
        <v>E  Сваи южного устоя</v>
      </c>
      <c r="C54" s="54">
        <f ca="1"/>
        <v>43.028352387589663</v>
      </c>
      <c r="D54" s="54">
        <f ca="1"/>
        <v>45.250053822239209</v>
      </c>
      <c r="E54" s="61">
        <f ca="1"/>
        <v>4</v>
      </c>
      <c r="F54" s="28"/>
      <c r="G54" s="28"/>
    </row>
    <row r="55" spans="2:7" x14ac:dyDescent="0.45">
      <c r="B55" s="25" t="str">
        <f ca="1"/>
        <v>F  Опора в русле</v>
      </c>
      <c r="C55" s="54">
        <f ca="1"/>
        <v>43.273990654784491</v>
      </c>
      <c r="D55" s="54">
        <f ca="1"/>
        <v>45.471558622760575</v>
      </c>
      <c r="E55" s="61">
        <f ca="1"/>
        <v>5</v>
      </c>
      <c r="F55" s="28"/>
      <c r="G55" s="28"/>
    </row>
    <row r="56" spans="2:7" x14ac:dyDescent="0.45">
      <c r="B56" s="25" t="str">
        <f ca="1"/>
        <v>J  Доставка и монтаж балок</v>
      </c>
      <c r="C56" s="54">
        <f ca="1"/>
        <v>42.754851441997253</v>
      </c>
      <c r="D56" s="54">
        <f ca="1"/>
        <v>44.808592582904026</v>
      </c>
      <c r="E56" s="61">
        <f ca="1"/>
        <v>6</v>
      </c>
      <c r="F56" s="28"/>
      <c r="G56" s="28"/>
    </row>
    <row r="57" spans="2:7" x14ac:dyDescent="0.45">
      <c r="B57" s="25" t="str">
        <f ca="1"/>
        <v>B  Мобилизация и организация движения</v>
      </c>
      <c r="C57" s="54">
        <f ca="1"/>
        <v>42.790504032970624</v>
      </c>
      <c r="D57" s="54">
        <f ca="1"/>
        <v>44.636878940570746</v>
      </c>
      <c r="E57" s="61">
        <f ca="1"/>
        <v>7</v>
      </c>
      <c r="F57" s="28"/>
      <c r="G57" s="28"/>
    </row>
    <row r="58" spans="2:7" x14ac:dyDescent="0.45">
      <c r="B58" s="25" t="str">
        <f ca="1"/>
        <v>L  Гидроизоляция и покрытие</v>
      </c>
      <c r="C58" s="54">
        <f ca="1"/>
        <v>42.871179105322199</v>
      </c>
      <c r="D58" s="54">
        <f ca="1"/>
        <v>44.678956201459002</v>
      </c>
      <c r="E58" s="61">
        <f ca="1"/>
        <v>8</v>
      </c>
      <c r="F58" s="28"/>
      <c r="G58" s="28"/>
    </row>
    <row r="59" spans="2:7" x14ac:dyDescent="0.45">
      <c r="B59" s="25" t="str">
        <f ca="1"/>
        <v>D  Сваи северного устоя</v>
      </c>
      <c r="C59" s="54">
        <f ca="1"/>
        <v>43.179345907851406</v>
      </c>
      <c r="D59" s="54">
        <f ca="1"/>
        <v>44.698269436685358</v>
      </c>
      <c r="E59" s="61">
        <f ca="1"/>
        <v>9</v>
      </c>
      <c r="F59" s="28"/>
      <c r="G59" s="28"/>
    </row>
    <row r="60" spans="2:7" x14ac:dyDescent="0.45">
      <c r="B60" s="25" t="str">
        <f ca="1"/>
        <v>Задержка из-за паводка</v>
      </c>
      <c r="C60" s="54">
        <f ca="1"/>
        <v>43.407763748460816</v>
      </c>
      <c r="D60" s="54">
        <f ca="1"/>
        <v>44.833933015930427</v>
      </c>
      <c r="E60" s="61">
        <f ca="1"/>
        <v>10</v>
      </c>
      <c r="F60" s="28"/>
      <c r="G60" s="28"/>
    </row>
    <row r="61" spans="2:7" x14ac:dyDescent="0.45">
      <c r="B61" s="25" t="str">
        <f ca="1"/>
        <v>H  Стены северного устоя</v>
      </c>
      <c r="C61" s="54">
        <f ca="1"/>
        <v>43.31197546494127</v>
      </c>
      <c r="D61" s="54">
        <f ca="1"/>
        <v>44.089097026976262</v>
      </c>
      <c r="E61" s="61">
        <f ca="1"/>
        <v>11</v>
      </c>
      <c r="F61" s="28"/>
      <c r="G61" s="28"/>
    </row>
    <row r="62" spans="2:7" x14ac:dyDescent="0.45">
      <c r="B62" s="25" t="str">
        <f ca="1"/>
        <v>I  Стены южного устоя</v>
      </c>
      <c r="C62" s="54">
        <f ca="1"/>
        <v>43.313567344581287</v>
      </c>
      <c r="D62" s="54">
        <f ca="1"/>
        <v>44.080564624017917</v>
      </c>
      <c r="E62" s="61">
        <f ca="1"/>
        <v>12</v>
      </c>
      <c r="F62" s="28"/>
      <c r="G62" s="28"/>
    </row>
    <row r="63" spans="2:7" x14ac:dyDescent="0.45">
      <c r="B63" s="25" t="str">
        <f ca="1"/>
        <v>O  Испытания и открытие</v>
      </c>
      <c r="C63" s="54">
        <f ca="1"/>
        <v>43.428056530305057</v>
      </c>
      <c r="D63" s="54">
        <f ca="1"/>
        <v>43.904322842285524</v>
      </c>
      <c r="E63" s="61">
        <f ca="1"/>
        <v>13</v>
      </c>
      <c r="F63" s="28"/>
      <c r="G63" s="28"/>
    </row>
    <row r="64" spans="2:7" x14ac:dyDescent="0.45">
      <c r="B64" s="25" t="str">
        <f ca="1"/>
        <v>G  Изготовление стальных балок (на заводе)</v>
      </c>
      <c r="C64" s="54">
        <f ca="1"/>
        <v>43.500854582241907</v>
      </c>
      <c r="D64" s="54">
        <f ca="1"/>
        <v>43.856597085322122</v>
      </c>
      <c r="E64" s="61">
        <f ca="1"/>
        <v>14</v>
      </c>
      <c r="F64" s="28"/>
      <c r="G64" s="28"/>
    </row>
    <row r="65" spans="2:7" x14ac:dyDescent="0.45">
      <c r="B65" s="25" t="str">
        <f ca="1"/>
        <v>N  Примыкания подходов</v>
      </c>
      <c r="C65" s="54">
        <f ca="1"/>
        <v>43.486754028678739</v>
      </c>
      <c r="D65" s="54">
        <f ca="1"/>
        <v>43.79187922848449</v>
      </c>
      <c r="E65" s="61">
        <f ca="1"/>
        <v>15</v>
      </c>
      <c r="F65" s="28"/>
      <c r="G65" s="28"/>
    </row>
    <row r="66" spans="2:7" x14ac:dyDescent="0.45">
      <c r="B66" s="25" t="str">
        <f ca="1"/>
        <v>M  Ограждения и отделка</v>
      </c>
      <c r="C66" s="54">
        <f ca="1"/>
        <v>43.456172951693503</v>
      </c>
      <c r="D66" s="54">
        <f ca="1"/>
        <v>43.760354819802508</v>
      </c>
      <c r="E66" s="61">
        <f ca="1"/>
        <v>16</v>
      </c>
      <c r="F66" s="28"/>
      <c r="G66" s="28"/>
    </row>
    <row r="69" spans="2:7" ht="22.05" customHeight="1" x14ac:dyDescent="0.5">
      <c r="B69" s="7" t="s">
        <v>269</v>
      </c>
      <c r="C69" s="8"/>
      <c r="D69" s="8"/>
      <c r="E69" s="8"/>
      <c r="F69" s="8"/>
      <c r="G69" s="8"/>
    </row>
    <row r="70" spans="2:7" ht="32" customHeight="1" x14ac:dyDescent="0.45">
      <c r="B70" s="68" t="s">
        <v>270</v>
      </c>
      <c r="C70" s="69"/>
      <c r="D70" s="69"/>
      <c r="E70" s="69"/>
      <c r="F70" s="69"/>
      <c r="G70" s="69"/>
    </row>
    <row r="71" spans="2:7" ht="32" customHeight="1" x14ac:dyDescent="0.45">
      <c r="B71" s="68" t="s">
        <v>271</v>
      </c>
      <c r="C71" s="69"/>
      <c r="D71" s="69"/>
      <c r="E71" s="69"/>
      <c r="F71" s="69"/>
      <c r="G71" s="69"/>
    </row>
    <row r="72" spans="2:7" ht="32" customHeight="1" x14ac:dyDescent="0.45">
      <c r="B72" s="68" t="s">
        <v>272</v>
      </c>
      <c r="C72" s="69"/>
      <c r="D72" s="69"/>
      <c r="E72" s="69"/>
      <c r="F72" s="69"/>
      <c r="G72" s="69"/>
    </row>
    <row r="73" spans="2:7" ht="32" customHeight="1" x14ac:dyDescent="0.45">
      <c r="B73" s="68" t="s">
        <v>273</v>
      </c>
      <c r="C73" s="69"/>
      <c r="D73" s="69"/>
      <c r="E73" s="69"/>
      <c r="F73" s="69"/>
      <c r="G73" s="69"/>
    </row>
    <row r="74" spans="2:7" ht="14" customHeight="1" x14ac:dyDescent="0.45"/>
    <row r="75" spans="2:7" ht="14" customHeight="1" x14ac:dyDescent="0.45"/>
    <row r="76" spans="2:7" ht="22.05" customHeight="1" x14ac:dyDescent="0.5">
      <c r="B76" s="7" t="s">
        <v>274</v>
      </c>
      <c r="C76" s="8"/>
      <c r="D76" s="8"/>
      <c r="E76" s="8"/>
      <c r="F76" s="8"/>
      <c r="G76" s="8"/>
    </row>
    <row r="77" spans="2:7" ht="18" customHeight="1" x14ac:dyDescent="0.45">
      <c r="B77" s="13" t="s">
        <v>275</v>
      </c>
    </row>
    <row r="78" spans="2:7" ht="28.05" hidden="1" customHeight="1" outlineLevel="1" x14ac:dyDescent="0.45">
      <c r="B78" s="24" t="s">
        <v>276</v>
      </c>
      <c r="C78" s="24" t="s">
        <v>277</v>
      </c>
      <c r="D78" s="24" t="s">
        <v>180</v>
      </c>
      <c r="E78" s="5"/>
      <c r="F78" s="5"/>
      <c r="G78" s="5"/>
    </row>
    <row r="79" spans="2:7" hidden="1" outlineLevel="1" x14ac:dyDescent="0.45">
      <c r="B79" s="62">
        <v>0.01</v>
      </c>
      <c r="C79" s="62">
        <f t="shared" ref="C79:C110" si="0">1-B79</f>
        <v>0.99</v>
      </c>
      <c r="D79" s="63" cm="1">
        <f t="array" aca="1" ref="D79" ca="1">IF(ISNUMBER(_xll.VoseSimPercentile(Finish,$B79)),_xll.VoseSimPercentile(Finish,$B79),NA())</f>
        <v>38.645177427762668</v>
      </c>
    </row>
    <row r="80" spans="2:7" hidden="1" outlineLevel="1" x14ac:dyDescent="0.45">
      <c r="B80" s="62">
        <v>0.03</v>
      </c>
      <c r="C80" s="62">
        <f t="shared" si="0"/>
        <v>0.97</v>
      </c>
      <c r="D80" s="63" cm="1">
        <f t="array" aca="1" ref="D80" ca="1">IF(ISNUMBER(_xll.VoseSimPercentile(Finish,$B80)),_xll.VoseSimPercentile(Finish,$B80),NA())</f>
        <v>39.498353092374174</v>
      </c>
    </row>
    <row r="81" spans="2:4" hidden="1" outlineLevel="1" x14ac:dyDescent="0.45">
      <c r="B81" s="62">
        <v>0.05</v>
      </c>
      <c r="C81" s="62">
        <f t="shared" si="0"/>
        <v>0.95</v>
      </c>
      <c r="D81" s="63" cm="1">
        <f t="array" aca="1" ref="D81" ca="1">IF(ISNUMBER(_xll.VoseSimPercentile(Finish,$B81)),_xll.VoseSimPercentile(Finish,$B81),NA())</f>
        <v>39.969215777900196</v>
      </c>
    </row>
    <row r="82" spans="2:4" hidden="1" outlineLevel="1" x14ac:dyDescent="0.45">
      <c r="B82" s="62">
        <v>7.0000000000000007E-2</v>
      </c>
      <c r="C82" s="62">
        <f t="shared" si="0"/>
        <v>0.92999999999999994</v>
      </c>
      <c r="D82" s="63" cm="1">
        <f t="array" aca="1" ref="D82" ca="1">IF(ISNUMBER(_xll.VoseSimPercentile(Finish,$B82)),_xll.VoseSimPercentile(Finish,$B82),NA())</f>
        <v>40.290247086893785</v>
      </c>
    </row>
    <row r="83" spans="2:4" hidden="1" outlineLevel="1" x14ac:dyDescent="0.45">
      <c r="B83" s="62">
        <v>0.09</v>
      </c>
      <c r="C83" s="62">
        <f t="shared" si="0"/>
        <v>0.91</v>
      </c>
      <c r="D83" s="63" cm="1">
        <f t="array" aca="1" ref="D83" ca="1">IF(ISNUMBER(_xll.VoseSimPercentile(Finish,$B83)),_xll.VoseSimPercentile(Finish,$B83),NA())</f>
        <v>40.549903596220638</v>
      </c>
    </row>
    <row r="84" spans="2:4" hidden="1" outlineLevel="1" x14ac:dyDescent="0.45">
      <c r="B84" s="62">
        <v>0.11</v>
      </c>
      <c r="C84" s="62">
        <f t="shared" si="0"/>
        <v>0.89</v>
      </c>
      <c r="D84" s="63" cm="1">
        <f t="array" aca="1" ref="D84" ca="1">IF(ISNUMBER(_xll.VoseSimPercentile(Finish,$B84)),_xll.VoseSimPercentile(Finish,$B84),NA())</f>
        <v>40.841547844613551</v>
      </c>
    </row>
    <row r="85" spans="2:4" hidden="1" outlineLevel="1" x14ac:dyDescent="0.45">
      <c r="B85" s="62">
        <v>0.13</v>
      </c>
      <c r="C85" s="62">
        <f t="shared" si="0"/>
        <v>0.87</v>
      </c>
      <c r="D85" s="63" cm="1">
        <f t="array" aca="1" ref="D85" ca="1">IF(ISNUMBER(_xll.VoseSimPercentile(Finish,$B85)),_xll.VoseSimPercentile(Finish,$B85),NA())</f>
        <v>41.044440067427914</v>
      </c>
    </row>
    <row r="86" spans="2:4" hidden="1" outlineLevel="1" x14ac:dyDescent="0.45">
      <c r="B86" s="62">
        <v>0.15</v>
      </c>
      <c r="C86" s="62">
        <f t="shared" si="0"/>
        <v>0.85</v>
      </c>
      <c r="D86" s="63" cm="1">
        <f t="array" aca="1" ref="D86" ca="1">IF(ISNUMBER(_xll.VoseSimPercentile(Finish,$B86)),_xll.VoseSimPercentile(Finish,$B86),NA())</f>
        <v>41.215215140204677</v>
      </c>
    </row>
    <row r="87" spans="2:4" hidden="1" outlineLevel="1" x14ac:dyDescent="0.45">
      <c r="B87" s="62">
        <v>0.17</v>
      </c>
      <c r="C87" s="62">
        <f t="shared" si="0"/>
        <v>0.83</v>
      </c>
      <c r="D87" s="63" cm="1">
        <f t="array" aca="1" ref="D87" ca="1">IF(ISNUMBER(_xll.VoseSimPercentile(Finish,$B87)),_xll.VoseSimPercentile(Finish,$B87),NA())</f>
        <v>41.414731584433341</v>
      </c>
    </row>
    <row r="88" spans="2:4" hidden="1" outlineLevel="1" x14ac:dyDescent="0.45">
      <c r="B88" s="62">
        <v>0.19</v>
      </c>
      <c r="C88" s="62">
        <f t="shared" si="0"/>
        <v>0.81</v>
      </c>
      <c r="D88" s="63" cm="1">
        <f t="array" aca="1" ref="D88" ca="1">IF(ISNUMBER(_xll.VoseSimPercentile(Finish,$B88)),_xll.VoseSimPercentile(Finish,$B88),NA())</f>
        <v>41.568598132595469</v>
      </c>
    </row>
    <row r="89" spans="2:4" hidden="1" outlineLevel="1" x14ac:dyDescent="0.45">
      <c r="B89" s="62">
        <v>0.21</v>
      </c>
      <c r="C89" s="62">
        <f t="shared" si="0"/>
        <v>0.79</v>
      </c>
      <c r="D89" s="63" cm="1">
        <f t="array" aca="1" ref="D89" ca="1">IF(ISNUMBER(_xll.VoseSimPercentile(Finish,$B89)),_xll.VoseSimPercentile(Finish,$B89),NA())</f>
        <v>41.723508175838752</v>
      </c>
    </row>
    <row r="90" spans="2:4" hidden="1" outlineLevel="1" x14ac:dyDescent="0.45">
      <c r="B90" s="62">
        <v>0.23</v>
      </c>
      <c r="C90" s="62">
        <f t="shared" si="0"/>
        <v>0.77</v>
      </c>
      <c r="D90" s="63" cm="1">
        <f t="array" aca="1" ref="D90" ca="1">IF(ISNUMBER(_xll.VoseSimPercentile(Finish,$B90)),_xll.VoseSimPercentile(Finish,$B90),NA())</f>
        <v>41.877764219736704</v>
      </c>
    </row>
    <row r="91" spans="2:4" hidden="1" outlineLevel="1" x14ac:dyDescent="0.45">
      <c r="B91" s="62">
        <v>0.25</v>
      </c>
      <c r="C91" s="62">
        <f t="shared" si="0"/>
        <v>0.75</v>
      </c>
      <c r="D91" s="63" cm="1">
        <f t="array" aca="1" ref="D91" ca="1">IF(ISNUMBER(_xll.VoseSimPercentile(Finish,$B91)),_xll.VoseSimPercentile(Finish,$B91),NA())</f>
        <v>42.015750323029678</v>
      </c>
    </row>
    <row r="92" spans="2:4" hidden="1" outlineLevel="1" x14ac:dyDescent="0.45">
      <c r="B92" s="62">
        <v>0.27</v>
      </c>
      <c r="C92" s="62">
        <f t="shared" si="0"/>
        <v>0.73</v>
      </c>
      <c r="D92" s="63" cm="1">
        <f t="array" aca="1" ref="D92" ca="1">IF(ISNUMBER(_xll.VoseSimPercentile(Finish,$B92)),_xll.VoseSimPercentile(Finish,$B92),NA())</f>
        <v>42.170203727647532</v>
      </c>
    </row>
    <row r="93" spans="2:4" hidden="1" outlineLevel="1" x14ac:dyDescent="0.45">
      <c r="B93" s="62">
        <v>0.28999999999999998</v>
      </c>
      <c r="C93" s="62">
        <f t="shared" si="0"/>
        <v>0.71</v>
      </c>
      <c r="D93" s="63" cm="1">
        <f t="array" aca="1" ref="D93" ca="1">IF(ISNUMBER(_xll.VoseSimPercentile(Finish,$B93)),_xll.VoseSimPercentile(Finish,$B93),NA())</f>
        <v>42.291399384893353</v>
      </c>
    </row>
    <row r="94" spans="2:4" hidden="1" outlineLevel="1" x14ac:dyDescent="0.45">
      <c r="B94" s="62">
        <v>0.31</v>
      </c>
      <c r="C94" s="62">
        <f t="shared" si="0"/>
        <v>0.69</v>
      </c>
      <c r="D94" s="63" cm="1">
        <f t="array" aca="1" ref="D94" ca="1">IF(ISNUMBER(_xll.VoseSimPercentile(Finish,$B94)),_xll.VoseSimPercentile(Finish,$B94),NA())</f>
        <v>42.396102350162984</v>
      </c>
    </row>
    <row r="95" spans="2:4" hidden="1" outlineLevel="1" x14ac:dyDescent="0.45">
      <c r="B95" s="62">
        <v>0.33</v>
      </c>
      <c r="C95" s="62">
        <f t="shared" si="0"/>
        <v>0.66999999999999993</v>
      </c>
      <c r="D95" s="63" cm="1">
        <f t="array" aca="1" ref="D95" ca="1">IF(ISNUMBER(_xll.VoseSimPercentile(Finish,$B95)),_xll.VoseSimPercentile(Finish,$B95),NA())</f>
        <v>42.517772226265109</v>
      </c>
    </row>
    <row r="96" spans="2:4" hidden="1" outlineLevel="1" x14ac:dyDescent="0.45">
      <c r="B96" s="62">
        <v>0.35</v>
      </c>
      <c r="C96" s="62">
        <f t="shared" si="0"/>
        <v>0.65</v>
      </c>
      <c r="D96" s="63" cm="1">
        <f t="array" aca="1" ref="D96" ca="1">IF(ISNUMBER(_xll.VoseSimPercentile(Finish,$B96)),_xll.VoseSimPercentile(Finish,$B96),NA())</f>
        <v>42.629527389475314</v>
      </c>
    </row>
    <row r="97" spans="2:4" hidden="1" outlineLevel="1" x14ac:dyDescent="0.45">
      <c r="B97" s="62">
        <v>0.37</v>
      </c>
      <c r="C97" s="62">
        <f t="shared" si="0"/>
        <v>0.63</v>
      </c>
      <c r="D97" s="63" cm="1">
        <f t="array" aca="1" ref="D97" ca="1">IF(ISNUMBER(_xll.VoseSimPercentile(Finish,$B97)),_xll.VoseSimPercentile(Finish,$B97),NA())</f>
        <v>42.767018525866</v>
      </c>
    </row>
    <row r="98" spans="2:4" hidden="1" outlineLevel="1" x14ac:dyDescent="0.45">
      <c r="B98" s="62">
        <v>0.39</v>
      </c>
      <c r="C98" s="62">
        <f t="shared" si="0"/>
        <v>0.61</v>
      </c>
      <c r="D98" s="63" cm="1">
        <f t="array" aca="1" ref="D98" ca="1">IF(ISNUMBER(_xll.VoseSimPercentile(Finish,$B98)),_xll.VoseSimPercentile(Finish,$B98),NA())</f>
        <v>42.888719157318093</v>
      </c>
    </row>
    <row r="99" spans="2:4" hidden="1" outlineLevel="1" x14ac:dyDescent="0.45">
      <c r="B99" s="62">
        <v>0.41</v>
      </c>
      <c r="C99" s="62">
        <f t="shared" si="0"/>
        <v>0.59000000000000008</v>
      </c>
      <c r="D99" s="63" cm="1">
        <f t="array" aca="1" ref="D99" ca="1">IF(ISNUMBER(_xll.VoseSimPercentile(Finish,$B99)),_xll.VoseSimPercentile(Finish,$B99),NA())</f>
        <v>43.013778324887177</v>
      </c>
    </row>
    <row r="100" spans="2:4" hidden="1" outlineLevel="1" x14ac:dyDescent="0.45">
      <c r="B100" s="62">
        <v>0.43</v>
      </c>
      <c r="C100" s="62">
        <f t="shared" si="0"/>
        <v>0.57000000000000006</v>
      </c>
      <c r="D100" s="63" cm="1">
        <f t="array" aca="1" ref="D100" ca="1">IF(ISNUMBER(_xll.VoseSimPercentile(Finish,$B100)),_xll.VoseSimPercentile(Finish,$B100),NA())</f>
        <v>43.123107150725197</v>
      </c>
    </row>
    <row r="101" spans="2:4" hidden="1" outlineLevel="1" x14ac:dyDescent="0.45">
      <c r="B101" s="62">
        <v>0.45</v>
      </c>
      <c r="C101" s="62">
        <f t="shared" si="0"/>
        <v>0.55000000000000004</v>
      </c>
      <c r="D101" s="63" cm="1">
        <f t="array" aca="1" ref="D101" ca="1">IF(ISNUMBER(_xll.VoseSimPercentile(Finish,$B101)),_xll.VoseSimPercentile(Finish,$B101),NA())</f>
        <v>43.231946424396902</v>
      </c>
    </row>
    <row r="102" spans="2:4" hidden="1" outlineLevel="1" x14ac:dyDescent="0.45">
      <c r="B102" s="62">
        <v>0.47</v>
      </c>
      <c r="C102" s="62">
        <f t="shared" si="0"/>
        <v>0.53</v>
      </c>
      <c r="D102" s="63" cm="1">
        <f t="array" aca="1" ref="D102" ca="1">IF(ISNUMBER(_xll.VoseSimPercentile(Finish,$B102)),_xll.VoseSimPercentile(Finish,$B102),NA())</f>
        <v>43.343927952940994</v>
      </c>
    </row>
    <row r="103" spans="2:4" hidden="1" outlineLevel="1" x14ac:dyDescent="0.45">
      <c r="B103" s="62">
        <v>0.49</v>
      </c>
      <c r="C103" s="62">
        <f t="shared" si="0"/>
        <v>0.51</v>
      </c>
      <c r="D103" s="63" cm="1">
        <f t="array" aca="1" ref="D103" ca="1">IF(ISNUMBER(_xll.VoseSimPercentile(Finish,$B103)),_xll.VoseSimPercentile(Finish,$B103),NA())</f>
        <v>43.477957064849981</v>
      </c>
    </row>
    <row r="104" spans="2:4" hidden="1" outlineLevel="1" x14ac:dyDescent="0.45">
      <c r="B104" s="62">
        <v>0.51</v>
      </c>
      <c r="C104" s="62">
        <f t="shared" si="0"/>
        <v>0.49</v>
      </c>
      <c r="D104" s="63" cm="1">
        <f t="array" aca="1" ref="D104" ca="1">IF(ISNUMBER(_xll.VoseSimPercentile(Finish,$B104)),_xll.VoseSimPercentile(Finish,$B104),NA())</f>
        <v>43.58717236481705</v>
      </c>
    </row>
    <row r="105" spans="2:4" hidden="1" outlineLevel="1" x14ac:dyDescent="0.45">
      <c r="B105" s="62">
        <v>0.53</v>
      </c>
      <c r="C105" s="62">
        <f t="shared" si="0"/>
        <v>0.47</v>
      </c>
      <c r="D105" s="63" cm="1">
        <f t="array" aca="1" ref="D105" ca="1">IF(ISNUMBER(_xll.VoseSimPercentile(Finish,$B105)),_xll.VoseSimPercentile(Finish,$B105),NA())</f>
        <v>43.710448537720318</v>
      </c>
    </row>
    <row r="106" spans="2:4" hidden="1" outlineLevel="1" x14ac:dyDescent="0.45">
      <c r="B106" s="62">
        <v>0.55000000000000004</v>
      </c>
      <c r="C106" s="62">
        <f t="shared" si="0"/>
        <v>0.44999999999999996</v>
      </c>
      <c r="D106" s="63" cm="1">
        <f t="array" aca="1" ref="D106" ca="1">IF(ISNUMBER(_xll.VoseSimPercentile(Finish,$B106)),_xll.VoseSimPercentile(Finish,$B106),NA())</f>
        <v>43.817662750068493</v>
      </c>
    </row>
    <row r="107" spans="2:4" hidden="1" outlineLevel="1" x14ac:dyDescent="0.45">
      <c r="B107" s="62">
        <v>0.56999999999999995</v>
      </c>
      <c r="C107" s="62">
        <f t="shared" si="0"/>
        <v>0.43000000000000005</v>
      </c>
      <c r="D107" s="63" cm="1">
        <f t="array" aca="1" ref="D107" ca="1">IF(ISNUMBER(_xll.VoseSimPercentile(Finish,$B107)),_xll.VoseSimPercentile(Finish,$B107),NA())</f>
        <v>43.938285583820957</v>
      </c>
    </row>
    <row r="108" spans="2:4" hidden="1" outlineLevel="1" x14ac:dyDescent="0.45">
      <c r="B108" s="62">
        <v>0.59</v>
      </c>
      <c r="C108" s="62">
        <f t="shared" si="0"/>
        <v>0.41000000000000003</v>
      </c>
      <c r="D108" s="63" cm="1">
        <f t="array" aca="1" ref="D108" ca="1">IF(ISNUMBER(_xll.VoseSimPercentile(Finish,$B108)),_xll.VoseSimPercentile(Finish,$B108),NA())</f>
        <v>44.072126093791155</v>
      </c>
    </row>
    <row r="109" spans="2:4" hidden="1" outlineLevel="1" x14ac:dyDescent="0.45">
      <c r="B109" s="62">
        <v>0.61</v>
      </c>
      <c r="C109" s="62">
        <f t="shared" si="0"/>
        <v>0.39</v>
      </c>
      <c r="D109" s="63" cm="1">
        <f t="array" aca="1" ref="D109" ca="1">IF(ISNUMBER(_xll.VoseSimPercentile(Finish,$B109)),_xll.VoseSimPercentile(Finish,$B109),NA())</f>
        <v>44.208180445819487</v>
      </c>
    </row>
    <row r="110" spans="2:4" hidden="1" outlineLevel="1" x14ac:dyDescent="0.45">
      <c r="B110" s="62">
        <v>0.63</v>
      </c>
      <c r="C110" s="62">
        <f t="shared" si="0"/>
        <v>0.37</v>
      </c>
      <c r="D110" s="63" cm="1">
        <f t="array" aca="1" ref="D110" ca="1">IF(ISNUMBER(_xll.VoseSimPercentile(Finish,$B110)),_xll.VoseSimPercentile(Finish,$B110),NA())</f>
        <v>44.351866284941799</v>
      </c>
    </row>
    <row r="111" spans="2:4" hidden="1" outlineLevel="1" x14ac:dyDescent="0.45">
      <c r="B111" s="62">
        <v>0.65</v>
      </c>
      <c r="C111" s="62">
        <f t="shared" ref="C111:C142" si="1">1-B111</f>
        <v>0.35</v>
      </c>
      <c r="D111" s="63" cm="1">
        <f t="array" aca="1" ref="D111" ca="1">IF(ISNUMBER(_xll.VoseSimPercentile(Finish,$B111)),_xll.VoseSimPercentile(Finish,$B111),NA())</f>
        <v>44.472057476690644</v>
      </c>
    </row>
    <row r="112" spans="2:4" hidden="1" outlineLevel="1" x14ac:dyDescent="0.45">
      <c r="B112" s="62">
        <v>0.67</v>
      </c>
      <c r="C112" s="62">
        <f t="shared" si="1"/>
        <v>0.32999999999999996</v>
      </c>
      <c r="D112" s="63" cm="1">
        <f t="array" aca="1" ref="D112" ca="1">IF(ISNUMBER(_xll.VoseSimPercentile(Finish,$B112)),_xll.VoseSimPercentile(Finish,$B112),NA())</f>
        <v>44.600218375696102</v>
      </c>
    </row>
    <row r="113" spans="2:4" hidden="1" outlineLevel="1" x14ac:dyDescent="0.45">
      <c r="B113" s="62">
        <v>0.69</v>
      </c>
      <c r="C113" s="62">
        <f t="shared" si="1"/>
        <v>0.31000000000000005</v>
      </c>
      <c r="D113" s="63" cm="1">
        <f t="array" aca="1" ref="D113" ca="1">IF(ISNUMBER(_xll.VoseSimPercentile(Finish,$B113)),_xll.VoseSimPercentile(Finish,$B113),NA())</f>
        <v>44.732700641412798</v>
      </c>
    </row>
    <row r="114" spans="2:4" hidden="1" outlineLevel="1" x14ac:dyDescent="0.45">
      <c r="B114" s="62">
        <v>0.71</v>
      </c>
      <c r="C114" s="62">
        <f t="shared" si="1"/>
        <v>0.29000000000000004</v>
      </c>
      <c r="D114" s="63" cm="1">
        <f t="array" aca="1" ref="D114" ca="1">IF(ISNUMBER(_xll.VoseSimPercentile(Finish,$B114)),_xll.VoseSimPercentile(Finish,$B114),NA())</f>
        <v>44.886483762451292</v>
      </c>
    </row>
    <row r="115" spans="2:4" hidden="1" outlineLevel="1" x14ac:dyDescent="0.45">
      <c r="B115" s="62">
        <v>0.73</v>
      </c>
      <c r="C115" s="62">
        <f t="shared" si="1"/>
        <v>0.27</v>
      </c>
      <c r="D115" s="63" cm="1">
        <f t="array" aca="1" ref="D115" ca="1">IF(ISNUMBER(_xll.VoseSimPercentile(Finish,$B115)),_xll.VoseSimPercentile(Finish,$B115),NA())</f>
        <v>45.039325605813147</v>
      </c>
    </row>
    <row r="116" spans="2:4" hidden="1" outlineLevel="1" x14ac:dyDescent="0.45">
      <c r="B116" s="62">
        <v>0.75</v>
      </c>
      <c r="C116" s="62">
        <f t="shared" si="1"/>
        <v>0.25</v>
      </c>
      <c r="D116" s="63" cm="1">
        <f t="array" aca="1" ref="D116" ca="1">IF(ISNUMBER(_xll.VoseSimPercentile(Finish,$B116)),_xll.VoseSimPercentile(Finish,$B116),NA())</f>
        <v>45.193546439494369</v>
      </c>
    </row>
    <row r="117" spans="2:4" hidden="1" outlineLevel="1" x14ac:dyDescent="0.45">
      <c r="B117" s="62">
        <v>0.77</v>
      </c>
      <c r="C117" s="62">
        <f t="shared" si="1"/>
        <v>0.22999999999999998</v>
      </c>
      <c r="D117" s="63" cm="1">
        <f t="array" aca="1" ref="D117" ca="1">IF(ISNUMBER(_xll.VoseSimPercentile(Finish,$B117)),_xll.VoseSimPercentile(Finish,$B117),NA())</f>
        <v>45.351198921840052</v>
      </c>
    </row>
    <row r="118" spans="2:4" hidden="1" outlineLevel="1" x14ac:dyDescent="0.45">
      <c r="B118" s="62">
        <v>0.79</v>
      </c>
      <c r="C118" s="62">
        <f t="shared" si="1"/>
        <v>0.20999999999999996</v>
      </c>
      <c r="D118" s="63" cm="1">
        <f t="array" aca="1" ref="D118" ca="1">IF(ISNUMBER(_xll.VoseSimPercentile(Finish,$B118)),_xll.VoseSimPercentile(Finish,$B118),NA())</f>
        <v>45.499853186329112</v>
      </c>
    </row>
    <row r="119" spans="2:4" hidden="1" outlineLevel="1" x14ac:dyDescent="0.45">
      <c r="B119" s="62">
        <v>0.81</v>
      </c>
      <c r="C119" s="62">
        <f t="shared" si="1"/>
        <v>0.18999999999999995</v>
      </c>
      <c r="D119" s="63" cm="1">
        <f t="array" aca="1" ref="D119" ca="1">IF(ISNUMBER(_xll.VoseSimPercentile(Finish,$B119)),_xll.VoseSimPercentile(Finish,$B119),NA())</f>
        <v>45.675923125103822</v>
      </c>
    </row>
    <row r="120" spans="2:4" hidden="1" outlineLevel="1" x14ac:dyDescent="0.45">
      <c r="B120" s="62">
        <v>0.83</v>
      </c>
      <c r="C120" s="62">
        <f t="shared" si="1"/>
        <v>0.17000000000000004</v>
      </c>
      <c r="D120" s="63" cm="1">
        <f t="array" aca="1" ref="D120" ca="1">IF(ISNUMBER(_xll.VoseSimPercentile(Finish,$B120)),_xll.VoseSimPercentile(Finish,$B120),NA())</f>
        <v>45.876355561063875</v>
      </c>
    </row>
    <row r="121" spans="2:4" hidden="1" outlineLevel="1" x14ac:dyDescent="0.45">
      <c r="B121" s="62">
        <v>0.85</v>
      </c>
      <c r="C121" s="62">
        <f t="shared" si="1"/>
        <v>0.15000000000000002</v>
      </c>
      <c r="D121" s="63" cm="1">
        <f t="array" aca="1" ref="D121" ca="1">IF(ISNUMBER(_xll.VoseSimPercentile(Finish,$B121)),_xll.VoseSimPercentile(Finish,$B121),NA())</f>
        <v>46.066632066198515</v>
      </c>
    </row>
    <row r="122" spans="2:4" hidden="1" outlineLevel="1" x14ac:dyDescent="0.45">
      <c r="B122" s="62">
        <v>0.87</v>
      </c>
      <c r="C122" s="62">
        <f t="shared" si="1"/>
        <v>0.13</v>
      </c>
      <c r="D122" s="63" cm="1">
        <f t="array" aca="1" ref="D122" ca="1">IF(ISNUMBER(_xll.VoseSimPercentile(Finish,$B122)),_xll.VoseSimPercentile(Finish,$B122),NA())</f>
        <v>46.295749812580965</v>
      </c>
    </row>
    <row r="123" spans="2:4" hidden="1" outlineLevel="1" x14ac:dyDescent="0.45">
      <c r="B123" s="62">
        <v>0.89</v>
      </c>
      <c r="C123" s="62">
        <f t="shared" si="1"/>
        <v>0.10999999999999999</v>
      </c>
      <c r="D123" s="63" cm="1">
        <f t="array" aca="1" ref="D123" ca="1">IF(ISNUMBER(_xll.VoseSimPercentile(Finish,$B123)),_xll.VoseSimPercentile(Finish,$B123),NA())</f>
        <v>46.555128327729562</v>
      </c>
    </row>
    <row r="124" spans="2:4" hidden="1" outlineLevel="1" x14ac:dyDescent="0.45">
      <c r="B124" s="62">
        <v>0.91</v>
      </c>
      <c r="C124" s="62">
        <f t="shared" si="1"/>
        <v>8.9999999999999969E-2</v>
      </c>
      <c r="D124" s="63" cm="1">
        <f t="array" aca="1" ref="D124" ca="1">IF(ISNUMBER(_xll.VoseSimPercentile(Finish,$B124)),_xll.VoseSimPercentile(Finish,$B124),NA())</f>
        <v>46.877549174975606</v>
      </c>
    </row>
    <row r="125" spans="2:4" hidden="1" outlineLevel="1" x14ac:dyDescent="0.45">
      <c r="B125" s="62">
        <v>0.93</v>
      </c>
      <c r="C125" s="62">
        <f t="shared" si="1"/>
        <v>6.9999999999999951E-2</v>
      </c>
      <c r="D125" s="63" cm="1">
        <f t="array" aca="1" ref="D125" ca="1">IF(ISNUMBER(_xll.VoseSimPercentile(Finish,$B125)),_xll.VoseSimPercentile(Finish,$B125),NA())</f>
        <v>47.222848055756174</v>
      </c>
    </row>
    <row r="126" spans="2:4" hidden="1" outlineLevel="1" x14ac:dyDescent="0.45">
      <c r="B126" s="62">
        <v>0.95</v>
      </c>
      <c r="C126" s="62">
        <f t="shared" si="1"/>
        <v>5.0000000000000044E-2</v>
      </c>
      <c r="D126" s="63" cm="1">
        <f t="array" aca="1" ref="D126" ca="1">IF(ISNUMBER(_xll.VoseSimPercentile(Finish,$B126)),_xll.VoseSimPercentile(Finish,$B126),NA())</f>
        <v>47.629467122919785</v>
      </c>
    </row>
    <row r="127" spans="2:4" hidden="1" outlineLevel="1" x14ac:dyDescent="0.45">
      <c r="B127" s="62">
        <v>0.97</v>
      </c>
      <c r="C127" s="62">
        <f t="shared" si="1"/>
        <v>3.0000000000000027E-2</v>
      </c>
      <c r="D127" s="63" cm="1">
        <f t="array" aca="1" ref="D127" ca="1">IF(ISNUMBER(_xll.VoseSimPercentile(Finish,$B127)),_xll.VoseSimPercentile(Finish,$B127),NA())</f>
        <v>48.279918959451948</v>
      </c>
    </row>
    <row r="128" spans="2:4" hidden="1" outlineLevel="1" x14ac:dyDescent="0.45">
      <c r="B128" s="62">
        <v>0.99</v>
      </c>
      <c r="C128" s="62">
        <f t="shared" si="1"/>
        <v>1.0000000000000009E-2</v>
      </c>
      <c r="D128" s="63" cm="1">
        <f t="array" aca="1" ref="D128" ca="1">IF(ISNUMBER(_xll.VoseSimPercentile(Finish,$B128)),_xll.VoseSimPercentile(Finish,$B128),NA())</f>
        <v>49.342089018475932</v>
      </c>
    </row>
    <row r="129" spans="2:7" hidden="1" outlineLevel="1" x14ac:dyDescent="0.45"/>
    <row r="130" spans="2:7" hidden="1" outlineLevel="1" x14ac:dyDescent="0.45">
      <c r="B130" s="64" t="s">
        <v>278</v>
      </c>
      <c r="D130" s="65" cm="1">
        <f t="array" aca="1" ref="D130" ca="1">_xll.VoseSimMean(Finish)</f>
        <v>43.638402745073968</v>
      </c>
    </row>
    <row r="131" spans="2:7" ht="18" hidden="1" customHeight="1" outlineLevel="1" x14ac:dyDescent="0.45">
      <c r="B131" s="23" t="s">
        <v>279</v>
      </c>
      <c r="C131" s="5"/>
      <c r="D131" s="5"/>
      <c r="E131" s="5"/>
      <c r="F131" s="24" t="s">
        <v>280</v>
      </c>
      <c r="G131" s="24" t="s">
        <v>281</v>
      </c>
    </row>
    <row r="132" spans="2:7" hidden="1" outlineLevel="1" x14ac:dyDescent="0.45">
      <c r="B132" s="66" t="str">
        <f t="shared" ref="B132:B147" ca="1" si="2">B51</f>
        <v>A  Проектирование и согласования</v>
      </c>
      <c r="F132" s="67">
        <f t="shared" ref="F132:F147" ca="1" si="3">IFERROR(D51-$D$130,NA())</f>
        <v>2.7391251415986275</v>
      </c>
      <c r="G132" s="67">
        <f t="shared" ref="G132:G147" ca="1" si="4">IFERROR(C51-$D$130,NA())</f>
        <v>-2.1122159979322532</v>
      </c>
    </row>
    <row r="133" spans="2:7" hidden="1" outlineLevel="1" x14ac:dyDescent="0.45">
      <c r="B133" s="66" t="str">
        <f t="shared" ca="1" si="2"/>
        <v>K  Плита проезжей части</v>
      </c>
      <c r="F133" s="67">
        <f t="shared" ca="1" si="3"/>
        <v>1.3617124105378551</v>
      </c>
      <c r="G133" s="67">
        <f t="shared" ca="1" si="4"/>
        <v>-1.0735266869729969</v>
      </c>
    </row>
    <row r="134" spans="2:7" hidden="1" outlineLevel="1" x14ac:dyDescent="0.45">
      <c r="B134" s="66" t="str">
        <f t="shared" ca="1" si="2"/>
        <v>C  Демонтаж старого моста</v>
      </c>
      <c r="F134" s="67">
        <f t="shared" ca="1" si="3"/>
        <v>1.2746533609668589</v>
      </c>
      <c r="G134" s="67">
        <f t="shared" ca="1" si="4"/>
        <v>-0.99057006626870248</v>
      </c>
    </row>
    <row r="135" spans="2:7" hidden="1" outlineLevel="1" x14ac:dyDescent="0.45">
      <c r="B135" s="66" t="str">
        <f t="shared" ca="1" si="2"/>
        <v>E  Сваи южного устоя</v>
      </c>
      <c r="F135" s="67">
        <f t="shared" ca="1" si="3"/>
        <v>1.6116510771652415</v>
      </c>
      <c r="G135" s="67">
        <f t="shared" ca="1" si="4"/>
        <v>-0.61005035748430458</v>
      </c>
    </row>
    <row r="136" spans="2:7" hidden="1" outlineLevel="1" x14ac:dyDescent="0.45">
      <c r="B136" s="66" t="str">
        <f t="shared" ca="1" si="2"/>
        <v>F  Опора в русле</v>
      </c>
      <c r="F136" s="67">
        <f t="shared" ca="1" si="3"/>
        <v>1.8331558776866075</v>
      </c>
      <c r="G136" s="67">
        <f t="shared" ca="1" si="4"/>
        <v>-0.36441209028947696</v>
      </c>
    </row>
    <row r="137" spans="2:7" hidden="1" outlineLevel="1" x14ac:dyDescent="0.45">
      <c r="B137" s="66" t="str">
        <f t="shared" ca="1" si="2"/>
        <v>J  Доставка и монтаж балок</v>
      </c>
      <c r="F137" s="67">
        <f t="shared" ca="1" si="3"/>
        <v>1.1701898378300584</v>
      </c>
      <c r="G137" s="67">
        <f t="shared" ca="1" si="4"/>
        <v>-0.88355130307671459</v>
      </c>
    </row>
    <row r="138" spans="2:7" hidden="1" outlineLevel="1" x14ac:dyDescent="0.45">
      <c r="B138" s="66" t="str">
        <f t="shared" ca="1" si="2"/>
        <v>B  Мобилизация и организация движения</v>
      </c>
      <c r="F138" s="67">
        <f t="shared" ca="1" si="3"/>
        <v>0.99847619549677802</v>
      </c>
      <c r="G138" s="67">
        <f t="shared" ca="1" si="4"/>
        <v>-0.84789871210334411</v>
      </c>
    </row>
    <row r="139" spans="2:7" hidden="1" outlineLevel="1" x14ac:dyDescent="0.45">
      <c r="B139" s="66" t="str">
        <f t="shared" ca="1" si="2"/>
        <v>L  Гидроизоляция и покрытие</v>
      </c>
      <c r="F139" s="67">
        <f t="shared" ca="1" si="3"/>
        <v>1.0405534563850338</v>
      </c>
      <c r="G139" s="67">
        <f t="shared" ca="1" si="4"/>
        <v>-0.76722363975176933</v>
      </c>
    </row>
    <row r="140" spans="2:7" hidden="1" outlineLevel="1" x14ac:dyDescent="0.45">
      <c r="B140" s="66" t="str">
        <f t="shared" ca="1" si="2"/>
        <v>D  Сваи северного устоя</v>
      </c>
      <c r="F140" s="67">
        <f t="shared" ca="1" si="3"/>
        <v>1.0598666916113899</v>
      </c>
      <c r="G140" s="67">
        <f t="shared" ca="1" si="4"/>
        <v>-0.45905683722256185</v>
      </c>
    </row>
    <row r="141" spans="2:7" hidden="1" outlineLevel="1" x14ac:dyDescent="0.45">
      <c r="B141" s="66" t="str">
        <f t="shared" ca="1" si="2"/>
        <v>Задержка из-за паводка</v>
      </c>
      <c r="F141" s="67">
        <f t="shared" ca="1" si="3"/>
        <v>1.1955302708564588</v>
      </c>
      <c r="G141" s="67">
        <f t="shared" ca="1" si="4"/>
        <v>-0.2306389966131519</v>
      </c>
    </row>
    <row r="142" spans="2:7" hidden="1" outlineLevel="1" x14ac:dyDescent="0.45">
      <c r="B142" s="66" t="str">
        <f t="shared" ca="1" si="2"/>
        <v>H  Стены северного устоя</v>
      </c>
      <c r="F142" s="67">
        <f t="shared" ca="1" si="3"/>
        <v>0.45069428190229388</v>
      </c>
      <c r="G142" s="67">
        <f t="shared" ca="1" si="4"/>
        <v>-0.32642728013269817</v>
      </c>
    </row>
    <row r="143" spans="2:7" hidden="1" outlineLevel="1" x14ac:dyDescent="0.45">
      <c r="B143" s="66" t="str">
        <f t="shared" ca="1" si="2"/>
        <v>I  Стены южного устоя</v>
      </c>
      <c r="F143" s="67">
        <f t="shared" ca="1" si="3"/>
        <v>0.4421618789439492</v>
      </c>
      <c r="G143" s="67">
        <f t="shared" ca="1" si="4"/>
        <v>-0.324835400492681</v>
      </c>
    </row>
    <row r="144" spans="2:7" hidden="1" outlineLevel="1" x14ac:dyDescent="0.45">
      <c r="B144" s="66" t="str">
        <f t="shared" ca="1" si="2"/>
        <v>O  Испытания и открытие</v>
      </c>
      <c r="F144" s="67">
        <f t="shared" ca="1" si="3"/>
        <v>0.26592009721155563</v>
      </c>
      <c r="G144" s="67">
        <f t="shared" ca="1" si="4"/>
        <v>-0.21034621476891147</v>
      </c>
    </row>
    <row r="145" spans="2:7" hidden="1" outlineLevel="1" x14ac:dyDescent="0.45">
      <c r="B145" s="66" t="str">
        <f t="shared" ca="1" si="2"/>
        <v>G  Изготовление стальных балок (на заводе)</v>
      </c>
      <c r="F145" s="67">
        <f t="shared" ca="1" si="3"/>
        <v>0.21819434024815365</v>
      </c>
      <c r="G145" s="67">
        <f t="shared" ca="1" si="4"/>
        <v>-0.13754816283206139</v>
      </c>
    </row>
    <row r="146" spans="2:7" hidden="1" outlineLevel="1" x14ac:dyDescent="0.45">
      <c r="B146" s="66" t="str">
        <f t="shared" ca="1" si="2"/>
        <v>N  Примыкания подходов</v>
      </c>
      <c r="F146" s="67">
        <f t="shared" ca="1" si="3"/>
        <v>0.15347648341052178</v>
      </c>
      <c r="G146" s="67">
        <f t="shared" ca="1" si="4"/>
        <v>-0.15164871639522914</v>
      </c>
    </row>
    <row r="147" spans="2:7" hidden="1" outlineLevel="1" x14ac:dyDescent="0.45">
      <c r="B147" s="66" t="str">
        <f t="shared" ca="1" si="2"/>
        <v>M  Ограждения и отделка</v>
      </c>
      <c r="F147" s="67">
        <f t="shared" ca="1" si="3"/>
        <v>0.12195207472854008</v>
      </c>
      <c r="G147" s="67">
        <f t="shared" ca="1" si="4"/>
        <v>-0.18222979338046486</v>
      </c>
    </row>
  </sheetData>
  <mergeCells count="4">
    <mergeCell ref="B70:G70"/>
    <mergeCell ref="B73:G73"/>
    <mergeCell ref="B72:G72"/>
    <mergeCell ref="B71:G71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D79:D128">
    <cfRule type="expression" dxfId="1" priority="3">
      <formula>ISNA(D79)</formula>
    </cfRule>
  </conditionalFormatting>
  <conditionalFormatting sqref="F132:G147">
    <cfRule type="expression" dxfId="0" priority="4">
      <formula>ISNA(F132)</formula>
    </cfRule>
  </conditionalFormatting>
  <hyperlinks>
    <hyperlink ref="B4" location="'Сеть'!A1" display="◂  Сеть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7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E580-82B3-4302-A298-6B5393461562}">
  <dimension ref="A1:B1"/>
  <sheetViews>
    <sheetView workbookViewId="0"/>
  </sheetViews>
  <sheetFormatPr defaultRowHeight="14.25" x14ac:dyDescent="0.45"/>
  <sheetData>
    <row r="1" spans="1:2" x14ac:dyDescent="0.45">
      <c r="A1" s="72" t="s">
        <v>282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5BA83-594B-4C4A-8777-07DFB3C8F56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85EB3-5D6A-4704-AB10-2F8F1F71E589}">
  <dimension ref="B3:B332"/>
  <sheetViews>
    <sheetView workbookViewId="0"/>
  </sheetViews>
  <sheetFormatPr defaultRowHeight="14.25" x14ac:dyDescent="0.45"/>
  <sheetData>
    <row r="3" spans="2:2" x14ac:dyDescent="0.45">
      <c r="B3">
        <v>1477</v>
      </c>
    </row>
    <row r="4" spans="2:2" x14ac:dyDescent="0.45">
      <c r="B4">
        <v>0</v>
      </c>
    </row>
    <row r="5" spans="2:2" x14ac:dyDescent="0.45">
      <c r="B5">
        <v>0</v>
      </c>
    </row>
    <row r="6" spans="2:2" x14ac:dyDescent="0.45">
      <c r="B6">
        <v>22</v>
      </c>
    </row>
    <row r="7" spans="2:2" x14ac:dyDescent="0.45">
      <c r="B7">
        <v>121</v>
      </c>
    </row>
    <row r="8" spans="2:2" x14ac:dyDescent="0.45">
      <c r="B8">
        <v>149</v>
      </c>
    </row>
    <row r="9" spans="2:2" x14ac:dyDescent="0.45">
      <c r="B9">
        <v>129</v>
      </c>
    </row>
    <row r="10" spans="2:2" x14ac:dyDescent="0.45">
      <c r="B10">
        <v>76</v>
      </c>
    </row>
    <row r="11" spans="2:2" x14ac:dyDescent="0.45">
      <c r="B11">
        <v>20</v>
      </c>
    </row>
    <row r="12" spans="2:2" x14ac:dyDescent="0.45">
      <c r="B12">
        <v>6</v>
      </c>
    </row>
    <row r="13" spans="2:2" x14ac:dyDescent="0.45">
      <c r="B13">
        <v>145</v>
      </c>
    </row>
    <row r="14" spans="2:2" x14ac:dyDescent="0.45">
      <c r="B14">
        <v>322</v>
      </c>
    </row>
    <row r="15" spans="2:2" x14ac:dyDescent="0.45">
      <c r="B15">
        <v>346</v>
      </c>
    </row>
    <row r="16" spans="2:2" x14ac:dyDescent="0.45">
      <c r="B16">
        <v>354</v>
      </c>
    </row>
    <row r="17" spans="2:2" x14ac:dyDescent="0.45">
      <c r="B17">
        <v>308</v>
      </c>
    </row>
    <row r="18" spans="2:2" x14ac:dyDescent="0.45">
      <c r="B18">
        <v>232</v>
      </c>
    </row>
    <row r="19" spans="2:2" x14ac:dyDescent="0.45">
      <c r="B19">
        <v>176</v>
      </c>
    </row>
    <row r="20" spans="2:2" x14ac:dyDescent="0.45">
      <c r="B20">
        <v>80</v>
      </c>
    </row>
    <row r="21" spans="2:2" x14ac:dyDescent="0.45">
      <c r="B21">
        <v>29</v>
      </c>
    </row>
    <row r="22" spans="2:2" x14ac:dyDescent="0.45">
      <c r="B22">
        <v>8</v>
      </c>
    </row>
    <row r="23" spans="2:2" x14ac:dyDescent="0.45">
      <c r="B23">
        <v>0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0</v>
      </c>
    </row>
    <row r="27" spans="2:2" x14ac:dyDescent="0.45">
      <c r="B27">
        <v>0</v>
      </c>
    </row>
    <row r="28" spans="2:2" x14ac:dyDescent="0.45">
      <c r="B28">
        <v>2000</v>
      </c>
    </row>
    <row r="29" spans="2:2" x14ac:dyDescent="0.45">
      <c r="B29">
        <v>0</v>
      </c>
    </row>
    <row r="30" spans="2:2" x14ac:dyDescent="0.45">
      <c r="B30">
        <v>0</v>
      </c>
    </row>
    <row r="31" spans="2:2" x14ac:dyDescent="0.45">
      <c r="B31">
        <v>0</v>
      </c>
    </row>
    <row r="32" spans="2:2" x14ac:dyDescent="0.45">
      <c r="B32">
        <v>0</v>
      </c>
    </row>
    <row r="33" spans="2:2" x14ac:dyDescent="0.45">
      <c r="B33">
        <v>70</v>
      </c>
    </row>
    <row r="34" spans="2:2" x14ac:dyDescent="0.45">
      <c r="B34">
        <v>246</v>
      </c>
    </row>
    <row r="35" spans="2:2" x14ac:dyDescent="0.45">
      <c r="B35">
        <v>340</v>
      </c>
    </row>
    <row r="36" spans="2:2" x14ac:dyDescent="0.45">
      <c r="B36">
        <v>350</v>
      </c>
    </row>
    <row r="37" spans="2:2" x14ac:dyDescent="0.45">
      <c r="B37">
        <v>318</v>
      </c>
    </row>
    <row r="38" spans="2:2" x14ac:dyDescent="0.45">
      <c r="B38">
        <v>289</v>
      </c>
    </row>
    <row r="39" spans="2:2" x14ac:dyDescent="0.45">
      <c r="B39">
        <v>196</v>
      </c>
    </row>
    <row r="40" spans="2:2" x14ac:dyDescent="0.45">
      <c r="B40">
        <v>118</v>
      </c>
    </row>
    <row r="41" spans="2:2" x14ac:dyDescent="0.45">
      <c r="B41">
        <v>53</v>
      </c>
    </row>
    <row r="42" spans="2:2" x14ac:dyDescent="0.45">
      <c r="B42">
        <v>20</v>
      </c>
    </row>
    <row r="43" spans="2:2" x14ac:dyDescent="0.45">
      <c r="B43">
        <v>13</v>
      </c>
    </row>
    <row r="44" spans="2:2" x14ac:dyDescent="0.45">
      <c r="B44">
        <v>0</v>
      </c>
    </row>
    <row r="45" spans="2:2" x14ac:dyDescent="0.45">
      <c r="B45">
        <v>0</v>
      </c>
    </row>
    <row r="46" spans="2:2" x14ac:dyDescent="0.45">
      <c r="B46">
        <v>0</v>
      </c>
    </row>
    <row r="47" spans="2:2" x14ac:dyDescent="0.45">
      <c r="B47">
        <v>0</v>
      </c>
    </row>
    <row r="48" spans="2:2" x14ac:dyDescent="0.45">
      <c r="B48">
        <v>0</v>
      </c>
    </row>
    <row r="49" spans="2:2" x14ac:dyDescent="0.45">
      <c r="B49">
        <v>0</v>
      </c>
    </row>
    <row r="50" spans="2:2" x14ac:dyDescent="0.45">
      <c r="B50">
        <v>0</v>
      </c>
    </row>
    <row r="51" spans="2:2" x14ac:dyDescent="0.45">
      <c r="B51">
        <v>0</v>
      </c>
    </row>
    <row r="52" spans="2:2" x14ac:dyDescent="0.45">
      <c r="B52">
        <v>1987</v>
      </c>
    </row>
    <row r="53" spans="2:2" x14ac:dyDescent="0.45">
      <c r="B53">
        <v>144</v>
      </c>
    </row>
    <row r="54" spans="2:2" x14ac:dyDescent="0.45">
      <c r="B54">
        <v>317</v>
      </c>
    </row>
    <row r="55" spans="2:2" x14ac:dyDescent="0.45">
      <c r="B55">
        <v>372</v>
      </c>
    </row>
    <row r="56" spans="2:2" x14ac:dyDescent="0.45">
      <c r="B56">
        <v>348</v>
      </c>
    </row>
    <row r="57" spans="2:2" x14ac:dyDescent="0.45">
      <c r="B57">
        <v>293</v>
      </c>
    </row>
    <row r="58" spans="2:2" x14ac:dyDescent="0.45">
      <c r="B58">
        <v>226</v>
      </c>
    </row>
    <row r="59" spans="2:2" x14ac:dyDescent="0.45">
      <c r="B59">
        <v>168</v>
      </c>
    </row>
    <row r="60" spans="2:2" x14ac:dyDescent="0.45">
      <c r="B60">
        <v>85</v>
      </c>
    </row>
    <row r="61" spans="2:2" x14ac:dyDescent="0.45">
      <c r="B61">
        <v>34</v>
      </c>
    </row>
    <row r="62" spans="2:2" x14ac:dyDescent="0.45">
      <c r="B62">
        <v>13</v>
      </c>
    </row>
    <row r="63" spans="2:2" x14ac:dyDescent="0.45">
      <c r="B63">
        <v>13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0</v>
      </c>
    </row>
    <row r="69" spans="2:2" x14ac:dyDescent="0.45">
      <c r="B69">
        <v>0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1987</v>
      </c>
    </row>
    <row r="73" spans="2:2" x14ac:dyDescent="0.45">
      <c r="B73">
        <v>117</v>
      </c>
    </row>
    <row r="74" spans="2:2" x14ac:dyDescent="0.45">
      <c r="B74">
        <v>255</v>
      </c>
    </row>
    <row r="75" spans="2:2" x14ac:dyDescent="0.45">
      <c r="B75">
        <v>344</v>
      </c>
    </row>
    <row r="76" spans="2:2" x14ac:dyDescent="0.45">
      <c r="B76">
        <v>365</v>
      </c>
    </row>
    <row r="77" spans="2:2" x14ac:dyDescent="0.45">
      <c r="B77">
        <v>322</v>
      </c>
    </row>
    <row r="78" spans="2:2" x14ac:dyDescent="0.45">
      <c r="B78">
        <v>257</v>
      </c>
    </row>
    <row r="79" spans="2:2" x14ac:dyDescent="0.45">
      <c r="B79">
        <v>181</v>
      </c>
    </row>
    <row r="80" spans="2:2" x14ac:dyDescent="0.45">
      <c r="B80">
        <v>98</v>
      </c>
    </row>
    <row r="81" spans="2:2" x14ac:dyDescent="0.45">
      <c r="B81">
        <v>48</v>
      </c>
    </row>
    <row r="82" spans="2:2" x14ac:dyDescent="0.45">
      <c r="B82">
        <v>13</v>
      </c>
    </row>
    <row r="83" spans="2:2" x14ac:dyDescent="0.45">
      <c r="B83">
        <v>1277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0</v>
      </c>
    </row>
    <row r="87" spans="2:2" x14ac:dyDescent="0.45">
      <c r="B87">
        <v>0</v>
      </c>
    </row>
    <row r="88" spans="2:2" x14ac:dyDescent="0.45">
      <c r="B88">
        <v>0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723</v>
      </c>
    </row>
    <row r="93" spans="2:2" x14ac:dyDescent="0.45">
      <c r="B93">
        <v>119</v>
      </c>
    </row>
    <row r="94" spans="2:2" x14ac:dyDescent="0.45">
      <c r="B94">
        <v>312</v>
      </c>
    </row>
    <row r="95" spans="2:2" x14ac:dyDescent="0.45">
      <c r="B95">
        <v>383</v>
      </c>
    </row>
    <row r="96" spans="2:2" x14ac:dyDescent="0.45">
      <c r="B96">
        <v>376</v>
      </c>
    </row>
    <row r="97" spans="2:2" x14ac:dyDescent="0.45">
      <c r="B97">
        <v>327</v>
      </c>
    </row>
    <row r="98" spans="2:2" x14ac:dyDescent="0.45">
      <c r="B98">
        <v>221</v>
      </c>
    </row>
    <row r="99" spans="2:2" x14ac:dyDescent="0.45">
      <c r="B99">
        <v>158</v>
      </c>
    </row>
    <row r="100" spans="2:2" x14ac:dyDescent="0.45">
      <c r="B100">
        <v>72</v>
      </c>
    </row>
    <row r="101" spans="2:2" x14ac:dyDescent="0.45">
      <c r="B101">
        <v>29</v>
      </c>
    </row>
    <row r="102" spans="2:2" x14ac:dyDescent="0.45">
      <c r="B102">
        <v>3</v>
      </c>
    </row>
    <row r="103" spans="2:2" x14ac:dyDescent="0.45">
      <c r="B103">
        <v>1134</v>
      </c>
    </row>
    <row r="104" spans="2:2" x14ac:dyDescent="0.45">
      <c r="B104">
        <v>0</v>
      </c>
    </row>
    <row r="105" spans="2:2" x14ac:dyDescent="0.45">
      <c r="B105">
        <v>0</v>
      </c>
    </row>
    <row r="106" spans="2:2" x14ac:dyDescent="0.45">
      <c r="B106">
        <v>0</v>
      </c>
    </row>
    <row r="107" spans="2:2" x14ac:dyDescent="0.45">
      <c r="B107">
        <v>0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866</v>
      </c>
    </row>
    <row r="113" spans="2:2" x14ac:dyDescent="0.45">
      <c r="B113">
        <v>145</v>
      </c>
    </row>
    <row r="114" spans="2:2" x14ac:dyDescent="0.45">
      <c r="B114">
        <v>302</v>
      </c>
    </row>
    <row r="115" spans="2:2" x14ac:dyDescent="0.45">
      <c r="B115">
        <v>442</v>
      </c>
    </row>
    <row r="116" spans="2:2" x14ac:dyDescent="0.45">
      <c r="B116">
        <v>373</v>
      </c>
    </row>
    <row r="117" spans="2:2" x14ac:dyDescent="0.45">
      <c r="B117">
        <v>306</v>
      </c>
    </row>
    <row r="118" spans="2:2" x14ac:dyDescent="0.45">
      <c r="B118">
        <v>215</v>
      </c>
    </row>
    <row r="119" spans="2:2" x14ac:dyDescent="0.45">
      <c r="B119">
        <v>115</v>
      </c>
    </row>
    <row r="120" spans="2:2" x14ac:dyDescent="0.45">
      <c r="B120">
        <v>69</v>
      </c>
    </row>
    <row r="121" spans="2:2" x14ac:dyDescent="0.45">
      <c r="B121">
        <v>27</v>
      </c>
    </row>
    <row r="122" spans="2:2" x14ac:dyDescent="0.45">
      <c r="B122">
        <v>6</v>
      </c>
    </row>
    <row r="123" spans="2:2" x14ac:dyDescent="0.45">
      <c r="B123">
        <v>1602</v>
      </c>
    </row>
    <row r="124" spans="2:2" x14ac:dyDescent="0.45">
      <c r="B124">
        <v>0</v>
      </c>
    </row>
    <row r="125" spans="2:2" x14ac:dyDescent="0.45">
      <c r="B125">
        <v>0</v>
      </c>
    </row>
    <row r="126" spans="2:2" x14ac:dyDescent="0.45">
      <c r="B126">
        <v>0</v>
      </c>
    </row>
    <row r="127" spans="2:2" x14ac:dyDescent="0.45">
      <c r="B127">
        <v>0</v>
      </c>
    </row>
    <row r="128" spans="2:2" x14ac:dyDescent="0.45">
      <c r="B128">
        <v>0</v>
      </c>
    </row>
    <row r="129" spans="2:2" x14ac:dyDescent="0.45">
      <c r="B129">
        <v>0</v>
      </c>
    </row>
    <row r="130" spans="2:2" x14ac:dyDescent="0.45">
      <c r="B130">
        <v>0</v>
      </c>
    </row>
    <row r="131" spans="2:2" x14ac:dyDescent="0.45">
      <c r="B131">
        <v>0</v>
      </c>
    </row>
    <row r="132" spans="2:2" x14ac:dyDescent="0.45">
      <c r="B132">
        <v>398</v>
      </c>
    </row>
    <row r="133" spans="2:2" x14ac:dyDescent="0.45">
      <c r="B133">
        <v>57</v>
      </c>
    </row>
    <row r="134" spans="2:2" x14ac:dyDescent="0.45">
      <c r="B134">
        <v>186</v>
      </c>
    </row>
    <row r="135" spans="2:2" x14ac:dyDescent="0.45">
      <c r="B135">
        <v>264</v>
      </c>
    </row>
    <row r="136" spans="2:2" x14ac:dyDescent="0.45">
      <c r="B136">
        <v>311</v>
      </c>
    </row>
    <row r="137" spans="2:2" x14ac:dyDescent="0.45">
      <c r="B137">
        <v>327</v>
      </c>
    </row>
    <row r="138" spans="2:2" x14ac:dyDescent="0.45">
      <c r="B138">
        <v>325</v>
      </c>
    </row>
    <row r="139" spans="2:2" x14ac:dyDescent="0.45">
      <c r="B139">
        <v>251</v>
      </c>
    </row>
    <row r="140" spans="2:2" x14ac:dyDescent="0.45">
      <c r="B140">
        <v>176</v>
      </c>
    </row>
    <row r="141" spans="2:2" x14ac:dyDescent="0.45">
      <c r="B141">
        <v>71</v>
      </c>
    </row>
    <row r="142" spans="2:2" x14ac:dyDescent="0.45">
      <c r="B142">
        <v>32</v>
      </c>
    </row>
    <row r="143" spans="2:2" x14ac:dyDescent="0.45">
      <c r="B143">
        <v>1987</v>
      </c>
    </row>
    <row r="144" spans="2:2" x14ac:dyDescent="0.45">
      <c r="B144">
        <v>0</v>
      </c>
    </row>
    <row r="145" spans="2:2" x14ac:dyDescent="0.45">
      <c r="B145">
        <v>0</v>
      </c>
    </row>
    <row r="146" spans="2:2" x14ac:dyDescent="0.45">
      <c r="B146">
        <v>0</v>
      </c>
    </row>
    <row r="147" spans="2:2" x14ac:dyDescent="0.45">
      <c r="B147">
        <v>0</v>
      </c>
    </row>
    <row r="148" spans="2:2" x14ac:dyDescent="0.45">
      <c r="B148">
        <v>0</v>
      </c>
    </row>
    <row r="149" spans="2:2" x14ac:dyDescent="0.45">
      <c r="B149">
        <v>0</v>
      </c>
    </row>
    <row r="150" spans="2:2" x14ac:dyDescent="0.45">
      <c r="B150">
        <v>0</v>
      </c>
    </row>
    <row r="151" spans="2:2" x14ac:dyDescent="0.45">
      <c r="B151">
        <v>0</v>
      </c>
    </row>
    <row r="152" spans="2:2" x14ac:dyDescent="0.45">
      <c r="B152">
        <v>13</v>
      </c>
    </row>
    <row r="153" spans="2:2" x14ac:dyDescent="0.45">
      <c r="B153">
        <v>114</v>
      </c>
    </row>
    <row r="154" spans="2:2" x14ac:dyDescent="0.45">
      <c r="B154">
        <v>240</v>
      </c>
    </row>
    <row r="155" spans="2:2" x14ac:dyDescent="0.45">
      <c r="B155">
        <v>349</v>
      </c>
    </row>
    <row r="156" spans="2:2" x14ac:dyDescent="0.45">
      <c r="B156">
        <v>365</v>
      </c>
    </row>
    <row r="157" spans="2:2" x14ac:dyDescent="0.45">
      <c r="B157">
        <v>314</v>
      </c>
    </row>
    <row r="158" spans="2:2" x14ac:dyDescent="0.45">
      <c r="B158">
        <v>261</v>
      </c>
    </row>
    <row r="159" spans="2:2" x14ac:dyDescent="0.45">
      <c r="B159">
        <v>185</v>
      </c>
    </row>
    <row r="160" spans="2:2" x14ac:dyDescent="0.45">
      <c r="B160">
        <v>108</v>
      </c>
    </row>
    <row r="161" spans="2:2" x14ac:dyDescent="0.45">
      <c r="B161">
        <v>51</v>
      </c>
    </row>
    <row r="162" spans="2:2" x14ac:dyDescent="0.45">
      <c r="B162">
        <v>13</v>
      </c>
    </row>
    <row r="163" spans="2:2" x14ac:dyDescent="0.45">
      <c r="B163">
        <v>1277</v>
      </c>
    </row>
    <row r="164" spans="2:2" x14ac:dyDescent="0.45">
      <c r="B164">
        <v>0</v>
      </c>
    </row>
    <row r="165" spans="2:2" x14ac:dyDescent="0.45">
      <c r="B165">
        <v>0</v>
      </c>
    </row>
    <row r="166" spans="2:2" x14ac:dyDescent="0.45">
      <c r="B166">
        <v>0</v>
      </c>
    </row>
    <row r="167" spans="2:2" x14ac:dyDescent="0.45">
      <c r="B167">
        <v>0</v>
      </c>
    </row>
    <row r="168" spans="2:2" x14ac:dyDescent="0.45">
      <c r="B168">
        <v>0</v>
      </c>
    </row>
    <row r="169" spans="2:2" x14ac:dyDescent="0.45">
      <c r="B169">
        <v>0</v>
      </c>
    </row>
    <row r="170" spans="2:2" x14ac:dyDescent="0.45">
      <c r="B170">
        <v>0</v>
      </c>
    </row>
    <row r="171" spans="2:2" x14ac:dyDescent="0.45">
      <c r="B171">
        <v>0</v>
      </c>
    </row>
    <row r="172" spans="2:2" x14ac:dyDescent="0.45">
      <c r="B172">
        <v>723</v>
      </c>
    </row>
    <row r="173" spans="2:2" x14ac:dyDescent="0.45">
      <c r="B173">
        <v>77</v>
      </c>
    </row>
    <row r="174" spans="2:2" x14ac:dyDescent="0.45">
      <c r="B174">
        <v>233</v>
      </c>
    </row>
    <row r="175" spans="2:2" x14ac:dyDescent="0.45">
      <c r="B175">
        <v>336</v>
      </c>
    </row>
    <row r="176" spans="2:2" x14ac:dyDescent="0.45">
      <c r="B176">
        <v>366</v>
      </c>
    </row>
    <row r="177" spans="2:2" x14ac:dyDescent="0.45">
      <c r="B177">
        <v>354</v>
      </c>
    </row>
    <row r="178" spans="2:2" x14ac:dyDescent="0.45">
      <c r="B178">
        <v>255</v>
      </c>
    </row>
    <row r="179" spans="2:2" x14ac:dyDescent="0.45">
      <c r="B179">
        <v>206</v>
      </c>
    </row>
    <row r="180" spans="2:2" x14ac:dyDescent="0.45">
      <c r="B180">
        <v>115</v>
      </c>
    </row>
    <row r="181" spans="2:2" x14ac:dyDescent="0.45">
      <c r="B181">
        <v>43</v>
      </c>
    </row>
    <row r="182" spans="2:2" x14ac:dyDescent="0.45">
      <c r="B182">
        <v>15</v>
      </c>
    </row>
    <row r="183" spans="2:2" x14ac:dyDescent="0.45">
      <c r="B183">
        <v>1134</v>
      </c>
    </row>
    <row r="184" spans="2:2" x14ac:dyDescent="0.45">
      <c r="B184">
        <v>0</v>
      </c>
    </row>
    <row r="185" spans="2:2" x14ac:dyDescent="0.45">
      <c r="B185">
        <v>0</v>
      </c>
    </row>
    <row r="186" spans="2:2" x14ac:dyDescent="0.45">
      <c r="B186">
        <v>0</v>
      </c>
    </row>
    <row r="187" spans="2:2" x14ac:dyDescent="0.45">
      <c r="B187">
        <v>0</v>
      </c>
    </row>
    <row r="188" spans="2:2" x14ac:dyDescent="0.45">
      <c r="B188">
        <v>0</v>
      </c>
    </row>
    <row r="189" spans="2:2" x14ac:dyDescent="0.45">
      <c r="B189">
        <v>0</v>
      </c>
    </row>
    <row r="190" spans="2:2" x14ac:dyDescent="0.45">
      <c r="B190">
        <v>0</v>
      </c>
    </row>
    <row r="191" spans="2:2" x14ac:dyDescent="0.45">
      <c r="B191">
        <v>0</v>
      </c>
    </row>
    <row r="192" spans="2:2" x14ac:dyDescent="0.45">
      <c r="B192">
        <v>866</v>
      </c>
    </row>
    <row r="193" spans="2:2" x14ac:dyDescent="0.45">
      <c r="B193">
        <v>63</v>
      </c>
    </row>
    <row r="194" spans="2:2" x14ac:dyDescent="0.45">
      <c r="B194">
        <v>221</v>
      </c>
    </row>
    <row r="195" spans="2:2" x14ac:dyDescent="0.45">
      <c r="B195">
        <v>345</v>
      </c>
    </row>
    <row r="196" spans="2:2" x14ac:dyDescent="0.45">
      <c r="B196">
        <v>330</v>
      </c>
    </row>
    <row r="197" spans="2:2" x14ac:dyDescent="0.45">
      <c r="B197">
        <v>325</v>
      </c>
    </row>
    <row r="198" spans="2:2" x14ac:dyDescent="0.45">
      <c r="B198">
        <v>279</v>
      </c>
    </row>
    <row r="199" spans="2:2" x14ac:dyDescent="0.45">
      <c r="B199">
        <v>217</v>
      </c>
    </row>
    <row r="200" spans="2:2" x14ac:dyDescent="0.45">
      <c r="B200">
        <v>125</v>
      </c>
    </row>
    <row r="201" spans="2:2" x14ac:dyDescent="0.45">
      <c r="B201">
        <v>69</v>
      </c>
    </row>
    <row r="202" spans="2:2" x14ac:dyDescent="0.45">
      <c r="B202">
        <v>26</v>
      </c>
    </row>
    <row r="203" spans="2:2" x14ac:dyDescent="0.45">
      <c r="B203">
        <v>0</v>
      </c>
    </row>
    <row r="204" spans="2:2" x14ac:dyDescent="0.45">
      <c r="B204">
        <v>0</v>
      </c>
    </row>
    <row r="205" spans="2:2" x14ac:dyDescent="0.45">
      <c r="B205">
        <v>0</v>
      </c>
    </row>
    <row r="206" spans="2:2" x14ac:dyDescent="0.45">
      <c r="B206">
        <v>0</v>
      </c>
    </row>
    <row r="207" spans="2:2" x14ac:dyDescent="0.45">
      <c r="B207">
        <v>0</v>
      </c>
    </row>
    <row r="208" spans="2:2" x14ac:dyDescent="0.45">
      <c r="B208">
        <v>2000</v>
      </c>
    </row>
    <row r="209" spans="2:2" x14ac:dyDescent="0.45">
      <c r="B209">
        <v>0</v>
      </c>
    </row>
    <row r="210" spans="2:2" x14ac:dyDescent="0.45">
      <c r="B210">
        <v>0</v>
      </c>
    </row>
    <row r="211" spans="2:2" x14ac:dyDescent="0.45">
      <c r="B211">
        <v>0</v>
      </c>
    </row>
    <row r="212" spans="2:2" x14ac:dyDescent="0.45">
      <c r="B212">
        <v>0</v>
      </c>
    </row>
    <row r="213" spans="2:2" x14ac:dyDescent="0.45">
      <c r="B213">
        <v>155</v>
      </c>
    </row>
    <row r="214" spans="2:2" x14ac:dyDescent="0.45">
      <c r="B214">
        <v>326</v>
      </c>
    </row>
    <row r="215" spans="2:2" x14ac:dyDescent="0.45">
      <c r="B215">
        <v>423</v>
      </c>
    </row>
    <row r="216" spans="2:2" x14ac:dyDescent="0.45">
      <c r="B216">
        <v>389</v>
      </c>
    </row>
    <row r="217" spans="2:2" x14ac:dyDescent="0.45">
      <c r="B217">
        <v>312</v>
      </c>
    </row>
    <row r="218" spans="2:2" x14ac:dyDescent="0.45">
      <c r="B218">
        <v>213</v>
      </c>
    </row>
    <row r="219" spans="2:2" x14ac:dyDescent="0.45">
      <c r="B219">
        <v>109</v>
      </c>
    </row>
    <row r="220" spans="2:2" x14ac:dyDescent="0.45">
      <c r="B220">
        <v>55</v>
      </c>
    </row>
    <row r="221" spans="2:2" x14ac:dyDescent="0.45">
      <c r="B221">
        <v>15</v>
      </c>
    </row>
    <row r="222" spans="2:2" x14ac:dyDescent="0.45">
      <c r="B222">
        <v>3</v>
      </c>
    </row>
    <row r="223" spans="2:2" x14ac:dyDescent="0.45">
      <c r="B223">
        <v>0</v>
      </c>
    </row>
    <row r="224" spans="2:2" x14ac:dyDescent="0.45">
      <c r="B224">
        <v>0</v>
      </c>
    </row>
    <row r="225" spans="2:2" x14ac:dyDescent="0.45">
      <c r="B225">
        <v>0</v>
      </c>
    </row>
    <row r="226" spans="2:2" x14ac:dyDescent="0.45">
      <c r="B226">
        <v>0</v>
      </c>
    </row>
    <row r="227" spans="2:2" x14ac:dyDescent="0.45">
      <c r="B227">
        <v>0</v>
      </c>
    </row>
    <row r="228" spans="2:2" x14ac:dyDescent="0.45">
      <c r="B228">
        <v>2000</v>
      </c>
    </row>
    <row r="229" spans="2:2" x14ac:dyDescent="0.45">
      <c r="B229">
        <v>0</v>
      </c>
    </row>
    <row r="230" spans="2:2" x14ac:dyDescent="0.45">
      <c r="B230">
        <v>0</v>
      </c>
    </row>
    <row r="231" spans="2:2" x14ac:dyDescent="0.45">
      <c r="B231">
        <v>0</v>
      </c>
    </row>
    <row r="232" spans="2:2" x14ac:dyDescent="0.45">
      <c r="B232">
        <v>0</v>
      </c>
    </row>
    <row r="233" spans="2:2" x14ac:dyDescent="0.45">
      <c r="B233">
        <v>91</v>
      </c>
    </row>
    <row r="234" spans="2:2" x14ac:dyDescent="0.45">
      <c r="B234">
        <v>219</v>
      </c>
    </row>
    <row r="235" spans="2:2" x14ac:dyDescent="0.45">
      <c r="B235">
        <v>329</v>
      </c>
    </row>
    <row r="236" spans="2:2" x14ac:dyDescent="0.45">
      <c r="B236">
        <v>376</v>
      </c>
    </row>
    <row r="237" spans="2:2" x14ac:dyDescent="0.45">
      <c r="B237">
        <v>349</v>
      </c>
    </row>
    <row r="238" spans="2:2" x14ac:dyDescent="0.45">
      <c r="B238">
        <v>280</v>
      </c>
    </row>
    <row r="239" spans="2:2" x14ac:dyDescent="0.45">
      <c r="B239">
        <v>189</v>
      </c>
    </row>
    <row r="240" spans="2:2" x14ac:dyDescent="0.45">
      <c r="B240">
        <v>109</v>
      </c>
    </row>
    <row r="241" spans="2:2" x14ac:dyDescent="0.45">
      <c r="B241">
        <v>46</v>
      </c>
    </row>
    <row r="242" spans="2:2" x14ac:dyDescent="0.45">
      <c r="B242">
        <v>12</v>
      </c>
    </row>
    <row r="243" spans="2:2" x14ac:dyDescent="0.45">
      <c r="B243">
        <v>171</v>
      </c>
    </row>
    <row r="244" spans="2:2" x14ac:dyDescent="0.45">
      <c r="B244">
        <v>0</v>
      </c>
    </row>
    <row r="245" spans="2:2" x14ac:dyDescent="0.45">
      <c r="B245">
        <v>0</v>
      </c>
    </row>
    <row r="246" spans="2:2" x14ac:dyDescent="0.45">
      <c r="B246">
        <v>0</v>
      </c>
    </row>
    <row r="247" spans="2:2" x14ac:dyDescent="0.45">
      <c r="B247">
        <v>0</v>
      </c>
    </row>
    <row r="248" spans="2:2" x14ac:dyDescent="0.45">
      <c r="B248">
        <v>0</v>
      </c>
    </row>
    <row r="249" spans="2:2" x14ac:dyDescent="0.45">
      <c r="B249">
        <v>0</v>
      </c>
    </row>
    <row r="250" spans="2:2" x14ac:dyDescent="0.45">
      <c r="B250">
        <v>0</v>
      </c>
    </row>
    <row r="251" spans="2:2" x14ac:dyDescent="0.45">
      <c r="B251">
        <v>0</v>
      </c>
    </row>
    <row r="252" spans="2:2" x14ac:dyDescent="0.45">
      <c r="B252">
        <v>1829</v>
      </c>
    </row>
    <row r="253" spans="2:2" x14ac:dyDescent="0.45">
      <c r="B253">
        <v>633</v>
      </c>
    </row>
    <row r="254" spans="2:2" x14ac:dyDescent="0.45">
      <c r="B254">
        <v>405</v>
      </c>
    </row>
    <row r="255" spans="2:2" x14ac:dyDescent="0.45">
      <c r="B255">
        <v>355</v>
      </c>
    </row>
    <row r="256" spans="2:2" x14ac:dyDescent="0.45">
      <c r="B256">
        <v>235</v>
      </c>
    </row>
    <row r="257" spans="2:2" x14ac:dyDescent="0.45">
      <c r="B257">
        <v>163</v>
      </c>
    </row>
    <row r="258" spans="2:2" x14ac:dyDescent="0.45">
      <c r="B258">
        <v>102</v>
      </c>
    </row>
    <row r="259" spans="2:2" x14ac:dyDescent="0.45">
      <c r="B259">
        <v>59</v>
      </c>
    </row>
    <row r="260" spans="2:2" x14ac:dyDescent="0.45">
      <c r="B260">
        <v>22</v>
      </c>
    </row>
    <row r="261" spans="2:2" x14ac:dyDescent="0.45">
      <c r="B261">
        <v>18</v>
      </c>
    </row>
    <row r="262" spans="2:2" x14ac:dyDescent="0.45">
      <c r="B262">
        <v>8</v>
      </c>
    </row>
    <row r="263" spans="2:2" x14ac:dyDescent="0.45">
      <c r="B263">
        <v>1829</v>
      </c>
    </row>
    <row r="264" spans="2:2" x14ac:dyDescent="0.45">
      <c r="B264">
        <v>0</v>
      </c>
    </row>
    <row r="265" spans="2:2" x14ac:dyDescent="0.45">
      <c r="B265">
        <v>0</v>
      </c>
    </row>
    <row r="266" spans="2:2" x14ac:dyDescent="0.45">
      <c r="B266">
        <v>0</v>
      </c>
    </row>
    <row r="267" spans="2:2" x14ac:dyDescent="0.45">
      <c r="B267">
        <v>0</v>
      </c>
    </row>
    <row r="268" spans="2:2" x14ac:dyDescent="0.45">
      <c r="B268">
        <v>0</v>
      </c>
    </row>
    <row r="269" spans="2:2" x14ac:dyDescent="0.45">
      <c r="B269">
        <v>0</v>
      </c>
    </row>
    <row r="270" spans="2:2" x14ac:dyDescent="0.45">
      <c r="B270">
        <v>0</v>
      </c>
    </row>
    <row r="271" spans="2:2" x14ac:dyDescent="0.45">
      <c r="B271">
        <v>0</v>
      </c>
    </row>
    <row r="272" spans="2:2" x14ac:dyDescent="0.45">
      <c r="B272">
        <v>171</v>
      </c>
    </row>
    <row r="273" spans="2:2" x14ac:dyDescent="0.45">
      <c r="B273">
        <v>86</v>
      </c>
    </row>
    <row r="274" spans="2:2" x14ac:dyDescent="0.45">
      <c r="B274">
        <v>261</v>
      </c>
    </row>
    <row r="275" spans="2:2" x14ac:dyDescent="0.45">
      <c r="B275">
        <v>306</v>
      </c>
    </row>
    <row r="276" spans="2:2" x14ac:dyDescent="0.45">
      <c r="B276">
        <v>333</v>
      </c>
    </row>
    <row r="277" spans="2:2" x14ac:dyDescent="0.45">
      <c r="B277">
        <v>304</v>
      </c>
    </row>
    <row r="278" spans="2:2" x14ac:dyDescent="0.45">
      <c r="B278">
        <v>285</v>
      </c>
    </row>
    <row r="279" spans="2:2" x14ac:dyDescent="0.45">
      <c r="B279">
        <v>200</v>
      </c>
    </row>
    <row r="280" spans="2:2" x14ac:dyDescent="0.45">
      <c r="B280">
        <v>125</v>
      </c>
    </row>
    <row r="281" spans="2:2" x14ac:dyDescent="0.45">
      <c r="B281">
        <v>83</v>
      </c>
    </row>
    <row r="282" spans="2:2" x14ac:dyDescent="0.45">
      <c r="B282">
        <v>17</v>
      </c>
    </row>
    <row r="283" spans="2:2" x14ac:dyDescent="0.45">
      <c r="B283">
        <v>0</v>
      </c>
    </row>
    <row r="284" spans="2:2" x14ac:dyDescent="0.45">
      <c r="B284">
        <v>0</v>
      </c>
    </row>
    <row r="285" spans="2:2" x14ac:dyDescent="0.45">
      <c r="B285">
        <v>0</v>
      </c>
    </row>
    <row r="286" spans="2:2" x14ac:dyDescent="0.45">
      <c r="B286">
        <v>0</v>
      </c>
    </row>
    <row r="287" spans="2:2" x14ac:dyDescent="0.45">
      <c r="B287">
        <v>0</v>
      </c>
    </row>
    <row r="288" spans="2:2" x14ac:dyDescent="0.45">
      <c r="B288">
        <v>2000</v>
      </c>
    </row>
    <row r="289" spans="2:2" x14ac:dyDescent="0.45">
      <c r="B289">
        <v>0</v>
      </c>
    </row>
    <row r="290" spans="2:2" x14ac:dyDescent="0.45">
      <c r="B290">
        <v>0</v>
      </c>
    </row>
    <row r="291" spans="2:2" x14ac:dyDescent="0.45">
      <c r="B291">
        <v>0</v>
      </c>
    </row>
    <row r="292" spans="2:2" x14ac:dyDescent="0.45">
      <c r="B292">
        <v>0</v>
      </c>
    </row>
    <row r="293" spans="2:2" x14ac:dyDescent="0.45">
      <c r="B293">
        <v>625</v>
      </c>
    </row>
    <row r="294" spans="2:2" x14ac:dyDescent="0.45">
      <c r="B294">
        <v>448</v>
      </c>
    </row>
    <row r="295" spans="2:2" x14ac:dyDescent="0.45">
      <c r="B295">
        <v>326</v>
      </c>
    </row>
    <row r="296" spans="2:2" x14ac:dyDescent="0.45">
      <c r="B296">
        <v>236</v>
      </c>
    </row>
    <row r="297" spans="2:2" x14ac:dyDescent="0.45">
      <c r="B297">
        <v>171</v>
      </c>
    </row>
    <row r="298" spans="2:2" x14ac:dyDescent="0.45">
      <c r="B298">
        <v>98</v>
      </c>
    </row>
    <row r="299" spans="2:2" x14ac:dyDescent="0.45">
      <c r="B299">
        <v>44</v>
      </c>
    </row>
    <row r="300" spans="2:2" x14ac:dyDescent="0.45">
      <c r="B300">
        <v>23</v>
      </c>
    </row>
    <row r="301" spans="2:2" x14ac:dyDescent="0.45">
      <c r="B301">
        <v>17</v>
      </c>
    </row>
    <row r="302" spans="2:2" x14ac:dyDescent="0.45">
      <c r="B302">
        <v>12</v>
      </c>
    </row>
    <row r="303" spans="2:2" x14ac:dyDescent="0.45">
      <c r="B303">
        <v>0</v>
      </c>
    </row>
    <row r="304" spans="2:2" x14ac:dyDescent="0.45">
      <c r="B304">
        <v>0</v>
      </c>
    </row>
    <row r="305" spans="2:2" x14ac:dyDescent="0.45">
      <c r="B305">
        <v>0</v>
      </c>
    </row>
    <row r="306" spans="2:2" x14ac:dyDescent="0.45">
      <c r="B306">
        <v>0</v>
      </c>
    </row>
    <row r="307" spans="2:2" x14ac:dyDescent="0.45">
      <c r="B307">
        <v>0</v>
      </c>
    </row>
    <row r="308" spans="2:2" x14ac:dyDescent="0.45">
      <c r="B308">
        <v>2000</v>
      </c>
    </row>
    <row r="309" spans="2:2" x14ac:dyDescent="0.45">
      <c r="B309">
        <v>0</v>
      </c>
    </row>
    <row r="310" spans="2:2" x14ac:dyDescent="0.45">
      <c r="B310">
        <v>0</v>
      </c>
    </row>
    <row r="311" spans="2:2" x14ac:dyDescent="0.45">
      <c r="B311">
        <v>0</v>
      </c>
    </row>
    <row r="312" spans="2:2" x14ac:dyDescent="0.45">
      <c r="B312">
        <v>0</v>
      </c>
    </row>
    <row r="313" spans="2:2" x14ac:dyDescent="0.45">
      <c r="B313">
        <v>30</v>
      </c>
    </row>
    <row r="314" spans="2:2" x14ac:dyDescent="0.45">
      <c r="B314">
        <v>96</v>
      </c>
    </row>
    <row r="315" spans="2:2" x14ac:dyDescent="0.45">
      <c r="B315">
        <v>285</v>
      </c>
    </row>
    <row r="316" spans="2:2" x14ac:dyDescent="0.45">
      <c r="B316">
        <v>442</v>
      </c>
    </row>
    <row r="317" spans="2:2" x14ac:dyDescent="0.45">
      <c r="B317">
        <v>464</v>
      </c>
    </row>
    <row r="318" spans="2:2" x14ac:dyDescent="0.45">
      <c r="B318">
        <v>373</v>
      </c>
    </row>
    <row r="319" spans="2:2" x14ac:dyDescent="0.45">
      <c r="B319">
        <v>183</v>
      </c>
    </row>
    <row r="320" spans="2:2" x14ac:dyDescent="0.45">
      <c r="B320">
        <v>83</v>
      </c>
    </row>
    <row r="321" spans="2:2" x14ac:dyDescent="0.45">
      <c r="B321">
        <v>36</v>
      </c>
    </row>
    <row r="322" spans="2:2" x14ac:dyDescent="0.45">
      <c r="B322">
        <v>8</v>
      </c>
    </row>
    <row r="323" spans="2:2" x14ac:dyDescent="0.45">
      <c r="B323">
        <v>837</v>
      </c>
    </row>
    <row r="324" spans="2:2" x14ac:dyDescent="0.45">
      <c r="B324">
        <v>0</v>
      </c>
    </row>
    <row r="325" spans="2:2" x14ac:dyDescent="0.45">
      <c r="B325">
        <v>0</v>
      </c>
    </row>
    <row r="326" spans="2:2" x14ac:dyDescent="0.45">
      <c r="B326">
        <v>0</v>
      </c>
    </row>
    <row r="327" spans="2:2" x14ac:dyDescent="0.45">
      <c r="B327">
        <v>0</v>
      </c>
    </row>
    <row r="328" spans="2:2" x14ac:dyDescent="0.45">
      <c r="B328">
        <v>0</v>
      </c>
    </row>
    <row r="329" spans="2:2" x14ac:dyDescent="0.45">
      <c r="B329">
        <v>0</v>
      </c>
    </row>
    <row r="330" spans="2:2" x14ac:dyDescent="0.45">
      <c r="B330">
        <v>0</v>
      </c>
    </row>
    <row r="331" spans="2:2" x14ac:dyDescent="0.45">
      <c r="B331">
        <v>0</v>
      </c>
    </row>
    <row r="332" spans="2:2" x14ac:dyDescent="0.45">
      <c r="B332">
        <v>1163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8D415848-3AD7-42B1-A1FC-7F2BF8BDF6CF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49</vt:i4>
      </vt:variant>
    </vt:vector>
  </HeadingPairs>
  <TitlesOfParts>
    <vt:vector size="56" baseType="lpstr">
      <vt:lpstr>Описание</vt:lpstr>
      <vt:lpstr>Исходные данные</vt:lpstr>
      <vt:lpstr>Сеть</vt:lpstr>
      <vt:lpstr>Результаты</vt:lpstr>
      <vt:lpstr>ModelRiskDSN</vt:lpstr>
      <vt:lpstr>ModelRiskSYS1</vt:lpstr>
      <vt:lpstr>ModelRiskCharts</vt:lpstr>
      <vt:lpstr>Checks</vt:lpstr>
      <vt:lpstr>ContractWeeks</vt:lpstr>
      <vt:lpstr>Crit_A</vt:lpstr>
      <vt:lpstr>Crit_B</vt:lpstr>
      <vt:lpstr>Crit_C</vt:lpstr>
      <vt:lpstr>Crit_D</vt:lpstr>
      <vt:lpstr>Crit_E</vt:lpstr>
      <vt:lpstr>Crit_F</vt:lpstr>
      <vt:lpstr>Crit_G</vt:lpstr>
      <vt:lpstr>Crit_H</vt:lpstr>
      <vt:lpstr>Crit_I</vt:lpstr>
      <vt:lpstr>Crit_J</vt:lpstr>
      <vt:lpstr>Crit_K</vt:lpstr>
      <vt:lpstr>Crit_L</vt:lpstr>
      <vt:lpstr>Crit_M</vt:lpstr>
      <vt:lpstr>Crit_N</vt:lpstr>
      <vt:lpstr>Crit_O</vt:lpstr>
      <vt:lpstr>Det_Mean</vt:lpstr>
      <vt:lpstr>Det_ML</vt:lpstr>
      <vt:lpstr>DetCrit</vt:lpstr>
      <vt:lpstr>Dur_A</vt:lpstr>
      <vt:lpstr>Dur_B</vt:lpstr>
      <vt:lpstr>Dur_C</vt:lpstr>
      <vt:lpstr>Dur_D</vt:lpstr>
      <vt:lpstr>Dur_E</vt:lpstr>
      <vt:lpstr>Dur_F</vt:lpstr>
      <vt:lpstr>Dur_G</vt:lpstr>
      <vt:lpstr>Dur_H</vt:lpstr>
      <vt:lpstr>Dur_I</vt:lpstr>
      <vt:lpstr>Dur_J</vt:lpstr>
      <vt:lpstr>Dur_K</vt:lpstr>
      <vt:lpstr>Dur_L</vt:lpstr>
      <vt:lpstr>Dur_M</vt:lpstr>
      <vt:lpstr>Dur_N</vt:lpstr>
      <vt:lpstr>Dur_O</vt:lpstr>
      <vt:lpstr>Finish</vt:lpstr>
      <vt:lpstr>FinishDate</vt:lpstr>
      <vt:lpstr>Flood</vt:lpstr>
      <vt:lpstr>Flood_Hi</vt:lpstr>
      <vt:lpstr>Flood_Lo</vt:lpstr>
      <vt:lpstr>Flood_Mean</vt:lpstr>
      <vt:lpstr>Flood_ML</vt:lpstr>
      <vt:lpstr>InputMeans</vt:lpstr>
      <vt:lpstr>MeetsContract</vt:lpstr>
      <vt:lpstr>Results!Print_Area</vt:lpstr>
      <vt:lpstr>Inputs!Print_Titles</vt:lpstr>
      <vt:lpstr>Results!Print_Titles</vt:lpstr>
      <vt:lpstr>Prob_Flood</vt:lpstr>
      <vt:lpstr>StartDate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PC-03 Риски сроков на сетевом графике</dc:title>
  <dc:subject>Отраслевые примеры моделей МоделРиск — Проекты и строительство</dc:subject>
  <dc:creator>ООО «Стратегия Риска»</dc:creator>
  <cp:keywords>МоделРиск; Монте-Карло; проекты и строительство</cp:keywords>
  <dc:description>График замены моста, смоделированный на сети работ: дата завершения, индекс критичности и эффект слияния путей.</dc:description>
  <cp:lastModifiedBy>ООО «Стратегия Риска»</cp:lastModifiedBy>
  <cp:lastPrinted>2026-10-05T19:26:38Z</cp:lastPrinted>
  <dcterms:created xsi:type="dcterms:W3CDTF">2026-10-05T19:21:37Z</dcterms:created>
  <dcterms:modified xsi:type="dcterms:W3CDTF">2026-10-05T19:26:40Z</dcterms:modified>
</cp:coreProperties>
</file>