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B6771690-76D9-4081-8DA9-E1374A9DD7D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Реестр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seCost">'Исходные данные'!$D$11</definedName>
    <definedName name="Checks">'Реестр'!$E$61:$E$61</definedName>
    <definedName name="Confidence">'Исходные данные'!$D$18</definedName>
    <definedName name="Cost_O1">'Реестр'!$F$43</definedName>
    <definedName name="Cost_O2">'Реестр'!$F$44</definedName>
    <definedName name="Cost_O3">'Реестр'!$F$45</definedName>
    <definedName name="Cost_T1">'Реестр'!$F$31</definedName>
    <definedName name="Cost_T10">'Реестр'!$F$40</definedName>
    <definedName name="Cost_T11">'Реестр'!$F$41</definedName>
    <definedName name="Cost_T12">'Реестр'!$F$42</definedName>
    <definedName name="Cost_T2">'Реестр'!$F$32</definedName>
    <definedName name="Cost_T3">'Реестр'!$F$33</definedName>
    <definedName name="Cost_T4">'Реестр'!$F$34</definedName>
    <definedName name="Cost_T5">'Реестр'!$F$35</definedName>
    <definedName name="Cost_T6">'Реестр'!$F$36</definedName>
    <definedName name="Cost_T7">'Реестр'!$F$37</definedName>
    <definedName name="Cost_T8">'Реестр'!$F$38</definedName>
    <definedName name="Cost_T9">'Реестр'!$F$39</definedName>
    <definedName name="Delay">'Реестр'!$E$52</definedName>
    <definedName name="DelayCost">'Реестр'!$E$54</definedName>
    <definedName name="DirectRisk">'Реестр'!$E$51</definedName>
    <definedName name="EV_Cost">'Реестр'!$K$25</definedName>
    <definedName name="EV_Delay">'Реестр'!$L$25</definedName>
    <definedName name="Float">'Исходные данные'!$D$12</definedName>
    <definedName name="Happens">'Реестр'!$D$31:$D$45</definedName>
    <definedName name="Kind">'Реестр'!$M$10:$M$24</definedName>
    <definedName name="OnTime">'Реестр'!$E$56</definedName>
    <definedName name="_xlnm.Print_Area" localSheetId="3">'Результаты'!$A$1:$R$53</definedName>
    <definedName name="_xlnm.Print_Titles" localSheetId="1">'Исходные данные'!$1:$4</definedName>
    <definedName name="_xlnm.Print_Titles" localSheetId="3">'Результаты'!$1:$4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hreats">'Реестр'!$E$57</definedName>
    <definedName name="TotalRisk">'Реестр'!$E$55</definedName>
    <definedName name="WeeklyCost">'Исходные данные'!$D$13</definedName>
    <definedName name="WeeksLate">'Реестр'!$E$53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8" i="4" l="1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D15" i="4"/>
  <c r="E61" i="3"/>
  <c r="B7" i="4"/>
  <c r="C45" i="3"/>
  <c r="B45" i="3"/>
  <c r="C44" i="3"/>
  <c r="B44" i="3"/>
  <c r="C43" i="3"/>
  <c r="B43" i="3"/>
  <c r="C42" i="3"/>
  <c r="B42" i="3"/>
  <c r="C41" i="3"/>
  <c r="B41" i="3"/>
  <c r="C40" i="3"/>
  <c r="B40" i="3"/>
  <c r="C39" i="3"/>
  <c r="B39" i="3"/>
  <c r="C38" i="3"/>
  <c r="B38" i="3"/>
  <c r="C37" i="3"/>
  <c r="B37" i="3"/>
  <c r="C36" i="3"/>
  <c r="B36" i="3"/>
  <c r="C35" i="3"/>
  <c r="B35" i="3"/>
  <c r="C34" i="3"/>
  <c r="B34" i="3"/>
  <c r="C33" i="3"/>
  <c r="B33" i="3"/>
  <c r="C32" i="3"/>
  <c r="B32" i="3"/>
  <c r="C31" i="3"/>
  <c r="B31" i="3"/>
  <c r="M24" i="3"/>
  <c r="L24" i="3"/>
  <c r="K24" i="3"/>
  <c r="M23" i="3"/>
  <c r="L23" i="3"/>
  <c r="K23" i="3"/>
  <c r="M22" i="3"/>
  <c r="L22" i="3"/>
  <c r="K22" i="3"/>
  <c r="M21" i="3"/>
  <c r="L21" i="3"/>
  <c r="K21" i="3"/>
  <c r="M20" i="3"/>
  <c r="L20" i="3"/>
  <c r="K20" i="3"/>
  <c r="M19" i="3"/>
  <c r="L19" i="3"/>
  <c r="K19" i="3"/>
  <c r="M18" i="3"/>
  <c r="L18" i="3"/>
  <c r="K18" i="3"/>
  <c r="M17" i="3"/>
  <c r="L17" i="3"/>
  <c r="K17" i="3"/>
  <c r="M16" i="3"/>
  <c r="L16" i="3"/>
  <c r="K16" i="3"/>
  <c r="M15" i="3"/>
  <c r="L15" i="3"/>
  <c r="L25" i="3" s="1"/>
  <c r="K15" i="3"/>
  <c r="M14" i="3"/>
  <c r="L14" i="3"/>
  <c r="K14" i="3"/>
  <c r="M13" i="3"/>
  <c r="L13" i="3"/>
  <c r="K13" i="3"/>
  <c r="M12" i="3"/>
  <c r="L12" i="3"/>
  <c r="K12" i="3"/>
  <c r="M11" i="3"/>
  <c r="L11" i="3"/>
  <c r="K11" i="3"/>
  <c r="M10" i="3"/>
  <c r="L10" i="3"/>
  <c r="K10" i="3"/>
  <c r="K25" i="3" s="1"/>
  <c r="D12" i="4" s="1"/>
  <c r="D42" i="3" a="1"/>
  <c r="D40" i="3" a="1"/>
  <c r="D41" i="3" a="1"/>
  <c r="D35" i="3" a="1"/>
  <c r="D36" i="3" a="1"/>
  <c r="D37" i="3" a="1"/>
  <c r="D31" i="3" a="1"/>
  <c r="D38" i="3" a="1"/>
  <c r="D34" i="3" a="1"/>
  <c r="D32" i="3" a="1"/>
  <c r="D33" i="3" a="1"/>
  <c r="E42" i="3" a="1"/>
  <c r="E45" i="3" a="1"/>
  <c r="E43" i="3" a="1"/>
  <c r="E44" i="3" a="1"/>
  <c r="E38" i="3" a="1"/>
  <c r="D44" i="3" a="1"/>
  <c r="D45" i="3" a="1"/>
  <c r="D43" i="3" a="1"/>
  <c r="E41" i="3" a="1"/>
  <c r="E39" i="3" a="1"/>
  <c r="E40" i="3" a="1"/>
  <c r="E34" i="3" a="1"/>
  <c r="E37" i="3" a="1"/>
  <c r="E35" i="3" a="1"/>
  <c r="E36" i="3" a="1"/>
  <c r="D39" i="3" a="1"/>
  <c r="E33" i="3" a="1"/>
  <c r="E31" i="3" a="1"/>
  <c r="E32" i="3" a="1"/>
  <c r="E32" i="3" l="1"/>
  <c r="E31" i="3"/>
  <c r="E33" i="3"/>
  <c r="D39" i="3"/>
  <c r="E36" i="3"/>
  <c r="E35" i="3"/>
  <c r="E37" i="3"/>
  <c r="E34" i="3"/>
  <c r="E40" i="3"/>
  <c r="E39" i="3"/>
  <c r="E41" i="3"/>
  <c r="D43" i="3"/>
  <c r="D45" i="3"/>
  <c r="D44" i="3"/>
  <c r="E38" i="3"/>
  <c r="E44" i="3"/>
  <c r="E43" i="3"/>
  <c r="E45" i="3"/>
  <c r="E42" i="3"/>
  <c r="D33" i="3"/>
  <c r="D32" i="3"/>
  <c r="D34" i="3"/>
  <c r="D38" i="3"/>
  <c r="D31" i="3"/>
  <c r="D37" i="3"/>
  <c r="D36" i="3"/>
  <c r="D35" i="3"/>
  <c r="D41" i="3"/>
  <c r="D40" i="3"/>
  <c r="D42" i="3"/>
  <c r="D46" i="3" l="1"/>
  <c r="E57" i="3" a="1"/>
  <c r="E57" i="3" s="1"/>
  <c r="G45" i="3" a="1"/>
  <c r="G45" i="3" s="1"/>
  <c r="G43" i="3" a="1"/>
  <c r="G43" i="3" s="1"/>
  <c r="G35" i="3" a="1"/>
  <c r="G35" i="3" s="1"/>
  <c r="G26" i="4" a="1"/>
  <c r="F26" i="4" a="1"/>
  <c r="E26" i="4" a="1"/>
  <c r="D26" i="4" a="1"/>
  <c r="G31" i="3" a="1"/>
  <c r="F34" i="3" a="1"/>
  <c r="G39" i="3" a="1"/>
  <c r="F39" i="3" a="1"/>
  <c r="G44" i="3" a="1"/>
  <c r="G38" i="3" a="1"/>
  <c r="F40" i="3" a="1"/>
  <c r="F33" i="3" a="1"/>
  <c r="F43" i="3" a="1"/>
  <c r="G37" i="3" a="1"/>
  <c r="F31" i="3" a="1"/>
  <c r="G34" i="3" a="1"/>
  <c r="F45" i="3" a="1"/>
  <c r="F41" i="3" a="1"/>
  <c r="G40" i="3" a="1"/>
  <c r="G36" i="3" a="1"/>
  <c r="F42" i="3" a="1"/>
  <c r="F44" i="3" a="1"/>
  <c r="G41" i="3" a="1"/>
  <c r="F35" i="3" a="1"/>
  <c r="F36" i="3" a="1"/>
  <c r="G32" i="3" a="1"/>
  <c r="F37" i="3" a="1"/>
  <c r="G33" i="3" a="1"/>
  <c r="F38" i="3" a="1"/>
  <c r="G42" i="3" a="1"/>
  <c r="F32" i="3" a="1"/>
  <c r="D26" i="4" l="1"/>
  <c r="E26" i="4"/>
  <c r="F26" i="4"/>
  <c r="G26" i="4"/>
  <c r="F32" i="3"/>
  <c r="G42" i="3"/>
  <c r="F38" i="3"/>
  <c r="G33" i="3"/>
  <c r="F37" i="3"/>
  <c r="G32" i="3"/>
  <c r="F36" i="3"/>
  <c r="F35" i="3"/>
  <c r="G41" i="3"/>
  <c r="F44" i="3"/>
  <c r="F42" i="3"/>
  <c r="G36" i="3"/>
  <c r="G40" i="3"/>
  <c r="F41" i="3"/>
  <c r="F45" i="3"/>
  <c r="G34" i="3"/>
  <c r="F31" i="3"/>
  <c r="G37" i="3"/>
  <c r="F43" i="3"/>
  <c r="F33" i="3"/>
  <c r="F40" i="3"/>
  <c r="G38" i="3"/>
  <c r="G44" i="3"/>
  <c r="F39" i="3"/>
  <c r="G39" i="3"/>
  <c r="F34" i="3"/>
  <c r="G31" i="3"/>
  <c r="G46" i="3" l="1"/>
  <c r="E52" i="3" s="1" a="1"/>
  <c r="E52" i="3" s="1"/>
  <c r="F46" i="3"/>
  <c r="E51" i="3" s="1" a="1"/>
  <c r="E51" i="3" s="1"/>
  <c r="F24" i="4" a="1"/>
  <c r="E24" i="4" a="1"/>
  <c r="D24" i="4" a="1"/>
  <c r="G24" i="4" a="1"/>
  <c r="F23" i="4" a="1"/>
  <c r="E23" i="4" a="1"/>
  <c r="G23" i="4" a="1"/>
  <c r="D23" i="4" a="1"/>
  <c r="D23" i="4" l="1"/>
  <c r="G23" i="4"/>
  <c r="E23" i="4"/>
  <c r="F23" i="4"/>
  <c r="G24" i="4"/>
  <c r="D24" i="4"/>
  <c r="E24" i="4"/>
  <c r="F24" i="4"/>
  <c r="E56" i="3" a="1"/>
  <c r="E56" i="3" s="1"/>
  <c r="E53" i="3" a="1"/>
  <c r="E53" i="3" s="1"/>
  <c r="D28" i="4" a="1"/>
  <c r="F25" i="4" a="1"/>
  <c r="E25" i="4" a="1"/>
  <c r="D25" i="4" a="1"/>
  <c r="G25" i="4" a="1"/>
  <c r="G25" i="4" l="1"/>
  <c r="D25" i="4"/>
  <c r="E25" i="4"/>
  <c r="F25" i="4"/>
  <c r="D28" i="4"/>
  <c r="E54" i="3"/>
  <c r="E55" i="3" s="1" a="1"/>
  <c r="E55" i="3" s="1"/>
  <c r="D71" i="4" a="1"/>
  <c r="D13" i="4" a="1"/>
  <c r="D67" i="4" a="1"/>
  <c r="D101" i="4" a="1"/>
  <c r="D69" i="4" a="1"/>
  <c r="D59" i="4" a="1"/>
  <c r="D80" i="4" a="1"/>
  <c r="D103" i="4" a="1"/>
  <c r="D63" i="4" a="1"/>
  <c r="D86" i="4" a="1"/>
  <c r="D97" i="4" a="1"/>
  <c r="D65" i="4" a="1"/>
  <c r="B6" i="4" a="1"/>
  <c r="D76" i="4" a="1"/>
  <c r="D99" i="4" a="1"/>
  <c r="E22" i="4" a="1"/>
  <c r="D82" i="4" a="1"/>
  <c r="D105" i="4" a="1"/>
  <c r="D84" i="4" a="1"/>
  <c r="D22" i="4" a="1"/>
  <c r="D93" i="4" a="1"/>
  <c r="D108" i="4" a="1"/>
  <c r="D91" i="4" a="1"/>
  <c r="D78" i="4" a="1"/>
  <c r="D89" i="4" a="1"/>
  <c r="G22" i="4" a="1"/>
  <c r="D104" i="4" a="1"/>
  <c r="D68" i="4" a="1"/>
  <c r="D87" i="4" a="1"/>
  <c r="D106" i="4" a="1"/>
  <c r="D74" i="4" a="1"/>
  <c r="D85" i="4" a="1"/>
  <c r="D14" i="4" a="1"/>
  <c r="D100" i="4" a="1"/>
  <c r="D64" i="4" a="1"/>
  <c r="D83" i="4" a="1"/>
  <c r="D102" i="4" a="1"/>
  <c r="D70" i="4" a="1"/>
  <c r="D81" i="4" a="1"/>
  <c r="D96" i="4" a="1"/>
  <c r="D79" i="4" a="1"/>
  <c r="D73" i="4" a="1"/>
  <c r="D90" i="4" a="1"/>
  <c r="D61" i="4" a="1"/>
  <c r="D72" i="4" a="1"/>
  <c r="D107" i="4" a="1"/>
  <c r="D88" i="4" a="1"/>
  <c r="D60" i="4" a="1"/>
  <c r="D98" i="4" a="1"/>
  <c r="D66" i="4" a="1"/>
  <c r="B32" i="4" a="1"/>
  <c r="D110" i="4" a="1"/>
  <c r="D77" i="4" a="1"/>
  <c r="D95" i="4" a="1"/>
  <c r="D92" i="4" a="1"/>
  <c r="F22" i="4" a="1"/>
  <c r="D75" i="4" a="1"/>
  <c r="D94" i="4" a="1"/>
  <c r="D62" i="4" a="1"/>
  <c r="D62" i="4" l="1"/>
  <c r="D94" i="4"/>
  <c r="D75" i="4"/>
  <c r="F22" i="4"/>
  <c r="D92" i="4"/>
  <c r="D95" i="4"/>
  <c r="D77" i="4"/>
  <c r="D110" i="4"/>
  <c r="C33" i="4"/>
  <c r="B39" i="4"/>
  <c r="B119" i="4" s="1"/>
  <c r="E39" i="4"/>
  <c r="E32" i="4"/>
  <c r="D38" i="4"/>
  <c r="D33" i="4"/>
  <c r="E37" i="4"/>
  <c r="B42" i="4"/>
  <c r="B122" i="4" s="1"/>
  <c r="B34" i="4"/>
  <c r="B114" i="4" s="1"/>
  <c r="E46" i="4"/>
  <c r="D36" i="4"/>
  <c r="D45" i="4"/>
  <c r="E40" i="4"/>
  <c r="C38" i="4"/>
  <c r="B38" i="4"/>
  <c r="B118" i="4" s="1"/>
  <c r="B45" i="4"/>
  <c r="B125" i="4" s="1"/>
  <c r="E45" i="4"/>
  <c r="C44" i="4"/>
  <c r="C45" i="4"/>
  <c r="B37" i="4"/>
  <c r="B117" i="4" s="1"/>
  <c r="E44" i="4"/>
  <c r="E33" i="4"/>
  <c r="D34" i="4"/>
  <c r="C42" i="4"/>
  <c r="G122" i="4" s="1"/>
  <c r="D41" i="4"/>
  <c r="B40" i="4"/>
  <c r="B120" i="4" s="1"/>
  <c r="E35" i="4"/>
  <c r="C43" i="4"/>
  <c r="E43" i="4"/>
  <c r="E42" i="4"/>
  <c r="D39" i="4"/>
  <c r="D32" i="4"/>
  <c r="F112" i="4" s="1"/>
  <c r="C40" i="4"/>
  <c r="D35" i="4"/>
  <c r="B32" i="4"/>
  <c r="B112" i="4" s="1"/>
  <c r="C41" i="4"/>
  <c r="B43" i="4"/>
  <c r="B123" i="4" s="1"/>
  <c r="B35" i="4"/>
  <c r="B115" i="4" s="1"/>
  <c r="D46" i="4"/>
  <c r="C46" i="4"/>
  <c r="G126" i="4" s="1"/>
  <c r="B46" i="4"/>
  <c r="B126" i="4" s="1"/>
  <c r="C39" i="4"/>
  <c r="E38" i="4"/>
  <c r="D44" i="4"/>
  <c r="E41" i="4"/>
  <c r="C36" i="4"/>
  <c r="C37" i="4"/>
  <c r="B41" i="4"/>
  <c r="B121" i="4" s="1"/>
  <c r="B33" i="4"/>
  <c r="B113" i="4" s="1"/>
  <c r="E36" i="4"/>
  <c r="D42" i="4"/>
  <c r="D43" i="4"/>
  <c r="C34" i="4"/>
  <c r="B44" i="4"/>
  <c r="B124" i="4" s="1"/>
  <c r="B36" i="4"/>
  <c r="B116" i="4" s="1"/>
  <c r="C35" i="4"/>
  <c r="G115" i="4" s="1"/>
  <c r="E34" i="4"/>
  <c r="D40" i="4"/>
  <c r="D37" i="4"/>
  <c r="C32" i="4"/>
  <c r="D66" i="4"/>
  <c r="D98" i="4"/>
  <c r="D60" i="4"/>
  <c r="D88" i="4"/>
  <c r="D107" i="4"/>
  <c r="D72" i="4"/>
  <c r="D61" i="4"/>
  <c r="D90" i="4"/>
  <c r="D73" i="4"/>
  <c r="D79" i="4"/>
  <c r="D96" i="4"/>
  <c r="D81" i="4"/>
  <c r="D70" i="4"/>
  <c r="D102" i="4"/>
  <c r="D83" i="4"/>
  <c r="D64" i="4"/>
  <c r="D100" i="4"/>
  <c r="D14" i="4"/>
  <c r="D85" i="4"/>
  <c r="D74" i="4"/>
  <c r="D106" i="4"/>
  <c r="D87" i="4"/>
  <c r="D68" i="4"/>
  <c r="D104" i="4"/>
  <c r="G22" i="4"/>
  <c r="D89" i="4"/>
  <c r="D78" i="4"/>
  <c r="D91" i="4"/>
  <c r="D108" i="4"/>
  <c r="D93" i="4"/>
  <c r="D22" i="4"/>
  <c r="D84" i="4"/>
  <c r="D105" i="4"/>
  <c r="D82" i="4"/>
  <c r="E22" i="4"/>
  <c r="D99" i="4"/>
  <c r="D76" i="4"/>
  <c r="B6" i="4"/>
  <c r="D65" i="4"/>
  <c r="D97" i="4"/>
  <c r="D86" i="4"/>
  <c r="D63" i="4"/>
  <c r="D103" i="4"/>
  <c r="D80" i="4"/>
  <c r="D59" i="4"/>
  <c r="D69" i="4"/>
  <c r="D101" i="4"/>
  <c r="D67" i="4"/>
  <c r="D13" i="4"/>
  <c r="D71" i="4"/>
  <c r="F123" i="4" l="1"/>
  <c r="G121" i="4"/>
  <c r="G112" i="4"/>
  <c r="F124" i="4"/>
  <c r="G123" i="4"/>
  <c r="F125" i="4"/>
  <c r="F117" i="4"/>
  <c r="F122" i="4"/>
  <c r="G117" i="4"/>
  <c r="F126" i="4"/>
  <c r="F119" i="4"/>
  <c r="F114" i="4"/>
  <c r="D17" i="4"/>
  <c r="D16" i="4"/>
  <c r="G116" i="4"/>
  <c r="G118" i="4"/>
  <c r="F113" i="4"/>
  <c r="G114" i="4"/>
  <c r="F118" i="4"/>
  <c r="G125" i="4"/>
  <c r="F116" i="4"/>
  <c r="F120" i="4"/>
  <c r="G119" i="4"/>
  <c r="F115" i="4"/>
  <c r="G124" i="4"/>
  <c r="G120" i="4"/>
  <c r="F121" i="4"/>
  <c r="G11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<sst xmlns="http://schemas.openxmlformats.org/spreadsheetml/2006/main" count="308" uniqueCount="256">
  <si>
    <t xml:space="preserve">Реестр рисков: угрозы и возможности</t>
  </si>
  <si>
    <t xml:space="preserve">Пример МоделРиск  ·  Проекты и строительство  ·  PC-02</t>
  </si>
  <si>
    <t xml:space="preserve">Какой резерв на риски нужен для пристройки к больнице?  Реестр рисков в деньгах и неделях.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</si>
  <si>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</si>
  <si>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</si>
  <si>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</si>
  <si>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</si>
  <si>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</si>
  <si>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★★☆☆☆   Реестр рисков превращается в модель: рисковые события со связанными последствиями для стоимости и сроков.</t>
  </si>
  <si>
    <t xml:space="preserve">Вопрос бизнеса</t>
  </si>
  <si>
    <t xml:space="preserve">В реестре рисков проекта двенадцать угроз и три возможности, у каждой — вероятность и последствия для стоимости и сроков. Какой резерв нужен, чтобы покрыть их с надежностью 80%, насколько вероятно уложиться в резерв времени и какие риски важнее всего?</t>
  </si>
  <si>
    <t xml:space="preserve">Для кого</t>
  </si>
  <si>
    <t xml:space="preserve">Руководителям проектов, риск-менеджерам, специалистам по стоимости и заказчикам проектов.</t>
  </si>
  <si>
    <t xml:space="preserve">Основные результаты</t>
  </si>
  <si>
    <t xml:space="preserve">Резерв на риски на выбранном уровне надежности в сравнении с ожидаемым значением реестра · общая стоимость рисков с учетом стоимости задержки сверх резерва времени · задержка и вероятность уложиться в резерв времени · риски, которые определяют подверженность.</t>
  </si>
  <si>
    <t xml:space="preserve">Приемы МоделРиск</t>
  </si>
  <si>
    <t xml:space="preserve">Рисковые события из двух выборок: реализуется ли риск (VoseBernoulli) и насколько тяжело (VoseUniform), общая для затрат и задержки (аргумент U функции VosePERT), чтобы они наступали вместе и плохой случай был плохим по обоим параметрам · возможности как отрицательные последствия · затраты, зависящие от срока, сверх резерва времени · рейтинг рисков «торнадо».</t>
  </si>
  <si>
    <t xml:space="preserve">Файл</t>
  </si>
  <si>
    <t xml:space="preserve">PC-02 Реестр рисков: угрозы и возможности  ·  Версия 1.0  ·  Ноябрь 2026  ·  создано в МоделРиск</t>
  </si>
  <si>
    <t xml:space="preserve">Вопрос бизнеса</t>
  </si>
  <si>
    <t xml:space="preserve">Базовая оценка пристройки к больнице — 85 млн долл., график — 104 недели с восемью неделями резерва времени. Как и у любого проекта, есть реестр рисков: загрязненный грунт, перекладка газопровода, изменения проекта, асбест, дефицит рабочих и несколько возможностей, например оптимизация фасада. У каждой записи есть вероятность и диапазон затрат и задержки, если риск реализуется. Сумма «вероятность × последствия» дает ожидаемое значение реестра, но резерва, равного этому среднему, чаще всего не хватает: в реальном проекте одни риски реализуются полностью, а другие не реализуются вовсе. Модель превращает каждую запись в рисковое событие, связывает его затраты и задержку, чтобы они наступали вместе, добавляет стоимость задержки и моделирует реестр. Результат — резерв на уровне надежности, нужном заказчику, и вероятность закончить вовремя.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</si>
  <si>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</si>
  <si>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</si>
  <si>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</si>
  <si>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Базовая стоимость и график, к которым добавляются риски, резерв времени в графике, стоимость недели задержки (содержание стройплощадки, накладные расходы, инфляция) и уровень надежности для резерва.</t>
  </si>
  <si>
    <t xml:space="preserve">2  Реестр</t>
  </si>
  <si>
    <t xml:space="preserve">У каждого риска есть вероятность и трехточечные диапазоны затрат и задержки; у возможностей последствия отрицательные. В каждой итерации VoseBernoulli решает, реализуется ли риск, а VoseUniform — насколько тяжело: одна и та же выборка задает положение и затрат, и задержки в их диапазонах (аргумент U функции VosePERT), поэтому большие затраты идут вместе с долгой задержкой. Задержки суммируются так, будто каждая попадает на критический путь.</t>
  </si>
  <si>
    <t xml:space="preserve">3  Результаты</t>
  </si>
  <si>
    <t xml:space="preserve">Общая стоимость рисков — прямые затраты плюс стоимость задержки сверх резерва времени — на выбранном уровне надежности в сравнении с ожидаемым значением реестра; задержка в сравнении с резервом времени; «торнадо» рисков, определяющих итог.</t>
  </si>
  <si>
    <t xml:space="preserve">Как пользоваться моделью</t>
  </si>
  <si>
    <t xml:space="preserve">Шаг 1</t>
  </si>
  <si>
    <t xml:space="preserve">Замените реестр на листе «Реестр» своими рисками: вероятность, диапазон затрат и диапазон задержки.</t>
  </si>
  <si>
    <t xml:space="preserve">Шаг 2</t>
  </si>
  <si>
    <t xml:space="preserve">Задайте на листе «Исходные данные» базовую стоимость и график, резерв времени, стоимость недели задержки и уровень надежности.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</si>
  <si>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</si>
  <si>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</si>
  <si>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</si>
  <si>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По «торнадо» решите, где меры реагирования окупятся, затем обновите реестр и запустите моделирование снова.</t>
  </si>
  <si>
    <t xml:space="preserve">Структура модели</t>
  </si>
  <si>
    <t xml:space="preserve">Исходные данные</t>
  </si>
  <si>
    <t xml:space="preserve">Базовая стоимость и график, резерв времени, стоимость задержки, уровень надежности резерва.</t>
  </si>
  <si>
    <t xml:space="preserve">Реестр</t>
  </si>
  <si>
    <t xml:space="preserve">Пятнадцать рисков с диапазонами и ожидаемыми значениями; исход в этой итерации; итоги и проверки.</t>
  </si>
  <si>
    <t xml:space="preserve">Результаты</t>
  </si>
  <si>
    <t xml:space="preserve">Резерв на риски, S-кривая, прогноз по срокам и рейтинг рисков.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</si>
  <si>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</si>
  <si>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</si>
  <si>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</si>
  <si>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</si>
  <si>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</si>
  <si>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</si>
  <si>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</si>
  <si>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</si>
  <si>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</si>
  <si>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</si>
  <si>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</si>
  <si>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</si>
  <si>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</si>
  <si>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долл.).</t>
  </si>
  <si>
    <t xml:space="preserve">Время</t>
  </si>
  <si>
    <t xml:space="preserve">Недели задержки завершения; первые недели поглощает резерв времени в графике.</t>
  </si>
  <si>
    <t xml:space="preserve">Угрозы и возможности</t>
  </si>
  <si>
    <t xml:space="preserve">У угроз последствия положительные (больше затрат, больше времени), у возможностей — отрицательные.</t>
  </si>
  <si>
    <t xml:space="preserve">Ожидаемое значение</t>
  </si>
  <si>
    <t xml:space="preserve">Вероятность × среднее последствие, сумма по реестру: среднее, а не резерв.</t>
  </si>
  <si>
    <t xml:space="preserve">Основные допущения и ограничения</t>
  </si>
  <si>
    <t xml:space="preserve">Критический путь</t>
  </si>
  <si>
    <t xml:space="preserve">Каждая задержка добавляется к сроку завершения так, будто все риски попадают на критический путь: результаты по срокам — верхняя граница. Модель PC-03 вместо этого использует логику сетевого графика.</t>
  </si>
  <si>
    <t xml:space="preserve">Независимость</t>
  </si>
  <si>
    <t xml:space="preserve">Риски независимы друг от друга; внутри риска затраты и задержка полностью связаны.</t>
  </si>
  <si>
    <t xml:space="preserve">Стоимость задержки</t>
  </si>
  <si>
    <t xml:space="preserve">Деньги стоят только недели сверх резерва времени: первые недели и их затраты, зависящие от срока, поглощает резерв. Каждая неделя сверх него стоит одинаково, независимо от причины.</t>
  </si>
  <si>
    <t xml:space="preserve">Данные</t>
  </si>
  <si>
    <t xml:space="preserve">Проект, реестр и все цифры придуманы для этого примера.</t>
  </si>
  <si>
    <t xml:space="preserve">Функции МоделРиск в модели</t>
  </si>
  <si>
    <t>VoseBernoulli</t>
  </si>
  <si>
    <t xml:space="preserve">Реализуется ли каждый риск.</t>
  </si>
  <si>
    <t>VoseUniform, VosePERT</t>
  </si>
  <si>
    <t xml:space="preserve">Насколько тяжело: одна выборка, которая передается как аргумент U в распределения PERT затрат и задержки, чтобы они менялись вместе.</t>
  </si>
  <si>
    <t>VoseInput, VoseOutput</t>
  </si>
  <si>
    <t xml:space="preserve">Задают имена затрат каждого риска и итогов для окна просмотра результатов и анализа чувствительности.</t>
  </si>
  <si>
    <t>VoseSimMean, VoseSimPercentile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</si>
  <si>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</si>
  <si>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</si>
  <si>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риски по тому, насколько меняется средняя общая стоимость рисков в пределах диапазона их затрат.</t>
  </si>
  <si>
    <t xml:space="preserve">Что почитать</t>
  </si>
  <si>
    <t xml:space="preserve">Реестры рисков</t>
  </si>
  <si>
    <t>Hillson, D. and Simon, P. (2020). Practical Project Risk Management: The ATOM Methodology, 3rd edition. Berrett-Koehler.</t>
  </si>
  <si>
    <t xml:space="preserve">Резерв</t>
  </si>
  <si>
    <t>AACE International (2011). Recommended Practice 65R-11: Integrated Cost and Schedule Risk Analysis and Contingency Determination Using Expected Value.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</si>
  <si>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</si>
  <si>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Базовая оценка, резерв времени, стоимость задержки и уровень надежности. Сам реестр рисков — на листе «Реестр». Меняйте только желтые ячейки.</t>
  </si>
  <si>
    <t xml:space="preserve">◂  Описание</t>
  </si>
  <si>
    <t xml:space="preserve">Далее:  Реестр  ▸</t>
  </si>
  <si>
    <t xml:space="preserve">Как читать этот лист:  желтые ячейки — исходные данные.</t>
  </si>
  <si>
    <t xml:space="preserve">1   Проект</t>
  </si>
  <si>
    <t xml:space="preserve">База, к которой добавляются риски.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</si>
  <si>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</si>
  <si>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</si>
  <si>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</si>
  <si>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</si>
  <si>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</si>
  <si>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Базовая оценка  (без резерва на риски)</t>
  </si>
  <si>
    <t xml:space="preserve">млн долл.</t>
  </si>
  <si>
    <t xml:space="preserve">Константа</t>
  </si>
  <si>
    <t xml:space="preserve">Утвержденная смета, стадия П.</t>
  </si>
  <si>
    <t xml:space="preserve">Резерв времени в графике</t>
  </si>
  <si>
    <t xml:space="preserve">нед.</t>
  </si>
  <si>
    <t xml:space="preserve">Резерв времени, уже заложенный в 104-недельный график.</t>
  </si>
  <si>
    <t xml:space="preserve">Стоимость недели задержки сверх резерва времени</t>
  </si>
  <si>
    <t xml:space="preserve">млн долл. в неделю</t>
  </si>
  <si>
    <t xml:space="preserve">Содержание стройплощадки, накладные расходы и инфляция на оставшиеся работы.</t>
  </si>
  <si>
    <t xml:space="preserve">2   Политика резервирования</t>
  </si>
  <si>
    <t xml:space="preserve">Уровень надежности, который заказчик хочет для резерва на риски.</t>
  </si>
  <si>
    <t xml:space="preserve">Уровень надежности для резерва</t>
  </si>
  <si>
    <t xml:space="preserve">вероятность</t>
  </si>
  <si>
    <t xml:space="preserve">P80 часто используют в государственных проектах на стадии обоснования инвестиций.</t>
  </si>
  <si>
    <t xml:space="preserve">РЕЕСТР   ·   Пятнадцать рисков с вероятностями и последствиями и что происходит с каждым в этой итерации.</t>
  </si>
  <si>
    <t xml:space="preserve">◂  Исходные данные</t>
  </si>
  <si>
    <t xml:space="preserve">Далее:  Результаты  ▸</t>
  </si>
  <si>
    <t xml:space="preserve">1   Реестр рисков</t>
  </si>
  <si>
    <t xml:space="preserve">Желтые ячейки — исходные данные. У возможностей последствия отрицательные (экономия).</t>
  </si>
  <si>
    <t xml:space="preserve">№</t>
  </si>
  <si>
    <t xml:space="preserve">Риск</t>
  </si>
  <si>
    <t xml:space="preserve">Вероятность</t>
  </si>
  <si>
    <t xml:space="preserve">Затраты при реализации  (млн долл.)</t>
  </si>
  <si>
    <t xml:space="preserve">Задержка  (нед.)</t>
  </si>
  <si>
    <t xml:space="preserve">Ожидаемое</t>
  </si>
  <si>
    <t xml:space="preserve">Вид</t>
  </si>
  <si>
    <t xml:space="preserve">Владелец · мера реагирования</t>
  </si>
  <si>
    <t xml:space="preserve">Мин.</t>
  </si>
  <si>
    <t xml:space="preserve">Наиболее вероятное</t>
  </si>
  <si>
    <t xml:space="preserve">Макс.</t>
  </si>
  <si>
    <t xml:space="preserve">стоимость</t>
  </si>
  <si>
    <t xml:space="preserve">задержка</t>
  </si>
  <si>
    <t>T1</t>
  </si>
  <si>
    <t xml:space="preserve">Загрязненный грунт при разработке котлована</t>
  </si>
  <si>
    <t xml:space="preserve">Подрядчик · дополнительные скважины до тендера</t>
  </si>
  <si>
    <t>T2</t>
  </si>
  <si>
    <t xml:space="preserve">Перекладка газопровода дольше плана</t>
  </si>
  <si>
    <t xml:space="preserve">Заказчик · раннее взаимодействие с газовой компанией</t>
  </si>
  <si>
    <t>T3</t>
  </si>
  <si>
    <t xml:space="preserve">Изменения проекта заказчиком после стадии П</t>
  </si>
  <si>
    <t xml:space="preserve">Заказчик · заморозка проекта и контроль изменений</t>
  </si>
  <si>
    <t>T4</t>
  </si>
  <si>
    <t xml:space="preserve">Асбест в существующем здании</t>
  </si>
  <si>
    <t xml:space="preserve">Подрядчик · обследование перед реконструкцией</t>
  </si>
  <si>
    <t>T5</t>
  </si>
  <si>
    <t xml:space="preserve">Рост цен на медицинское оборудование</t>
  </si>
  <si>
    <t xml:space="preserve">Заказчик · фиксация цен с поставщиком</t>
  </si>
  <si>
    <t>T6</t>
  </si>
  <si>
    <t xml:space="preserve">Условие разрешения требует археологических работ</t>
  </si>
  <si>
    <t xml:space="preserve">Заказчик · архивное исследование сейчас</t>
  </si>
  <si>
    <t>T7</t>
  </si>
  <si>
    <t xml:space="preserve">Нехватка монтажников инженерных систем</t>
  </si>
  <si>
    <t xml:space="preserve">Подрядчик · ранний выбор субподрядчика</t>
  </si>
  <si>
    <t>T8</t>
  </si>
  <si>
    <t xml:space="preserve">Дождливая зима останавливает земляные работы</t>
  </si>
  <si>
    <t xml:space="preserve">Подрядчик · земляные работы на лето</t>
  </si>
  <si>
    <t>T9</t>
  </si>
  <si>
    <t xml:space="preserve">Банкротство ключевого субподрядчика</t>
  </si>
  <si>
    <t xml:space="preserve">Подрядчик · проверка финансового состояния, гарантии</t>
  </si>
  <si>
    <t>T10</t>
  </si>
  <si>
    <t xml:space="preserve">Дефекты при пусконаладке медицинских газов</t>
  </si>
  <si>
    <t xml:space="preserve">Подрядчик · испытания в присутствии заказчика</t>
  </si>
  <si>
    <t>T11</t>
  </si>
  <si>
    <t xml:space="preserve">Работа больницы ограничивает часы работ</t>
  </si>
  <si>
    <t xml:space="preserve">Заказчик · согласовать окна для работ</t>
  </si>
  <si>
    <t>T12</t>
  </si>
  <si>
    <t xml:space="preserve">Повторное согласование противопожарных решений</t>
  </si>
  <si>
    <t xml:space="preserve">Проектировщик · ранняя проверка в надзорном органе</t>
  </si>
  <si>
    <t>O1</t>
  </si>
  <si>
    <t xml:space="preserve">Оптимизация фасада</t>
  </si>
  <si>
    <t xml:space="preserve">Проектировщик · альтернативная система облицовки</t>
  </si>
  <si>
    <t>O2</t>
  </si>
  <si>
    <t xml:space="preserve">Ранний доступ к стройгородку</t>
  </si>
  <si>
    <t xml:space="preserve">Заказчик · договориться со службой эксплуатации</t>
  </si>
  <si>
    <t>O3</t>
  </si>
  <si>
    <t xml:space="preserve">Рамочное соглашение об оптовых закупках</t>
  </si>
  <si>
    <t xml:space="preserve">Подрядчик · использовать региональное рамочное соглашение</t>
  </si>
  <si>
    <t xml:space="preserve">Ожидаемое значение реестра</t>
  </si>
  <si>
    <t xml:space="preserve">2   Эта итерация</t>
  </si>
  <si>
    <t xml:space="preserve">Реализуется ли каждый риск и насколько тяжело: одна выборка задает положение и затрат, и задержки в их диапазонах, поэтому большие затраты идут вместе с долгой задержкой.</t>
  </si>
  <si>
    <t xml:space="preserve">Реализуется?</t>
  </si>
  <si>
    <t xml:space="preserve">Тяжесть</t>
  </si>
  <si>
    <t xml:space="preserve">Стоимость</t>
  </si>
  <si>
    <t xml:space="preserve">Задержка</t>
  </si>
  <si>
    <t xml:space="preserve">Как рассчитывается</t>
  </si>
  <si>
    <t xml:space="preserve">1 = да</t>
  </si>
  <si>
    <t>0 – 1</t>
  </si>
  <si>
    <t xml:space="preserve">Реализуется?: VoseBernoulli(вероятность).  Тяжесть: VoseUniform(0, 1), процентиль внутри диапазонов</t>
  </si>
  <si>
    <t xml:space="preserve">Затраты = реализуется × VosePERT(мин., наиболее вероятное, макс., тяжесть); задержка так же, с теми же выборками</t>
  </si>
  <si>
    <t xml:space="preserve">Диапазон с мин. = макс. — фиксированное последствие, PERT не нужен (у риска без задержки мин. = макс. = 0)</t>
  </si>
  <si>
    <t xml:space="preserve">Итого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</si>
  <si>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</si>
  <si>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</si>
  <si>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</si>
  <si>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</si>
  <si>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</si>
  <si>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Прямые затраты по рискам</t>
  </si>
  <si>
    <t xml:space="preserve">Сумма последствий рисков для затрат.</t>
  </si>
  <si>
    <t xml:space="preserve">Сумма задержек, как будто каждая попадает на критический путь.</t>
  </si>
  <si>
    <t xml:space="preserve">Недели опоздания  (сверх резерва времени)</t>
  </si>
  <si>
    <t xml:space="preserve">Первые недели задержки поглощает резерв времени.</t>
  </si>
  <si>
    <t xml:space="preserve">Стоимость задержки сверх резерва времени</t>
  </si>
  <si>
    <t xml:space="preserve">Недели опоздания × стоимость недели: остальное поглощает резерв времени.</t>
  </si>
  <si>
    <t xml:space="preserve">Общая стоимость рисков</t>
  </si>
  <si>
    <t xml:space="preserve">Что должен покрыть резерв на риски.</t>
  </si>
  <si>
    <t xml:space="preserve">Укладывается в резерв времени?  (1 = да)</t>
  </si>
  <si>
    <t>1 / 0</t>
  </si>
  <si>
    <t xml:space="preserve">Сколько угроз реализуется</t>
  </si>
  <si>
    <t xml:space="preserve">рисков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</si>
  <si>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</si>
  <si>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</si>
  <si>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Вероятности от 0% до 100%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</si>
  <si>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</si>
  <si>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Реестр</t>
  </si>
  <si>
    <t xml:space="preserve">1   Резерв на риски</t>
  </si>
  <si>
    <t xml:space="preserve">Общая стоимость рисков — S-кривая</t>
  </si>
  <si>
    <t xml:space="preserve">Общая стоимость рисков — прямые затраты плюс стоимость задержки — на уровне надежности с листа «Исходные данные».</t>
  </si>
  <si>
    <t xml:space="preserve">Показатель</t>
  </si>
  <si>
    <t xml:space="preserve">Ожидаемое значение реестра со средней задержкой сверх резерва времени</t>
  </si>
  <si>
    <t xml:space="preserve">Средняя общая стоимость рисков  (моделирование)</t>
  </si>
  <si>
    <t xml:space="preserve">Резерв на риски на выбранном уровне надежности</t>
  </si>
  <si>
    <t xml:space="preserve">Уровень надежности  (лист «Исходные данные»)</t>
  </si>
  <si>
    <t xml:space="preserve">Резерв сверх ожидаемого значения</t>
  </si>
  <si>
    <t xml:space="preserve">Бюджет: базовая оценка + резерв</t>
  </si>
  <si>
    <t xml:space="preserve">2   Диапазоны затрат и сроков</t>
  </si>
  <si>
    <t xml:space="preserve">P50 / P80 / P90: вероятность 50%, 80% и 90%, что значение не будет превышено.</t>
  </si>
  <si>
    <t>P50</t>
  </si>
  <si>
    <t>P80</t>
  </si>
  <si>
    <t>P90</t>
  </si>
  <si>
    <t xml:space="preserve">Среднее</t>
  </si>
  <si>
    <t xml:space="preserve">Вероятность уложиться в резерв времени</t>
  </si>
  <si>
    <t xml:space="preserve">3   Какие риски важны</t>
  </si>
  <si>
    <t xml:space="preserve">Какие риски определяют общую стоимость рисков  (млн долл.)</t>
  </si>
  <si>
    <t xml:space="preserve">Наименьшее и наибольшее среднее итога по десяти равным группам затрат каждого риска (VoseSimSensitivityMean): где мера реагирования окупится лучше всего.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</si>
  <si>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</si>
  <si>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</si>
  <si>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</si>
  <si>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</si>
  <si>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</si>
  <si>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Ожидаемое значение реестра — это среднее: в реальном проекте одни риски реализуются полностью, а другие не реализуются вовсе. Резерв, равный ожидаемому значению, будет превышен примерно в половине случаев; уровень надежности делает этот выбор явным.</t>
  </si>
  <si>
    <t xml:space="preserve">•  Затраты и задержка риска берутся из одних и тех же выборок, поэтому наступают вместе, и большие затраты идут с долгой задержкой. Задержка сверх резерва времени тоже стоит денег, поэтому общая стоимость рисков больше прямых затрат по ним; резерв времени поглощает первые недели вместе с их затратами, зависящими от срока.</t>
  </si>
  <si>
    <t xml:space="preserve">•  Результаты по срокам суммируют все задержки так, будто каждая попадает на критический путь, поэтому они пессимистичны: модель PC-03 считает задержку по сетевому графику, где часть задержек поглощается резервами.</t>
  </si>
  <si>
    <t xml:space="preserve">•  «Торнадо» ранжирует риски по их влиянию на итог. Порядок не всегда совпадает с баллом «вероятность × последствия»: вероятный риск с узким диапазоном значит меньше, чем более редкий с широким.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</si>
  <si>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</si>
  <si>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</si>
  <si>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</si>
  <si>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</si>
  <si>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TotalRisk</t>
  </si>
  <si>
    <t xml:space="preserve">Общее среднее TotalRisk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</si>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</sst>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;&quot;–&quot;_)"/>
    <numFmt numFmtId="165" formatCode="#,##0.00_);\(#,##0.00\);&quot;–&quot;_)"/>
    <numFmt numFmtId="166" formatCode="0.000"/>
    <numFmt numFmtId="167" formatCode="#,##0.00_);\(#,##0.00\);&quot;–&quot;_);&quot;–&quot;"/>
    <numFmt numFmtId="168" formatCode="#,##0.0_);\(#,##0.0\);&quot;–&quot;_);&quot;–&quot;"/>
    <numFmt numFmtId="169" formatCode="0.0%;\-0.0%;0.0%;&quot;–&quot;"/>
    <numFmt numFmtId="170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5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9" fillId="0" borderId="6" xfId="0" applyFont="1" applyBorder="1"/>
    <xf numFmtId="0" fontId="20" fillId="0" borderId="6" xfId="0" applyFont="1" applyBorder="1" applyAlignment="1">
      <alignment horizontal="left" vertical="center" indent="1"/>
    </xf>
    <xf numFmtId="0" fontId="0" fillId="0" borderId="9" xfId="0" applyBorder="1"/>
    <xf numFmtId="0" fontId="12" fillId="0" borderId="9" xfId="0" applyFont="1" applyBorder="1" applyAlignment="1">
      <alignment horizontal="left" vertical="center" indent="1"/>
    </xf>
    <xf numFmtId="165" fontId="12" fillId="0" borderId="9" xfId="3" applyNumberFormat="1" applyFont="1" applyBorder="1">
      <alignment horizontal="right" vertical="center"/>
    </xf>
    <xf numFmtId="164" fontId="12" fillId="0" borderId="9" xfId="3" applyNumberFormat="1" applyFont="1" applyBorder="1">
      <alignment horizontal="right" vertical="center"/>
    </xf>
    <xf numFmtId="1" fontId="2" fillId="3" borderId="7" xfId="2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" fontId="12" fillId="0" borderId="9" xfId="3" applyNumberFormat="1" applyFon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5" fontId="4" fillId="4" borderId="10" xfId="4" applyNumberForma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21" fillId="0" borderId="6" xfId="0" applyFont="1" applyBorder="1" applyAlignment="1">
      <alignment horizontal="left" vertical="center" indent="1"/>
    </xf>
    <xf numFmtId="167" fontId="1" fillId="5" borderId="7" xfId="5" applyNumberFormat="1" applyBorder="1">
      <alignment horizontal="right" vertical="center"/>
    </xf>
    <xf numFmtId="167" fontId="22" fillId="5" borderId="7" xfId="5" applyNumberFormat="1" applyFont="1" applyBorder="1">
      <alignment horizontal="right" vertical="center"/>
    </xf>
    <xf numFmtId="9" fontId="3" fillId="0" borderId="8" xfId="3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0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7" fontId="1" fillId="5" borderId="1" xfId="5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165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Общая стоимость рисков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'Результаты'!$D$59:$D$108</c:f>
              <c:numCache>
                <c:formatCode>#,##0.00</c:formatCode>
                <c:ptCount val="50"/>
                <c:pt idx="0">
                  <c:v>-0.37480803941780072</c:v>
                </c:pt>
                <c:pt idx="1">
                  <c:v>0.24401932306828777</c:v>
                </c:pt>
                <c:pt idx="2">
                  <c:v>0.59196921882754716</c:v>
                </c:pt>
                <c:pt idx="3">
                  <c:v>0.84225488887478872</c:v>
                </c:pt>
                <c:pt idx="4">
                  <c:v>1.0423446507485039</c:v>
                </c:pt>
                <c:pt idx="5">
                  <c:v>1.2419188407427078</c:v>
                </c:pt>
                <c:pt idx="6">
                  <c:v>1.4355207803593917</c:v>
                </c:pt>
                <c:pt idx="7">
                  <c:v>1.5925872955059948</c:v>
                </c:pt>
                <c:pt idx="8">
                  <c:v>1.7450905634506242</c:v>
                </c:pt>
                <c:pt idx="9">
                  <c:v>1.9234695030754438</c:v>
                </c:pt>
                <c:pt idx="10">
                  <c:v>2.0489556608888266</c:v>
                </c:pt>
                <c:pt idx="11">
                  <c:v>2.1717970671000586</c:v>
                </c:pt>
                <c:pt idx="12">
                  <c:v>2.3081880176505565</c:v>
                </c:pt>
                <c:pt idx="13">
                  <c:v>2.4307167804155672</c:v>
                </c:pt>
                <c:pt idx="14">
                  <c:v>2.5629297299469123</c:v>
                </c:pt>
                <c:pt idx="15">
                  <c:v>2.7055114376765945</c:v>
                </c:pt>
                <c:pt idx="16">
                  <c:v>2.8454802473214555</c:v>
                </c:pt>
                <c:pt idx="17">
                  <c:v>2.9778859924846395</c:v>
                </c:pt>
                <c:pt idx="18">
                  <c:v>3.0956452289546879</c:v>
                </c:pt>
                <c:pt idx="19">
                  <c:v>3.2153695700894303</c:v>
                </c:pt>
                <c:pt idx="20">
                  <c:v>3.3491426255768637</c:v>
                </c:pt>
                <c:pt idx="21">
                  <c:v>3.4950535383452017</c:v>
                </c:pt>
                <c:pt idx="22">
                  <c:v>3.6120799236805947</c:v>
                </c:pt>
                <c:pt idx="23">
                  <c:v>3.7444889755575685</c:v>
                </c:pt>
                <c:pt idx="24">
                  <c:v>3.8762349816503172</c:v>
                </c:pt>
                <c:pt idx="25">
                  <c:v>3.9852082765981072</c:v>
                </c:pt>
                <c:pt idx="26">
                  <c:v>4.0954945978056818</c:v>
                </c:pt>
                <c:pt idx="27">
                  <c:v>4.2269685074646643</c:v>
                </c:pt>
                <c:pt idx="28">
                  <c:v>4.3650842774083802</c:v>
                </c:pt>
                <c:pt idx="29">
                  <c:v>4.4865946653974191</c:v>
                </c:pt>
                <c:pt idx="30">
                  <c:v>4.6125042678547317</c:v>
                </c:pt>
                <c:pt idx="31">
                  <c:v>4.7309395060436579</c:v>
                </c:pt>
                <c:pt idx="32">
                  <c:v>4.8692251665380946</c:v>
                </c:pt>
                <c:pt idx="33">
                  <c:v>5.0084400901215158</c:v>
                </c:pt>
                <c:pt idx="34">
                  <c:v>5.1626016193233664</c:v>
                </c:pt>
                <c:pt idx="35">
                  <c:v>5.306936894964859</c:v>
                </c:pt>
                <c:pt idx="36">
                  <c:v>5.4466971865260199</c:v>
                </c:pt>
                <c:pt idx="37">
                  <c:v>5.6074141341203827</c:v>
                </c:pt>
                <c:pt idx="38">
                  <c:v>5.7885570651593437</c:v>
                </c:pt>
                <c:pt idx="39">
                  <c:v>5.9664836088454605</c:v>
                </c:pt>
                <c:pt idx="40">
                  <c:v>6.157406735551799</c:v>
                </c:pt>
                <c:pt idx="41">
                  <c:v>6.3674310129572991</c:v>
                </c:pt>
                <c:pt idx="42">
                  <c:v>6.6165670759184181</c:v>
                </c:pt>
                <c:pt idx="43">
                  <c:v>6.8910021690457137</c:v>
                </c:pt>
                <c:pt idx="44">
                  <c:v>7.1837852124999051</c:v>
                </c:pt>
                <c:pt idx="45">
                  <c:v>7.518423023126477</c:v>
                </c:pt>
                <c:pt idx="46">
                  <c:v>7.9049493930699848</c:v>
                </c:pt>
                <c:pt idx="47">
                  <c:v>8.4643314623175723</c:v>
                </c:pt>
                <c:pt idx="48">
                  <c:v>9.1439848860323742</c:v>
                </c:pt>
                <c:pt idx="49">
                  <c:v>10.840982546920042</c:v>
                </c:pt>
              </c:numCache>
            </c:numRef>
          </c:xVal>
          <c:yVal>
            <c:numRef>
              <c:f>'Результаты'!$B$59:$B$108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DE6-4290-8D80-83C863947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Общая стоимость рисков (млн долл.)</a:t>
                </a:r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'Результаты'!$B$112:$B$126</c:f>
              <c:strCache>
                <c:ptCount val="15"/>
                <c:pt idx="0">
                  <c:v>T9  Банкротство ключевого субподрядчика</c:v>
                </c:pt>
                <c:pt idx="1">
                  <c:v>T3  Изменения проекта заказчиком после стадии П</c:v>
                </c:pt>
                <c:pt idx="2">
                  <c:v>T7  Нехватка монтажников инженерных систем</c:v>
                </c:pt>
                <c:pt idx="3">
                  <c:v>T1  Загрязненный грунт при разработке котлована</c:v>
                </c:pt>
                <c:pt idx="4">
                  <c:v>T5  Рост цен на медицинское оборудование</c:v>
                </c:pt>
                <c:pt idx="5">
                  <c:v>T4  Асбест в существующем здании</c:v>
                </c:pt>
                <c:pt idx="6">
                  <c:v>T2  Перекладка газопровода дольше плана</c:v>
                </c:pt>
                <c:pt idx="7">
                  <c:v>T11  Работа больницы ограничивает часы работ</c:v>
                </c:pt>
                <c:pt idx="8">
                  <c:v>T10  Дефекты при пусконаладке медицинских газов</c:v>
                </c:pt>
                <c:pt idx="9">
                  <c:v>T12  Повторное согласование противопожарных решений</c:v>
                </c:pt>
                <c:pt idx="10">
                  <c:v>T6  Условие разрешения требует археологических работ</c:v>
                </c:pt>
                <c:pt idx="11">
                  <c:v>T8  Дождливая зима останавливает земляные работы</c:v>
                </c:pt>
                <c:pt idx="12">
                  <c:v>O1  Оптимизация фасада</c:v>
                </c:pt>
                <c:pt idx="13">
                  <c:v>O3  Рамочное соглашение об оптовых закупках</c:v>
                </c:pt>
                <c:pt idx="14">
                  <c:v>O2  Ранний доступ к стройгородку</c:v>
                </c:pt>
              </c:strCache>
            </c:strRef>
          </c:cat>
          <c:val>
            <c:numRef>
              <c:f>'Результаты'!$F$112:$F$126</c:f>
              <c:numCache>
                <c:formatCode>#,##0.00_);\(#,##0.00\);"–"_)</c:formatCode>
                <c:ptCount val="15"/>
                <c:pt idx="0">
                  <c:v>3.5933042496391936</c:v>
                </c:pt>
                <c:pt idx="1">
                  <c:v>2.0132531757774483</c:v>
                </c:pt>
                <c:pt idx="2">
                  <c:v>1.6109230276445894</c:v>
                </c:pt>
                <c:pt idx="3">
                  <c:v>1.4866297679611336</c:v>
                </c:pt>
                <c:pt idx="4">
                  <c:v>1.1061006885505513</c:v>
                </c:pt>
                <c:pt idx="5">
                  <c:v>1.2133574514254644</c:v>
                </c:pt>
                <c:pt idx="6">
                  <c:v>1.0773670540573228</c:v>
                </c:pt>
                <c:pt idx="7">
                  <c:v>0.97016906761797816</c:v>
                </c:pt>
                <c:pt idx="8">
                  <c:v>0.93554945416424307</c:v>
                </c:pt>
                <c:pt idx="9">
                  <c:v>0.90256761447410661</c:v>
                </c:pt>
                <c:pt idx="10">
                  <c:v>0.89481289081644011</c:v>
                </c:pt>
                <c:pt idx="11">
                  <c:v>0.74321391524837832</c:v>
                </c:pt>
                <c:pt idx="12">
                  <c:v>0.29078279428969811</c:v>
                </c:pt>
                <c:pt idx="13">
                  <c:v>0.11012479363419025</c:v>
                </c:pt>
                <c:pt idx="14">
                  <c:v>7.8511788758696355E-2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5-491F-B68D-47FE363FD5D0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'Результаты'!$B$112:$B$126</c:f>
              <c:strCache>
                <c:ptCount val="15"/>
                <c:pt idx="0">
                  <c:v>T9  Банкротство ключевого субподрядчика</c:v>
                </c:pt>
                <c:pt idx="1">
                  <c:v>T3  Изменения проекта заказчиком после стадии П</c:v>
                </c:pt>
                <c:pt idx="2">
                  <c:v>T7  Нехватка монтажников инженерных систем</c:v>
                </c:pt>
                <c:pt idx="3">
                  <c:v>T1  Загрязненный грунт при разработке котлована</c:v>
                </c:pt>
                <c:pt idx="4">
                  <c:v>T5  Рост цен на медицинское оборудование</c:v>
                </c:pt>
                <c:pt idx="5">
                  <c:v>T4  Асбест в существующем здании</c:v>
                </c:pt>
                <c:pt idx="6">
                  <c:v>T2  Перекладка газопровода дольше плана</c:v>
                </c:pt>
                <c:pt idx="7">
                  <c:v>T11  Работа больницы ограничивает часы работ</c:v>
                </c:pt>
                <c:pt idx="8">
                  <c:v>T10  Дефекты при пусконаладке медицинских газов</c:v>
                </c:pt>
                <c:pt idx="9">
                  <c:v>T12  Повторное согласование противопожарных решений</c:v>
                </c:pt>
                <c:pt idx="10">
                  <c:v>T6  Условие разрешения требует археологических работ</c:v>
                </c:pt>
                <c:pt idx="11">
                  <c:v>T8  Дождливая зима останавливает земляные работы</c:v>
                </c:pt>
                <c:pt idx="12">
                  <c:v>O1  Оптимизация фасада</c:v>
                </c:pt>
                <c:pt idx="13">
                  <c:v>O3  Рамочное соглашение об оптовых закупках</c:v>
                </c:pt>
                <c:pt idx="14">
                  <c:v>O2  Ранний доступ к стройгородку</c:v>
                </c:pt>
              </c:strCache>
            </c:strRef>
          </c:cat>
          <c:val>
            <c:numRef>
              <c:f>'Результаты'!$G$112:$G$126</c:f>
              <c:numCache>
                <c:formatCode>#,##0.00_);\(#,##0.00\);"–"_)</c:formatCode>
                <c:ptCount val="15"/>
                <c:pt idx="0">
                  <c:v>-0.30568039623665788</c:v>
                </c:pt>
                <c:pt idx="1">
                  <c:v>-1.2015496172023084</c:v>
                </c:pt>
                <c:pt idx="2">
                  <c:v>-0.69278544244245044</c:v>
                </c:pt>
                <c:pt idx="3">
                  <c:v>-0.40070116055161265</c:v>
                </c:pt>
                <c:pt idx="4">
                  <c:v>-0.53078022812322478</c:v>
                </c:pt>
                <c:pt idx="5">
                  <c:v>-0.41188437650840193</c:v>
                </c:pt>
                <c:pt idx="6">
                  <c:v>-0.43795970972158837</c:v>
                </c:pt>
                <c:pt idx="7">
                  <c:v>-0.53225542578670559</c:v>
                </c:pt>
                <c:pt idx="8">
                  <c:v>-0.18613727926543122</c:v>
                </c:pt>
                <c:pt idx="9">
                  <c:v>-0.15878756283282502</c:v>
                </c:pt>
                <c:pt idx="10">
                  <c:v>-0.16379027940245283</c:v>
                </c:pt>
                <c:pt idx="11">
                  <c:v>-0.23196439518823375</c:v>
                </c:pt>
                <c:pt idx="12">
                  <c:v>-0.50500732042899488</c:v>
                </c:pt>
                <c:pt idx="13">
                  <c:v>-0.28978255631206773</c:v>
                </c:pt>
                <c:pt idx="14">
                  <c:v>-0.31725947348737282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75-491F-B68D-47FE363FD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29</xdr:row>
      <xdr:rowOff>0</xdr:rowOff>
    </xdr:from>
    <xdr:ext cx="6263999" cy="3401999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75" t="s">
        <v>20</v>
      </c>
      <c r="C16" s="7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ht="26.25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26.25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ht="26.25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7" t="s">
        <v>90</v>
      </c>
      <c r="C73" s="76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Реестр'!A1" display="Реестр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19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8" t="s">
        <v>94</v>
      </c>
      <c r="C6" s="76"/>
      <c r="D6" s="76"/>
      <c r="E6" s="76"/>
      <c r="F6" s="76"/>
      <c r="G6" s="76"/>
      <c r="H6" s="76"/>
      <c r="I6" s="76"/>
      <c r="J6" s="76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85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 t="s">
        <v>107</v>
      </c>
      <c r="D12" s="30">
        <v>8</v>
      </c>
      <c r="E12" s="26" t="s">
        <v>104</v>
      </c>
      <c r="F12" s="28"/>
      <c r="G12" s="28"/>
      <c r="H12" s="28"/>
      <c r="I12" s="28"/>
      <c r="J12" s="29" t="s">
        <v>108</v>
      </c>
    </row>
    <row r="13" spans="1:10" x14ac:dyDescent="0.45">
      <c r="B13" s="25" t="s">
        <v>109</v>
      </c>
      <c r="C13" s="26" t="s">
        <v>110</v>
      </c>
      <c r="D13" s="31">
        <v>0.12</v>
      </c>
      <c r="E13" s="26" t="s">
        <v>104</v>
      </c>
      <c r="F13" s="28"/>
      <c r="G13" s="28"/>
      <c r="H13" s="28"/>
      <c r="I13" s="28"/>
      <c r="J13" s="29" t="s">
        <v>111</v>
      </c>
    </row>
    <row r="14" spans="1:10" ht="8" customHeight="1" x14ac:dyDescent="0.45"/>
    <row r="15" spans="1:10" ht="22.05" customHeight="1" x14ac:dyDescent="0.5">
      <c r="B15" s="7" t="s">
        <v>112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113</v>
      </c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5"/>
      <c r="G17" s="5"/>
      <c r="H17" s="5"/>
      <c r="I17" s="5"/>
      <c r="J17" s="23" t="s">
        <v>101</v>
      </c>
    </row>
    <row r="18" spans="2:10" x14ac:dyDescent="0.45">
      <c r="B18" s="25" t="s">
        <v>114</v>
      </c>
      <c r="C18" s="26" t="s">
        <v>115</v>
      </c>
      <c r="D18" s="32">
        <v>0.8</v>
      </c>
      <c r="E18" s="26" t="s">
        <v>104</v>
      </c>
      <c r="F18" s="28"/>
      <c r="G18" s="28"/>
      <c r="H18" s="28"/>
      <c r="I18" s="28"/>
      <c r="J18" s="29" t="s">
        <v>116</v>
      </c>
    </row>
    <row r="19" spans="2:10" ht="8" customHeight="1" x14ac:dyDescent="0.45"/>
  </sheetData>
  <mergeCells count="1">
    <mergeCell ref="B6:J6"/>
  </mergeCells>
  <dataValidations count="3">
    <dataValidation type="decimal" operator="greaterThan" showErrorMessage="1" errorTitle="Положительное значение" error="Введите значение больше нуля." sqref="D11" xr:uid="{00000000-0002-0000-0100-000000000000}">
      <formula1>0</formula1>
    </dataValidation>
    <dataValidation type="decimal" showErrorMessage="1" errorTitle="Значение" error="Введите значение не меньше нуля." sqref="D12:D13" xr:uid="{00000000-0002-0000-0100-000001000000}">
      <formula1>0</formula1>
      <formula2>1000000000000</formula2>
    </dataValidation>
    <dataValidation type="decimal" showErrorMessage="1" errorTitle="Вероятность" error="Введите значение от 0% до 100%." sqref="D18" xr:uid="{00000000-0002-0000-0100-000003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Реестр'!A1" display="Далее:  Реестр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N62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6" customWidth="1"/>
    <col min="3" max="3" width="44" customWidth="1"/>
    <col min="4" max="7" width="9" customWidth="1"/>
    <col min="8" max="10" width="8" customWidth="1"/>
    <col min="11" max="12" width="9" customWidth="1"/>
    <col min="13" max="13" width="10" customWidth="1"/>
    <col min="14" max="14" width="46" customWidth="1"/>
  </cols>
  <sheetData>
    <row r="1" spans="1:14" ht="6" customHeight="1" x14ac:dyDescent="0.45"/>
    <row r="2" spans="1:14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</row>
    <row r="3" spans="1:14" ht="20" customHeight="1" x14ac:dyDescent="0.45">
      <c r="A3" s="1"/>
      <c r="B3" s="4" t="s">
        <v>117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0" customHeight="1" x14ac:dyDescent="0.45">
      <c r="A4" s="5"/>
      <c r="B4" s="22" t="s">
        <v>118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119</v>
      </c>
    </row>
    <row r="5" spans="1:14" ht="8" customHeight="1" x14ac:dyDescent="0.45"/>
    <row r="6" spans="1:14" ht="22.05" customHeight="1" x14ac:dyDescent="0.5">
      <c r="B6" s="7" t="s">
        <v>120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8" customHeight="1" x14ac:dyDescent="0.45">
      <c r="B7" s="13" t="s">
        <v>121</v>
      </c>
    </row>
    <row r="8" spans="1:14" ht="18" customHeight="1" x14ac:dyDescent="0.45">
      <c r="B8" s="33" t="s">
        <v>122</v>
      </c>
      <c r="C8" s="33" t="s">
        <v>123</v>
      </c>
      <c r="D8" s="34" t="s">
        <v>124</v>
      </c>
      <c r="E8" s="33" t="s">
        <v>125</v>
      </c>
      <c r="F8" s="35"/>
      <c r="G8" s="35"/>
      <c r="H8" s="33" t="s">
        <v>126</v>
      </c>
      <c r="I8" s="35"/>
      <c r="J8" s="35"/>
      <c r="K8" s="34" t="s">
        <v>127</v>
      </c>
      <c r="L8" s="34" t="s">
        <v>127</v>
      </c>
      <c r="M8" s="33" t="s">
        <v>128</v>
      </c>
      <c r="N8" s="33" t="s">
        <v>129</v>
      </c>
    </row>
    <row r="9" spans="1:14" x14ac:dyDescent="0.45">
      <c r="B9" s="36"/>
      <c r="C9" s="36"/>
      <c r="D9" s="36"/>
      <c r="E9" s="36" t="s">
        <v>130</v>
      </c>
      <c r="F9" s="36" t="s">
        <v>131</v>
      </c>
      <c r="G9" s="36" t="s">
        <v>132</v>
      </c>
      <c r="H9" s="36" t="s">
        <v>130</v>
      </c>
      <c r="I9" s="36" t="s">
        <v>131</v>
      </c>
      <c r="J9" s="36" t="s">
        <v>132</v>
      </c>
      <c r="K9" s="36" t="s">
        <v>133</v>
      </c>
      <c r="L9" s="36" t="s">
        <v>134</v>
      </c>
      <c r="M9" s="36"/>
      <c r="N9" s="36"/>
    </row>
    <row r="10" spans="1:14" x14ac:dyDescent="0.45">
      <c r="B10" s="37" t="s">
        <v>135</v>
      </c>
      <c r="C10" s="25" t="s">
        <v>136</v>
      </c>
      <c r="D10" s="32">
        <v>0.3</v>
      </c>
      <c r="E10" s="31">
        <v>0.4</v>
      </c>
      <c r="F10" s="31">
        <v>0.9</v>
      </c>
      <c r="G10" s="31">
        <v>2.5</v>
      </c>
      <c r="H10" s="30">
        <v>1</v>
      </c>
      <c r="I10" s="30">
        <v>3</v>
      </c>
      <c r="J10" s="30">
        <v>8</v>
      </c>
      <c r="K10" s="38">
        <f t="shared" ref="K10:K24" si="0">D10*(E10+4*F10+G10)/6</f>
        <v>0.32500000000000001</v>
      </c>
      <c r="L10" s="39">
        <f t="shared" ref="L10:L24" si="1">D10*(H10+4*I10+J10)/6</f>
        <v>1.05</v>
      </c>
      <c r="M10" s="40" t="str">
        <f t="shared" ref="M10:M24" si="2">IF(OR(F10&gt;0,I10&gt;0),"угроза","возможность")</f>
        <v>угроза</v>
      </c>
      <c r="N10" s="26" t="s">
        <v>137</v>
      </c>
    </row>
    <row r="11" spans="1:14" x14ac:dyDescent="0.45">
      <c r="B11" s="37" t="s">
        <v>138</v>
      </c>
      <c r="C11" s="25" t="s">
        <v>139</v>
      </c>
      <c r="D11" s="32">
        <v>0.4</v>
      </c>
      <c r="E11" s="31">
        <v>0.2</v>
      </c>
      <c r="F11" s="31">
        <v>0.5</v>
      </c>
      <c r="G11" s="31">
        <v>1.2</v>
      </c>
      <c r="H11" s="30">
        <v>2</v>
      </c>
      <c r="I11" s="30">
        <v>4</v>
      </c>
      <c r="J11" s="30">
        <v>10</v>
      </c>
      <c r="K11" s="38">
        <f t="shared" si="0"/>
        <v>0.22666666666666671</v>
      </c>
      <c r="L11" s="39">
        <f t="shared" si="1"/>
        <v>1.8666666666666669</v>
      </c>
      <c r="M11" s="40" t="str">
        <f t="shared" si="2"/>
        <v>угроза</v>
      </c>
      <c r="N11" s="26" t="s">
        <v>140</v>
      </c>
    </row>
    <row r="12" spans="1:14" x14ac:dyDescent="0.45">
      <c r="B12" s="37" t="s">
        <v>141</v>
      </c>
      <c r="C12" s="25" t="s">
        <v>142</v>
      </c>
      <c r="D12" s="32">
        <v>0.6</v>
      </c>
      <c r="E12" s="31">
        <v>0.5</v>
      </c>
      <c r="F12" s="31">
        <v>1.5</v>
      </c>
      <c r="G12" s="31">
        <v>4</v>
      </c>
      <c r="H12" s="30">
        <v>1</v>
      </c>
      <c r="I12" s="30">
        <v>3</v>
      </c>
      <c r="J12" s="30">
        <v>8</v>
      </c>
      <c r="K12" s="38">
        <f t="shared" si="0"/>
        <v>1.05</v>
      </c>
      <c r="L12" s="39">
        <f t="shared" si="1"/>
        <v>2.1</v>
      </c>
      <c r="M12" s="40" t="str">
        <f t="shared" si="2"/>
        <v>угроза</v>
      </c>
      <c r="N12" s="26" t="s">
        <v>143</v>
      </c>
    </row>
    <row r="13" spans="1:14" x14ac:dyDescent="0.45">
      <c r="B13" s="37" t="s">
        <v>144</v>
      </c>
      <c r="C13" s="25" t="s">
        <v>145</v>
      </c>
      <c r="D13" s="32">
        <v>0.35</v>
      </c>
      <c r="E13" s="31">
        <v>0.3</v>
      </c>
      <c r="F13" s="31">
        <v>0.8</v>
      </c>
      <c r="G13" s="31">
        <v>2</v>
      </c>
      <c r="H13" s="30">
        <v>1</v>
      </c>
      <c r="I13" s="30">
        <v>2</v>
      </c>
      <c r="J13" s="30">
        <v>6</v>
      </c>
      <c r="K13" s="38">
        <f t="shared" si="0"/>
        <v>0.3208333333333333</v>
      </c>
      <c r="L13" s="39">
        <f t="shared" si="1"/>
        <v>0.875</v>
      </c>
      <c r="M13" s="40" t="str">
        <f t="shared" si="2"/>
        <v>угроза</v>
      </c>
      <c r="N13" s="26" t="s">
        <v>146</v>
      </c>
    </row>
    <row r="14" spans="1:14" x14ac:dyDescent="0.45">
      <c r="B14" s="37" t="s">
        <v>147</v>
      </c>
      <c r="C14" s="25" t="s">
        <v>148</v>
      </c>
      <c r="D14" s="32">
        <v>0.5</v>
      </c>
      <c r="E14" s="31">
        <v>0.4</v>
      </c>
      <c r="F14" s="31">
        <v>1</v>
      </c>
      <c r="G14" s="31">
        <v>2.5</v>
      </c>
      <c r="H14" s="30">
        <v>0</v>
      </c>
      <c r="I14" s="30">
        <v>0</v>
      </c>
      <c r="J14" s="30">
        <v>0</v>
      </c>
      <c r="K14" s="38">
        <f t="shared" si="0"/>
        <v>0.57500000000000007</v>
      </c>
      <c r="L14" s="39">
        <f t="shared" si="1"/>
        <v>0</v>
      </c>
      <c r="M14" s="40" t="str">
        <f t="shared" si="2"/>
        <v>угроза</v>
      </c>
      <c r="N14" s="26" t="s">
        <v>149</v>
      </c>
    </row>
    <row r="15" spans="1:14" x14ac:dyDescent="0.45">
      <c r="B15" s="37" t="s">
        <v>150</v>
      </c>
      <c r="C15" s="25" t="s">
        <v>151</v>
      </c>
      <c r="D15" s="32">
        <v>0.2</v>
      </c>
      <c r="E15" s="31">
        <v>0.1</v>
      </c>
      <c r="F15" s="31">
        <v>0.3</v>
      </c>
      <c r="G15" s="31">
        <v>0.8</v>
      </c>
      <c r="H15" s="30">
        <v>2</v>
      </c>
      <c r="I15" s="30">
        <v>4</v>
      </c>
      <c r="J15" s="30">
        <v>12</v>
      </c>
      <c r="K15" s="38">
        <f t="shared" si="0"/>
        <v>7.0000000000000007E-2</v>
      </c>
      <c r="L15" s="39">
        <f t="shared" si="1"/>
        <v>1</v>
      </c>
      <c r="M15" s="40" t="str">
        <f t="shared" si="2"/>
        <v>угроза</v>
      </c>
      <c r="N15" s="26" t="s">
        <v>152</v>
      </c>
    </row>
    <row r="16" spans="1:14" x14ac:dyDescent="0.45">
      <c r="B16" s="37" t="s">
        <v>153</v>
      </c>
      <c r="C16" s="25" t="s">
        <v>154</v>
      </c>
      <c r="D16" s="32">
        <v>0.45</v>
      </c>
      <c r="E16" s="31">
        <v>0.3</v>
      </c>
      <c r="F16" s="31">
        <v>0.9</v>
      </c>
      <c r="G16" s="31">
        <v>2.2000000000000002</v>
      </c>
      <c r="H16" s="30">
        <v>2</v>
      </c>
      <c r="I16" s="30">
        <v>5</v>
      </c>
      <c r="J16" s="30">
        <v>12</v>
      </c>
      <c r="K16" s="38">
        <f t="shared" si="0"/>
        <v>0.45750000000000002</v>
      </c>
      <c r="L16" s="39">
        <f t="shared" si="1"/>
        <v>2.5500000000000003</v>
      </c>
      <c r="M16" s="40" t="str">
        <f t="shared" si="2"/>
        <v>угроза</v>
      </c>
      <c r="N16" s="26" t="s">
        <v>155</v>
      </c>
    </row>
    <row r="17" spans="2:14" x14ac:dyDescent="0.45">
      <c r="B17" s="37" t="s">
        <v>156</v>
      </c>
      <c r="C17" s="25" t="s">
        <v>157</v>
      </c>
      <c r="D17" s="32">
        <v>0.35</v>
      </c>
      <c r="E17" s="31">
        <v>0.1</v>
      </c>
      <c r="F17" s="31">
        <v>0.3</v>
      </c>
      <c r="G17" s="31">
        <v>0.7</v>
      </c>
      <c r="H17" s="30">
        <v>1</v>
      </c>
      <c r="I17" s="30">
        <v>3</v>
      </c>
      <c r="J17" s="30">
        <v>6</v>
      </c>
      <c r="K17" s="38">
        <f t="shared" si="0"/>
        <v>0.11666666666666665</v>
      </c>
      <c r="L17" s="39">
        <f t="shared" si="1"/>
        <v>1.1083333333333332</v>
      </c>
      <c r="M17" s="40" t="str">
        <f t="shared" si="2"/>
        <v>угроза</v>
      </c>
      <c r="N17" s="26" t="s">
        <v>158</v>
      </c>
    </row>
    <row r="18" spans="2:14" x14ac:dyDescent="0.45">
      <c r="B18" s="37" t="s">
        <v>159</v>
      </c>
      <c r="C18" s="25" t="s">
        <v>160</v>
      </c>
      <c r="D18" s="32">
        <v>0.08</v>
      </c>
      <c r="E18" s="31">
        <v>1</v>
      </c>
      <c r="F18" s="31">
        <v>2.5</v>
      </c>
      <c r="G18" s="31">
        <v>6</v>
      </c>
      <c r="H18" s="30">
        <v>4</v>
      </c>
      <c r="I18" s="30">
        <v>8</v>
      </c>
      <c r="J18" s="30">
        <v>20</v>
      </c>
      <c r="K18" s="38">
        <f t="shared" si="0"/>
        <v>0.22666666666666668</v>
      </c>
      <c r="L18" s="39">
        <f t="shared" si="1"/>
        <v>0.7466666666666667</v>
      </c>
      <c r="M18" s="40" t="str">
        <f t="shared" si="2"/>
        <v>угроза</v>
      </c>
      <c r="N18" s="26" t="s">
        <v>161</v>
      </c>
    </row>
    <row r="19" spans="2:14" x14ac:dyDescent="0.45">
      <c r="B19" s="37" t="s">
        <v>162</v>
      </c>
      <c r="C19" s="25" t="s">
        <v>163</v>
      </c>
      <c r="D19" s="32">
        <v>0.25</v>
      </c>
      <c r="E19" s="31">
        <v>0.2</v>
      </c>
      <c r="F19" s="31">
        <v>0.5</v>
      </c>
      <c r="G19" s="31">
        <v>1.5</v>
      </c>
      <c r="H19" s="30">
        <v>1</v>
      </c>
      <c r="I19" s="30">
        <v>2</v>
      </c>
      <c r="J19" s="30">
        <v>6</v>
      </c>
      <c r="K19" s="38">
        <f t="shared" si="0"/>
        <v>0.15416666666666667</v>
      </c>
      <c r="L19" s="39">
        <f t="shared" si="1"/>
        <v>0.625</v>
      </c>
      <c r="M19" s="40" t="str">
        <f t="shared" si="2"/>
        <v>угроза</v>
      </c>
      <c r="N19" s="26" t="s">
        <v>164</v>
      </c>
    </row>
    <row r="20" spans="2:14" x14ac:dyDescent="0.45">
      <c r="B20" s="37" t="s">
        <v>165</v>
      </c>
      <c r="C20" s="25" t="s">
        <v>166</v>
      </c>
      <c r="D20" s="32">
        <v>0.5</v>
      </c>
      <c r="E20" s="31">
        <v>0.2</v>
      </c>
      <c r="F20" s="31">
        <v>0.6</v>
      </c>
      <c r="G20" s="31">
        <v>1.5</v>
      </c>
      <c r="H20" s="30">
        <v>1</v>
      </c>
      <c r="I20" s="30">
        <v>3</v>
      </c>
      <c r="J20" s="30">
        <v>8</v>
      </c>
      <c r="K20" s="38">
        <f t="shared" si="0"/>
        <v>0.34166666666666662</v>
      </c>
      <c r="L20" s="39">
        <f t="shared" si="1"/>
        <v>1.75</v>
      </c>
      <c r="M20" s="40" t="str">
        <f t="shared" si="2"/>
        <v>угроза</v>
      </c>
      <c r="N20" s="26" t="s">
        <v>167</v>
      </c>
    </row>
    <row r="21" spans="2:14" x14ac:dyDescent="0.45">
      <c r="B21" s="37" t="s">
        <v>168</v>
      </c>
      <c r="C21" s="25" t="s">
        <v>169</v>
      </c>
      <c r="D21" s="32">
        <v>0.2</v>
      </c>
      <c r="E21" s="31">
        <v>0.1</v>
      </c>
      <c r="F21" s="31">
        <v>0.4</v>
      </c>
      <c r="G21" s="31">
        <v>1</v>
      </c>
      <c r="H21" s="30">
        <v>1</v>
      </c>
      <c r="I21" s="30">
        <v>3</v>
      </c>
      <c r="J21" s="30">
        <v>8</v>
      </c>
      <c r="K21" s="38">
        <f t="shared" si="0"/>
        <v>9.0000000000000011E-2</v>
      </c>
      <c r="L21" s="39">
        <f t="shared" si="1"/>
        <v>0.70000000000000007</v>
      </c>
      <c r="M21" s="40" t="str">
        <f t="shared" si="2"/>
        <v>угроза</v>
      </c>
      <c r="N21" s="26" t="s">
        <v>170</v>
      </c>
    </row>
    <row r="22" spans="2:14" x14ac:dyDescent="0.45">
      <c r="B22" s="41" t="s">
        <v>171</v>
      </c>
      <c r="C22" s="25" t="s">
        <v>172</v>
      </c>
      <c r="D22" s="32">
        <v>0.5</v>
      </c>
      <c r="E22" s="31">
        <v>-1.2</v>
      </c>
      <c r="F22" s="31">
        <v>-0.8</v>
      </c>
      <c r="G22" s="31">
        <v>-0.3</v>
      </c>
      <c r="H22" s="30">
        <v>0</v>
      </c>
      <c r="I22" s="30">
        <v>0</v>
      </c>
      <c r="J22" s="30">
        <v>0</v>
      </c>
      <c r="K22" s="38">
        <f t="shared" si="0"/>
        <v>-0.39166666666666666</v>
      </c>
      <c r="L22" s="39">
        <f t="shared" si="1"/>
        <v>0</v>
      </c>
      <c r="M22" s="40" t="str">
        <f t="shared" si="2"/>
        <v>возможность</v>
      </c>
      <c r="N22" s="26" t="s">
        <v>173</v>
      </c>
    </row>
    <row r="23" spans="2:14" x14ac:dyDescent="0.45">
      <c r="B23" s="41" t="s">
        <v>174</v>
      </c>
      <c r="C23" s="25" t="s">
        <v>175</v>
      </c>
      <c r="D23" s="32">
        <v>0.3</v>
      </c>
      <c r="E23" s="31">
        <v>-0.4</v>
      </c>
      <c r="F23" s="31">
        <v>-0.2</v>
      </c>
      <c r="G23" s="31">
        <v>-0.1</v>
      </c>
      <c r="H23" s="30">
        <v>-3</v>
      </c>
      <c r="I23" s="30">
        <v>-2</v>
      </c>
      <c r="J23" s="30">
        <v>-1</v>
      </c>
      <c r="K23" s="38">
        <f t="shared" si="0"/>
        <v>-6.5000000000000016E-2</v>
      </c>
      <c r="L23" s="39">
        <f t="shared" si="1"/>
        <v>-0.6</v>
      </c>
      <c r="M23" s="40" t="str">
        <f t="shared" si="2"/>
        <v>возможность</v>
      </c>
      <c r="N23" s="26" t="s">
        <v>176</v>
      </c>
    </row>
    <row r="24" spans="2:14" x14ac:dyDescent="0.45">
      <c r="B24" s="41" t="s">
        <v>177</v>
      </c>
      <c r="C24" s="25" t="s">
        <v>178</v>
      </c>
      <c r="D24" s="32">
        <v>0.4</v>
      </c>
      <c r="E24" s="31">
        <v>-0.6</v>
      </c>
      <c r="F24" s="31">
        <v>-0.4</v>
      </c>
      <c r="G24" s="31">
        <v>-0.2</v>
      </c>
      <c r="H24" s="30">
        <v>0</v>
      </c>
      <c r="I24" s="30">
        <v>0</v>
      </c>
      <c r="J24" s="30">
        <v>0</v>
      </c>
      <c r="K24" s="38">
        <f t="shared" si="0"/>
        <v>-0.16000000000000003</v>
      </c>
      <c r="L24" s="39">
        <f t="shared" si="1"/>
        <v>0</v>
      </c>
      <c r="M24" s="40" t="str">
        <f t="shared" si="2"/>
        <v>возможность</v>
      </c>
      <c r="N24" s="26" t="s">
        <v>179</v>
      </c>
    </row>
    <row r="25" spans="2:14" x14ac:dyDescent="0.45">
      <c r="B25" s="42"/>
      <c r="C25" s="43" t="s">
        <v>180</v>
      </c>
      <c r="D25" s="42"/>
      <c r="E25" s="42"/>
      <c r="F25" s="42"/>
      <c r="G25" s="42"/>
      <c r="H25" s="42"/>
      <c r="I25" s="42"/>
      <c r="J25" s="42"/>
      <c r="K25" s="44">
        <f>SUM(K10:K24)</f>
        <v>3.3374999999999999</v>
      </c>
      <c r="L25" s="45">
        <f>SUM(L10:L24)</f>
        <v>13.771666666666667</v>
      </c>
      <c r="M25" s="42"/>
      <c r="N25" s="42"/>
    </row>
    <row r="26" spans="2:14" ht="8" customHeight="1" x14ac:dyDescent="0.45"/>
    <row r="27" spans="2:14" ht="22.05" customHeight="1" x14ac:dyDescent="0.5">
      <c r="B27" s="7" t="s">
        <v>181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2:14" ht="18" customHeight="1" x14ac:dyDescent="0.45">
      <c r="B28" s="13" t="s">
        <v>182</v>
      </c>
    </row>
    <row r="29" spans="2:14" ht="18" customHeight="1" x14ac:dyDescent="0.45">
      <c r="B29" s="33" t="s">
        <v>122</v>
      </c>
      <c r="C29" s="33" t="s">
        <v>123</v>
      </c>
      <c r="D29" s="34" t="s">
        <v>183</v>
      </c>
      <c r="E29" s="34" t="s">
        <v>184</v>
      </c>
      <c r="F29" s="34" t="s">
        <v>185</v>
      </c>
      <c r="G29" s="34" t="s">
        <v>186</v>
      </c>
      <c r="H29" s="35"/>
      <c r="I29" s="35"/>
      <c r="J29" s="35"/>
      <c r="K29" s="35"/>
      <c r="L29" s="35"/>
      <c r="M29" s="35"/>
      <c r="N29" s="33" t="s">
        <v>187</v>
      </c>
    </row>
    <row r="30" spans="2:14" x14ac:dyDescent="0.45">
      <c r="B30" s="36"/>
      <c r="C30" s="36"/>
      <c r="D30" s="36" t="s">
        <v>188</v>
      </c>
      <c r="E30" s="36" t="s">
        <v>189</v>
      </c>
      <c r="F30" s="36" t="s">
        <v>103</v>
      </c>
      <c r="G30" s="36" t="s">
        <v>107</v>
      </c>
      <c r="H30" s="36"/>
      <c r="I30" s="36"/>
      <c r="J30" s="36"/>
      <c r="K30" s="36"/>
      <c r="L30" s="36"/>
      <c r="M30" s="36"/>
      <c r="N30" s="36"/>
    </row>
    <row r="31" spans="2:14" x14ac:dyDescent="0.45">
      <c r="B31" s="37" t="str">
        <f t="shared" ref="B31:C45" si="3">B10</f>
        <v>T1</v>
      </c>
      <c r="C31" s="25" t="str">
        <f t="shared" si="3"/>
        <v>Загрязненный грунт при разработке котлована</v>
      </c>
      <c r="D31" s="46" cm="1">
        <f t="array" aca="1" ref="D31" ca="1">_xll.VoseBernoulli(D10)</f>
        <v>0</v>
      </c>
      <c r="E31" s="47" cm="1">
        <f t="array" aca="1" ref="E31" ca="1">_xll.VoseUniform(0,1)</f>
        <v>0.85191770072560757</v>
      </c>
      <c r="F31" s="48" cm="1">
        <f t="array" aca="1" ref="F31" ca="1">_xll.VoseInput("T1  Загрязненный грунт при разработке котлована","млн долл.")+D31*IF(G10=E10,E10,_xll.VosePERT(E10,F10,G10,E31))</f>
        <v>0</v>
      </c>
      <c r="G31" s="49" cm="1">
        <f t="array" aca="1" ref="G31" ca="1">D31*IF(J10=H10,H10,_xll.VosePERT(H10,I10,J10,E31))</f>
        <v>0</v>
      </c>
      <c r="H31" s="28"/>
      <c r="I31" s="28"/>
      <c r="J31" s="28"/>
      <c r="K31" s="28"/>
      <c r="L31" s="28"/>
      <c r="M31" s="28"/>
      <c r="N31" s="26" t="s">
        <v>190</v>
      </c>
    </row>
    <row r="32" spans="2:14" x14ac:dyDescent="0.45">
      <c r="B32" s="37" t="str">
        <f t="shared" si="3"/>
        <v>T2</v>
      </c>
      <c r="C32" s="25" t="str">
        <f t="shared" si="3"/>
        <v>Перекладка газопровода дольше плана</v>
      </c>
      <c r="D32" s="46" cm="1">
        <f t="array" aca="1" ref="D32" ca="1">_xll.VoseBernoulli(D11)</f>
        <v>0</v>
      </c>
      <c r="E32" s="47" cm="1">
        <f t="array" aca="1" ref="E32" ca="1">_xll.VoseUniform(0,1)</f>
        <v>0.94530638388823718</v>
      </c>
      <c r="F32" s="48" cm="1">
        <f t="array" aca="1" ref="F32" ca="1">_xll.VoseInput("T2  Перекладка газопровода дольше плана","млн долл.")+D32*IF(G11=E11,E11,_xll.VosePERT(E11,F11,G11,E32))</f>
        <v>0</v>
      </c>
      <c r="G32" s="49" cm="1">
        <f t="array" aca="1" ref="G32" ca="1">D32*IF(J11=H11,H11,_xll.VosePERT(H11,I11,J11,E32))</f>
        <v>0</v>
      </c>
      <c r="H32" s="28"/>
      <c r="I32" s="28"/>
      <c r="J32" s="28"/>
      <c r="K32" s="28"/>
      <c r="L32" s="28"/>
      <c r="M32" s="28"/>
      <c r="N32" s="26" t="s">
        <v>191</v>
      </c>
    </row>
    <row r="33" spans="2:14" x14ac:dyDescent="0.45">
      <c r="B33" s="37" t="str">
        <f t="shared" si="3"/>
        <v>T3</v>
      </c>
      <c r="C33" s="25" t="str">
        <f t="shared" si="3"/>
        <v>Изменения проекта заказчиком после стадии П</v>
      </c>
      <c r="D33" s="46" cm="1">
        <f t="array" aca="1" ref="D33" ca="1">_xll.VoseBernoulli(D12)</f>
        <v>1</v>
      </c>
      <c r="E33" s="47" cm="1">
        <f t="array" aca="1" ref="E33" ca="1">_xll.VoseUniform(0,1)</f>
        <v>0.29357476474251598</v>
      </c>
      <c r="F33" s="48" cm="1">
        <f t="array" aca="1" ref="F33" ca="1">_xll.VoseInput("T3  Изменения проекта заказчиком после стадии П","млн долл.")+D33*IF(G12=E12,E12,_xll.VosePERT(E12,F12,G12,E33))</f>
        <v>1.3338873099656117</v>
      </c>
      <c r="G33" s="49" cm="1">
        <f t="array" aca="1" ref="G33" ca="1">D33*IF(J12=H12,H12,_xll.VosePERT(H12,I12,J12,E33))</f>
        <v>2.6677746199312233</v>
      </c>
      <c r="H33" s="28"/>
      <c r="I33" s="28"/>
      <c r="J33" s="28"/>
      <c r="K33" s="28"/>
      <c r="L33" s="28"/>
      <c r="M33" s="28"/>
      <c r="N33" s="26" t="s">
        <v>192</v>
      </c>
    </row>
    <row r="34" spans="2:14" x14ac:dyDescent="0.45">
      <c r="B34" s="37" t="str">
        <f t="shared" si="3"/>
        <v>T4</v>
      </c>
      <c r="C34" s="25" t="str">
        <f t="shared" si="3"/>
        <v>Асбест в существующем здании</v>
      </c>
      <c r="D34" s="46" cm="1">
        <f t="array" aca="1" ref="D34" ca="1">_xll.VoseBernoulli(D13)</f>
        <v>1</v>
      </c>
      <c r="E34" s="47" cm="1">
        <f t="array" aca="1" ref="E34" ca="1">_xll.VoseUniform(0,1)</f>
        <v>5.3112867870368063E-2</v>
      </c>
      <c r="F34" s="48" cm="1">
        <f t="array" aca="1" ref="F34" ca="1">_xll.VoseInput("T4  Асбест в существующем здании","млн долл.")+D34*IF(G13=E13,E13,_xll.VosePERT(E13,F13,G13,E34))</f>
        <v>0.46359820945273034</v>
      </c>
      <c r="G34" s="49" cm="1">
        <f t="array" aca="1" ref="G34" ca="1">D34*IF(J13=H13,H13,_xll.VosePERT(H13,I13,J13,E34))</f>
        <v>1.3057254906768705</v>
      </c>
      <c r="H34" s="28"/>
      <c r="I34" s="28"/>
      <c r="J34" s="28"/>
      <c r="K34" s="28"/>
      <c r="L34" s="28"/>
      <c r="M34" s="28"/>
      <c r="N34" s="28"/>
    </row>
    <row r="35" spans="2:14" x14ac:dyDescent="0.45">
      <c r="B35" s="37" t="str">
        <f t="shared" si="3"/>
        <v>T5</v>
      </c>
      <c r="C35" s="25" t="str">
        <f t="shared" si="3"/>
        <v>Рост цен на медицинское оборудование</v>
      </c>
      <c r="D35" s="46" cm="1">
        <f t="array" aca="1" ref="D35" ca="1">_xll.VoseBernoulli(D14)</f>
        <v>1</v>
      </c>
      <c r="E35" s="47" cm="1">
        <f t="array" aca="1" ref="E35" ca="1">_xll.VoseUniform(0,1)</f>
        <v>0.22968981845770031</v>
      </c>
      <c r="F35" s="48" cm="1">
        <f t="array" aca="1" ref="F35" ca="1">_xll.VoseInput("T5  Рост цен на медицинское оборудование","млн долл.")+D35*IF(G14=E14,E14,_xll.VosePERT(E14,F14,G14,E35))</f>
        <v>0.83146022866164904</v>
      </c>
      <c r="G35" s="49" cm="1">
        <f t="array" aca="1" ref="G35" ca="1">D35*IF(J14=H14,H14,_xll.VosePERT(H14,I14,J14,E35))</f>
        <v>0</v>
      </c>
      <c r="H35" s="28"/>
      <c r="I35" s="28"/>
      <c r="J35" s="28"/>
      <c r="K35" s="28"/>
      <c r="L35" s="28"/>
      <c r="M35" s="28"/>
      <c r="N35" s="28"/>
    </row>
    <row r="36" spans="2:14" x14ac:dyDescent="0.45">
      <c r="B36" s="37" t="str">
        <f t="shared" si="3"/>
        <v>T6</v>
      </c>
      <c r="C36" s="25" t="str">
        <f t="shared" si="3"/>
        <v>Условие разрешения требует археологических работ</v>
      </c>
      <c r="D36" s="46" cm="1">
        <f t="array" aca="1" ref="D36" ca="1">_xll.VoseBernoulli(D15)</f>
        <v>0</v>
      </c>
      <c r="E36" s="47" cm="1">
        <f t="array" aca="1" ref="E36" ca="1">_xll.VoseUniform(0,1)</f>
        <v>0.46225024538580328</v>
      </c>
      <c r="F36" s="48" cm="1">
        <f t="array" aca="1" ref="F36" ca="1">_xll.VoseInput("T6  Условие разрешения требует археологических работ","млн долл.")+D36*IF(G15=E15,E15,_xll.VosePERT(E15,F15,G15,E36))</f>
        <v>0</v>
      </c>
      <c r="G36" s="49" cm="1">
        <f t="array" aca="1" ref="G36" ca="1">D36*IF(J15=H15,H15,_xll.VosePERT(H15,I15,J15,E36))</f>
        <v>0</v>
      </c>
      <c r="H36" s="28"/>
      <c r="I36" s="28"/>
      <c r="J36" s="28"/>
      <c r="K36" s="28"/>
      <c r="L36" s="28"/>
      <c r="M36" s="28"/>
      <c r="N36" s="28"/>
    </row>
    <row r="37" spans="2:14" x14ac:dyDescent="0.45">
      <c r="B37" s="37" t="str">
        <f t="shared" si="3"/>
        <v>T7</v>
      </c>
      <c r="C37" s="25" t="str">
        <f t="shared" si="3"/>
        <v>Нехватка монтажников инженерных систем</v>
      </c>
      <c r="D37" s="46" cm="1">
        <f t="array" aca="1" ref="D37" ca="1">_xll.VoseBernoulli(D16)</f>
        <v>1</v>
      </c>
      <c r="E37" s="47" cm="1">
        <f t="array" aca="1" ref="E37" ca="1">_xll.VoseUniform(0,1)</f>
        <v>0.94340060569811612</v>
      </c>
      <c r="F37" s="48" cm="1">
        <f t="array" aca="1" ref="F37" ca="1">_xll.VoseInput("T7  Нехватка монтажников инженерных систем","млн долл.")+D37*IF(G16=E16,E16,_xll.VosePERT(E16,F16,G16,E37))</f>
        <v>1.6122885547804002</v>
      </c>
      <c r="G37" s="49" cm="1">
        <f t="array" aca="1" ref="G37" ca="1">D37*IF(J16=H16,H16,_xll.VosePERT(H16,I16,J16,E37))</f>
        <v>8.8011117742178211</v>
      </c>
      <c r="H37" s="28"/>
      <c r="I37" s="28"/>
      <c r="J37" s="28"/>
      <c r="K37" s="28"/>
      <c r="L37" s="28"/>
      <c r="M37" s="28"/>
      <c r="N37" s="28"/>
    </row>
    <row r="38" spans="2:14" x14ac:dyDescent="0.45">
      <c r="B38" s="37" t="str">
        <f t="shared" si="3"/>
        <v>T8</v>
      </c>
      <c r="C38" s="25" t="str">
        <f t="shared" si="3"/>
        <v>Дождливая зима останавливает земляные работы</v>
      </c>
      <c r="D38" s="46" cm="1">
        <f t="array" aca="1" ref="D38" ca="1">_xll.VoseBernoulli(D17)</f>
        <v>0</v>
      </c>
      <c r="E38" s="47" cm="1">
        <f t="array" aca="1" ref="E38" ca="1">_xll.VoseUniform(0,1)</f>
        <v>0.98060277255717665</v>
      </c>
      <c r="F38" s="48" cm="1">
        <f t="array" aca="1" ref="F38" ca="1">_xll.VoseInput("T8  Дождливая зима останавливает земляные работы","млн долл.")+D38*IF(G17=E17,E17,_xll.VosePERT(E17,F17,G17,E38))</f>
        <v>0</v>
      </c>
      <c r="G38" s="49" cm="1">
        <f t="array" aca="1" ref="G38" ca="1">D38*IF(J17=H17,H17,_xll.VosePERT(H17,I17,J17,E38))</f>
        <v>0</v>
      </c>
      <c r="H38" s="28"/>
      <c r="I38" s="28"/>
      <c r="J38" s="28"/>
      <c r="K38" s="28"/>
      <c r="L38" s="28"/>
      <c r="M38" s="28"/>
      <c r="N38" s="28"/>
    </row>
    <row r="39" spans="2:14" x14ac:dyDescent="0.45">
      <c r="B39" s="37" t="str">
        <f t="shared" si="3"/>
        <v>T9</v>
      </c>
      <c r="C39" s="25" t="str">
        <f t="shared" si="3"/>
        <v>Банкротство ключевого субподрядчика</v>
      </c>
      <c r="D39" s="46" cm="1">
        <f t="array" aca="1" ref="D39" ca="1">_xll.VoseBernoulli(D18)</f>
        <v>0</v>
      </c>
      <c r="E39" s="47" cm="1">
        <f t="array" aca="1" ref="E39" ca="1">_xll.VoseUniform(0,1)</f>
        <v>0.22302115161437541</v>
      </c>
      <c r="F39" s="48" cm="1">
        <f t="array" aca="1" ref="F39" ca="1">_xll.VoseInput("T9  Банкротство ключевого субподрядчика","млн долл.")+D39*IF(G18=E18,E18,_xll.VosePERT(E18,F18,G18,E39))</f>
        <v>0</v>
      </c>
      <c r="G39" s="49" cm="1">
        <f t="array" aca="1" ref="G39" ca="1">D39*IF(J18=H18,H18,_xll.VosePERT(H18,I18,J18,E39))</f>
        <v>0</v>
      </c>
      <c r="H39" s="28"/>
      <c r="I39" s="28"/>
      <c r="J39" s="28"/>
      <c r="K39" s="28"/>
      <c r="L39" s="28"/>
      <c r="M39" s="28"/>
      <c r="N39" s="28"/>
    </row>
    <row r="40" spans="2:14" x14ac:dyDescent="0.45">
      <c r="B40" s="37" t="str">
        <f t="shared" si="3"/>
        <v>T10</v>
      </c>
      <c r="C40" s="25" t="str">
        <f t="shared" si="3"/>
        <v>Дефекты при пусконаладке медицинских газов</v>
      </c>
      <c r="D40" s="46" cm="1">
        <f t="array" aca="1" ref="D40" ca="1">_xll.VoseBernoulli(D19)</f>
        <v>0</v>
      </c>
      <c r="E40" s="47" cm="1">
        <f t="array" aca="1" ref="E40" ca="1">_xll.VoseUniform(0,1)</f>
        <v>0.51885805616620928</v>
      </c>
      <c r="F40" s="48" cm="1">
        <f t="array" aca="1" ref="F40" ca="1">_xll.VoseInput("T10  Дефекты при пусконаладке медицинских газов","млн долл.")+D40*IF(G19=E19,E19,_xll.VosePERT(E19,F19,G19,E40))</f>
        <v>0</v>
      </c>
      <c r="G40" s="49" cm="1">
        <f t="array" aca="1" ref="G40" ca="1">D40*IF(J19=H19,H19,_xll.VosePERT(H19,I19,J19,E40))</f>
        <v>0</v>
      </c>
      <c r="H40" s="28"/>
      <c r="I40" s="28"/>
      <c r="J40" s="28"/>
      <c r="K40" s="28"/>
      <c r="L40" s="28"/>
      <c r="M40" s="28"/>
      <c r="N40" s="28"/>
    </row>
    <row r="41" spans="2:14" x14ac:dyDescent="0.45">
      <c r="B41" s="37" t="str">
        <f t="shared" si="3"/>
        <v>T11</v>
      </c>
      <c r="C41" s="25" t="str">
        <f t="shared" si="3"/>
        <v>Работа больницы ограничивает часы работ</v>
      </c>
      <c r="D41" s="46" cm="1">
        <f t="array" aca="1" ref="D41" ca="1">_xll.VoseBernoulli(D20)</f>
        <v>1</v>
      </c>
      <c r="E41" s="47" cm="1">
        <f t="array" aca="1" ref="E41" ca="1">_xll.VoseUniform(0,1)</f>
        <v>0.69936063780914992</v>
      </c>
      <c r="F41" s="48" cm="1">
        <f t="array" aca="1" ref="F41" ca="1">_xll.VoseInput("T11  Работа больницы ограничивает часы работ","млн долл.")+D41*IF(G20=E20,E20,_xll.VosePERT(E20,F20,G20,E41))</f>
        <v>0.80648239150367185</v>
      </c>
      <c r="G41" s="49" cm="1">
        <f t="array" aca="1" ref="G41" ca="1">D41*IF(J20=H20,H20,_xll.VosePERT(H20,I20,J20,E41))</f>
        <v>4.1467007152586897</v>
      </c>
      <c r="H41" s="28"/>
      <c r="I41" s="28"/>
      <c r="J41" s="28"/>
      <c r="K41" s="28"/>
      <c r="L41" s="28"/>
      <c r="M41" s="28"/>
      <c r="N41" s="28"/>
    </row>
    <row r="42" spans="2:14" x14ac:dyDescent="0.45">
      <c r="B42" s="37" t="str">
        <f t="shared" si="3"/>
        <v>T12</v>
      </c>
      <c r="C42" s="25" t="str">
        <f t="shared" si="3"/>
        <v>Повторное согласование противопожарных решений</v>
      </c>
      <c r="D42" s="46" cm="1">
        <f t="array" aca="1" ref="D42" ca="1">_xll.VoseBernoulli(D21)</f>
        <v>0</v>
      </c>
      <c r="E42" s="47" cm="1">
        <f t="array" aca="1" ref="E42" ca="1">_xll.VoseUniform(0,1)</f>
        <v>0.89951252622995526</v>
      </c>
      <c r="F42" s="48" cm="1">
        <f t="array" aca="1" ref="F42" ca="1">_xll.VoseInput("T12  Повторное согласование противопожарных решений","млн долл.")+D42*IF(G21=E21,E21,_xll.VosePERT(E21,F21,G21,E42))</f>
        <v>0</v>
      </c>
      <c r="G42" s="49" cm="1">
        <f t="array" aca="1" ref="G42" ca="1">D42*IF(J21=H21,H21,_xll.VosePERT(H21,I21,J21,E42))</f>
        <v>0</v>
      </c>
      <c r="H42" s="28"/>
      <c r="I42" s="28"/>
      <c r="J42" s="28"/>
      <c r="K42" s="28"/>
      <c r="L42" s="28"/>
      <c r="M42" s="28"/>
      <c r="N42" s="28"/>
    </row>
    <row r="43" spans="2:14" x14ac:dyDescent="0.45">
      <c r="B43" s="41" t="str">
        <f t="shared" si="3"/>
        <v>O1</v>
      </c>
      <c r="C43" s="25" t="str">
        <f t="shared" si="3"/>
        <v>Оптимизация фасада</v>
      </c>
      <c r="D43" s="46" cm="1">
        <f t="array" aca="1" ref="D43" ca="1">_xll.VoseBernoulli(D22)</f>
        <v>0</v>
      </c>
      <c r="E43" s="47" cm="1">
        <f t="array" aca="1" ref="E43" ca="1">_xll.VoseUniform(0,1)</f>
        <v>0.43511517660226673</v>
      </c>
      <c r="F43" s="48" cm="1">
        <f t="array" aca="1" ref="F43" ca="1">_xll.VoseInput("O1  Оптимизация фасада","млн долл.")+D43*IF(G22=E22,E22,_xll.VosePERT(E22,F22,G22,E43))</f>
        <v>0</v>
      </c>
      <c r="G43" s="49" cm="1">
        <f t="array" aca="1" ref="G43" ca="1">D43*IF(J22=H22,H22,_xll.VosePERT(H22,I22,J22,E43))</f>
        <v>0</v>
      </c>
      <c r="H43" s="28"/>
      <c r="I43" s="28"/>
      <c r="J43" s="28"/>
      <c r="K43" s="28"/>
      <c r="L43" s="28"/>
      <c r="M43" s="28"/>
      <c r="N43" s="28"/>
    </row>
    <row r="44" spans="2:14" x14ac:dyDescent="0.45">
      <c r="B44" s="41" t="str">
        <f t="shared" si="3"/>
        <v>O2</v>
      </c>
      <c r="C44" s="25" t="str">
        <f t="shared" si="3"/>
        <v>Ранний доступ к стройгородку</v>
      </c>
      <c r="D44" s="46" cm="1">
        <f t="array" aca="1" ref="D44" ca="1">_xll.VoseBernoulli(D23)</f>
        <v>0</v>
      </c>
      <c r="E44" s="47" cm="1">
        <f t="array" aca="1" ref="E44" ca="1">_xll.VoseUniform(0,1)</f>
        <v>7.9955551889725029E-2</v>
      </c>
      <c r="F44" s="48" cm="1">
        <f t="array" aca="1" ref="F44" ca="1">_xll.VoseInput("O2  Ранний доступ к стройгородку","млн долл.")+D44*IF(G23=E23,E23,_xll.VosePERT(E23,F23,G23,E44))</f>
        <v>0</v>
      </c>
      <c r="G44" s="49" cm="1">
        <f t="array" aca="1" ref="G44" ca="1">D44*IF(J23=H23,H23,_xll.VosePERT(H23,I23,J23,E44))</f>
        <v>0</v>
      </c>
      <c r="H44" s="28"/>
      <c r="I44" s="28"/>
      <c r="J44" s="28"/>
      <c r="K44" s="28"/>
      <c r="L44" s="28"/>
      <c r="M44" s="28"/>
      <c r="N44" s="28"/>
    </row>
    <row r="45" spans="2:14" x14ac:dyDescent="0.45">
      <c r="B45" s="41" t="str">
        <f t="shared" si="3"/>
        <v>O3</v>
      </c>
      <c r="C45" s="25" t="str">
        <f t="shared" si="3"/>
        <v>Рамочное соглашение об оптовых закупках</v>
      </c>
      <c r="D45" s="46" cm="1">
        <f t="array" aca="1" ref="D45" ca="1">_xll.VoseBernoulli(D24)</f>
        <v>0</v>
      </c>
      <c r="E45" s="47" cm="1">
        <f t="array" aca="1" ref="E45" ca="1">_xll.VoseUniform(0,1)</f>
        <v>0.37135144218336791</v>
      </c>
      <c r="F45" s="48" cm="1">
        <f t="array" aca="1" ref="F45" ca="1">_xll.VoseInput("O3  Рамочное соглашение об оптовых закупках","млн долл.")+D45*IF(G24=E24,E24,_xll.VosePERT(E24,F24,G24,E45))</f>
        <v>0</v>
      </c>
      <c r="G45" s="49" cm="1">
        <f t="array" aca="1" ref="G45" ca="1">D45*IF(J24=H24,H24,_xll.VosePERT(H24,I24,J24,E45))</f>
        <v>0</v>
      </c>
      <c r="H45" s="28"/>
      <c r="I45" s="28"/>
      <c r="J45" s="28"/>
      <c r="K45" s="28"/>
      <c r="L45" s="28"/>
      <c r="M45" s="28"/>
      <c r="N45" s="28"/>
    </row>
    <row r="46" spans="2:14" x14ac:dyDescent="0.45">
      <c r="B46" s="42"/>
      <c r="C46" s="43" t="s">
        <v>193</v>
      </c>
      <c r="D46" s="50">
        <f ca="1">SUM(D31:D45)</f>
        <v>5</v>
      </c>
      <c r="E46" s="42"/>
      <c r="F46" s="44">
        <f ca="1">SUM(F31:F45)</f>
        <v>5.0477166943640634</v>
      </c>
      <c r="G46" s="45">
        <f ca="1">SUM(G31:G45)</f>
        <v>16.921312600084605</v>
      </c>
      <c r="H46" s="42"/>
      <c r="I46" s="42"/>
      <c r="J46" s="42"/>
      <c r="K46" s="42"/>
      <c r="L46" s="42"/>
      <c r="M46" s="42"/>
      <c r="N46" s="42"/>
    </row>
    <row r="47" spans="2:14" ht="8" customHeight="1" x14ac:dyDescent="0.45"/>
    <row r="48" spans="2:14" ht="22.05" customHeight="1" x14ac:dyDescent="0.5">
      <c r="B48" s="7" t="s">
        <v>194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 ht="18" customHeight="1" x14ac:dyDescent="0.45">
      <c r="B49" s="13" t="s">
        <v>195</v>
      </c>
    </row>
    <row r="50" spans="2:14" ht="18" customHeight="1" x14ac:dyDescent="0.45">
      <c r="B50" s="5"/>
      <c r="C50" s="51" t="s">
        <v>196</v>
      </c>
      <c r="D50" s="51" t="s">
        <v>98</v>
      </c>
      <c r="E50" s="52" t="s">
        <v>197</v>
      </c>
      <c r="F50" s="5"/>
      <c r="G50" s="5"/>
      <c r="H50" s="5"/>
      <c r="I50" s="5"/>
      <c r="J50" s="5"/>
      <c r="K50" s="5"/>
      <c r="L50" s="5"/>
      <c r="M50" s="5"/>
      <c r="N50" s="51" t="s">
        <v>198</v>
      </c>
    </row>
    <row r="51" spans="2:14" x14ac:dyDescent="0.45">
      <c r="B51" s="28"/>
      <c r="C51" s="25" t="s">
        <v>199</v>
      </c>
      <c r="D51" s="26" t="s">
        <v>103</v>
      </c>
      <c r="E51" s="53" cm="1">
        <f t="array" aca="1" ref="E51" ca="1">_xll.VoseOutput("Прямые затраты по рискам","млн долл.")+F46</f>
        <v>5.0477166943640634</v>
      </c>
      <c r="F51" s="28"/>
      <c r="G51" s="28"/>
      <c r="H51" s="28"/>
      <c r="I51" s="28"/>
      <c r="J51" s="28"/>
      <c r="K51" s="28"/>
      <c r="L51" s="28"/>
      <c r="M51" s="28"/>
      <c r="N51" s="26" t="s">
        <v>200</v>
      </c>
    </row>
    <row r="52" spans="2:14" x14ac:dyDescent="0.45">
      <c r="B52" s="28"/>
      <c r="C52" s="25" t="s">
        <v>186</v>
      </c>
      <c r="D52" s="26" t="s">
        <v>107</v>
      </c>
      <c r="E52" s="54" cm="1">
        <f t="array" aca="1" ref="E52" ca="1">_xll.VoseOutput("Задержка","нед.")+G46</f>
        <v>16.921312600084605</v>
      </c>
      <c r="F52" s="28"/>
      <c r="G52" s="28"/>
      <c r="H52" s="28"/>
      <c r="I52" s="28"/>
      <c r="J52" s="28"/>
      <c r="K52" s="28"/>
      <c r="L52" s="28"/>
      <c r="M52" s="28"/>
      <c r="N52" s="26" t="s">
        <v>201</v>
      </c>
    </row>
    <row r="53" spans="2:14" x14ac:dyDescent="0.45">
      <c r="B53" s="28"/>
      <c r="C53" s="25" t="s">
        <v>202</v>
      </c>
      <c r="D53" s="26" t="s">
        <v>107</v>
      </c>
      <c r="E53" s="54" cm="1">
        <f t="array" aca="1" ref="E53" ca="1">_xll.VoseOutput("Недели опоздания","нед.")+MAX(0,Delay-Float)</f>
        <v>8.9213126000846046</v>
      </c>
      <c r="F53" s="28"/>
      <c r="G53" s="28"/>
      <c r="H53" s="28"/>
      <c r="I53" s="28"/>
      <c r="J53" s="28"/>
      <c r="K53" s="28"/>
      <c r="L53" s="28"/>
      <c r="M53" s="28"/>
      <c r="N53" s="26" t="s">
        <v>203</v>
      </c>
    </row>
    <row r="54" spans="2:14" x14ac:dyDescent="0.45">
      <c r="B54" s="28"/>
      <c r="C54" s="25" t="s">
        <v>204</v>
      </c>
      <c r="D54" s="26" t="s">
        <v>103</v>
      </c>
      <c r="E54" s="38">
        <f ca="1">WeeksLate*WeeklyCost</f>
        <v>1.0705575120101525</v>
      </c>
      <c r="F54" s="28"/>
      <c r="G54" s="28"/>
      <c r="H54" s="28"/>
      <c r="I54" s="28"/>
      <c r="J54" s="28"/>
      <c r="K54" s="28"/>
      <c r="L54" s="28"/>
      <c r="M54" s="28"/>
      <c r="N54" s="26" t="s">
        <v>205</v>
      </c>
    </row>
    <row r="55" spans="2:14" x14ac:dyDescent="0.45">
      <c r="B55" s="28"/>
      <c r="C55" s="25" t="s">
        <v>206</v>
      </c>
      <c r="D55" s="26" t="s">
        <v>103</v>
      </c>
      <c r="E55" s="53" cm="1">
        <f t="array" aca="1" ref="E55" ca="1">_xll.VoseOutput("Общая стоимость рисков","млн долл.")+DirectRisk+DelayCost</f>
        <v>6.1182742063742159</v>
      </c>
      <c r="F55" s="28"/>
      <c r="G55" s="28"/>
      <c r="H55" s="28"/>
      <c r="I55" s="28"/>
      <c r="J55" s="28"/>
      <c r="K55" s="28"/>
      <c r="L55" s="28"/>
      <c r="M55" s="28"/>
      <c r="N55" s="26" t="s">
        <v>207</v>
      </c>
    </row>
    <row r="56" spans="2:14" x14ac:dyDescent="0.45">
      <c r="B56" s="28"/>
      <c r="C56" s="25" t="s">
        <v>208</v>
      </c>
      <c r="D56" s="26" t="s">
        <v>209</v>
      </c>
      <c r="E56" s="55" cm="1">
        <f t="array" aca="1" ref="E56" ca="1">_xll.VoseOutput("Вовремя","1 = да")+IF(Delay&lt;=Float,1,0)</f>
        <v>0</v>
      </c>
      <c r="F56" s="28"/>
      <c r="G56" s="28"/>
      <c r="H56" s="28"/>
      <c r="I56" s="28"/>
      <c r="J56" s="28"/>
      <c r="K56" s="28"/>
      <c r="L56" s="28"/>
      <c r="M56" s="28"/>
      <c r="N56" s="26"/>
    </row>
    <row r="57" spans="2:14" x14ac:dyDescent="0.45">
      <c r="B57" s="28"/>
      <c r="C57" s="25" t="s">
        <v>210</v>
      </c>
      <c r="D57" s="26" t="s">
        <v>211</v>
      </c>
      <c r="E57" s="55" cm="1">
        <f t="array" aca="1" ref="E57" ca="1">_xll.VoseOutput("Реализовавшиеся угрозы","рисков")+COUNTIFS(Kind,"угроза",Happens,1)</f>
        <v>5</v>
      </c>
      <c r="F57" s="28"/>
      <c r="G57" s="28"/>
      <c r="H57" s="28"/>
      <c r="I57" s="28"/>
      <c r="J57" s="28"/>
      <c r="K57" s="28"/>
      <c r="L57" s="28"/>
      <c r="M57" s="28"/>
      <c r="N57" s="26"/>
    </row>
    <row r="58" spans="2:14" ht="8" customHeight="1" x14ac:dyDescent="0.45"/>
    <row r="59" spans="2:14" ht="22.05" customHeight="1" x14ac:dyDescent="0.5">
      <c r="B59" s="7" t="s">
        <v>212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2:14" ht="18" customHeight="1" x14ac:dyDescent="0.45">
      <c r="B60" s="13" t="s">
        <v>213</v>
      </c>
    </row>
    <row r="61" spans="2:14" x14ac:dyDescent="0.45">
      <c r="B61" s="28"/>
      <c r="C61" s="25" t="s">
        <v>214</v>
      </c>
      <c r="D61" s="28"/>
      <c r="E61" s="56" t="str">
        <f>IF(AND(MIN(D10:D24)&gt;=0,MAX(D10:D24)&lt;=1),"ОК","ПРОВЕРИТЬ")</f>
        <v>ОК</v>
      </c>
      <c r="F61" s="28"/>
      <c r="G61" s="28"/>
      <c r="H61" s="28"/>
      <c r="I61" s="28"/>
      <c r="J61" s="28"/>
      <c r="K61" s="28"/>
      <c r="L61" s="28"/>
      <c r="M61" s="28"/>
      <c r="N61" s="28"/>
    </row>
    <row r="62" spans="2:14" ht="14" customHeight="1" x14ac:dyDescent="0.45"/>
  </sheetData>
  <conditionalFormatting sqref="E61">
    <cfRule type="expression" dxfId="4" priority="1">
      <formula>E61="CHECK"</formula>
    </cfRule>
  </conditionalFormatting>
  <dataValidations count="3">
    <dataValidation type="decimal" showErrorMessage="1" errorTitle="Вероятность" error="Введите значение от 0% до 100%." sqref="D10:D24" xr:uid="{00000000-0002-0000-0200-000000000000}">
      <formula1>0</formula1>
      <formula2>1</formula2>
    </dataValidation>
    <dataValidation type="custom" showErrorMessage="1" errorTitle="Диапазон затрат" error="Мин. ≤ наиболее вероятное ≤ макс." sqref="E10:G24" xr:uid="{00000000-0002-0000-0200-000001000000}">
      <formula1>AND($E10&lt;=$F10,$F10&lt;=$G10)</formula1>
    </dataValidation>
    <dataValidation type="custom" showErrorMessage="1" errorTitle="Диапазон задержки" error="Мин. ≤ наиболее вероятное ≤ макс." sqref="H10:J24" xr:uid="{00000000-0002-0000-0200-000002000000}">
      <formula1>AND($H10&lt;=$I10,$I10&lt;=$J10)</formula1>
    </dataValidation>
  </dataValidations>
  <hyperlinks>
    <hyperlink ref="B4" location="'Исходные данные'!A1" display="◂  Исходные данные" xr:uid="{00000000-0004-0000-0200-000000000000}"/>
    <hyperlink ref="N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5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2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7" t="str" cm="1">
        <f t="array" aca="1" ref="B6" ca="1">IF(ISNUMBER(_xll.VoseSimMean(TotalRisk)),"✔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8"/>
      <c r="D6" s="58"/>
      <c r="E6" s="58"/>
      <c r="F6" s="58"/>
      <c r="G6" s="58"/>
    </row>
    <row r="7" spans="1:18" x14ac:dyDescent="0.45">
      <c r="B7" s="59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217</v>
      </c>
      <c r="C9" s="8"/>
      <c r="D9" s="8"/>
      <c r="E9" s="8"/>
      <c r="F9" s="8"/>
      <c r="G9" s="8"/>
      <c r="I9" s="60" t="s">
        <v>218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219</v>
      </c>
    </row>
    <row r="11" spans="1:18" ht="18" customHeight="1" x14ac:dyDescent="0.45">
      <c r="B11" s="23" t="s">
        <v>220</v>
      </c>
      <c r="C11" s="23" t="s">
        <v>98</v>
      </c>
      <c r="D11" s="24" t="s">
        <v>197</v>
      </c>
      <c r="E11" s="5"/>
      <c r="F11" s="5"/>
      <c r="G11" s="5"/>
    </row>
    <row r="12" spans="1:18" x14ac:dyDescent="0.45">
      <c r="B12" s="61" t="s">
        <v>221</v>
      </c>
      <c r="C12" s="26" t="s">
        <v>103</v>
      </c>
      <c r="D12" s="38">
        <f>EV_Cost+MAX(0,EV_Delay-Float)*WeeklyCost</f>
        <v>4.0301</v>
      </c>
      <c r="E12" s="28"/>
      <c r="F12" s="28"/>
      <c r="G12" s="28"/>
    </row>
    <row r="13" spans="1:18" x14ac:dyDescent="0.45">
      <c r="B13" s="25" t="s">
        <v>222</v>
      </c>
      <c r="C13" s="26" t="s">
        <v>103</v>
      </c>
      <c r="D13" s="62" cm="1">
        <f t="array" aca="1" ref="D13" ca="1">_xll.VoseSimMean(TotalRisk)</f>
        <v>4.1161220741241431</v>
      </c>
      <c r="E13" s="28"/>
      <c r="F13" s="28"/>
      <c r="G13" s="28"/>
    </row>
    <row r="14" spans="1:18" ht="22.05" customHeight="1" x14ac:dyDescent="0.45">
      <c r="B14" s="37" t="s">
        <v>223</v>
      </c>
      <c r="C14" s="26" t="s">
        <v>103</v>
      </c>
      <c r="D14" s="63" cm="1">
        <f t="array" aca="1" ref="D14" ca="1">_xll.VoseSimPercentile(TotalRisk,Confidence)</f>
        <v>6.0539720645006412</v>
      </c>
      <c r="E14" s="28"/>
      <c r="F14" s="28"/>
      <c r="G14" s="28"/>
    </row>
    <row r="15" spans="1:18" x14ac:dyDescent="0.45">
      <c r="B15" s="61" t="s">
        <v>224</v>
      </c>
      <c r="C15" s="26"/>
      <c r="D15" s="64">
        <f>Confidence</f>
        <v>0.8</v>
      </c>
      <c r="E15" s="28"/>
      <c r="F15" s="28"/>
      <c r="G15" s="28"/>
    </row>
    <row r="16" spans="1:18" x14ac:dyDescent="0.45">
      <c r="B16" s="25" t="s">
        <v>225</v>
      </c>
      <c r="C16" s="26" t="s">
        <v>103</v>
      </c>
      <c r="D16" s="62">
        <f ca="1">IFERROR(D14-(EV_Cost+MAX(0,EV_Delay-Float)*WeeklyCost),"–")</f>
        <v>2.0238720645006412</v>
      </c>
      <c r="E16" s="28"/>
      <c r="F16" s="28"/>
      <c r="G16" s="28"/>
    </row>
    <row r="17" spans="2:18" x14ac:dyDescent="0.45">
      <c r="B17" s="37" t="s">
        <v>226</v>
      </c>
      <c r="C17" s="26" t="s">
        <v>103</v>
      </c>
      <c r="D17" s="65">
        <f ca="1">IFERROR(BaseCost+D14,"–")</f>
        <v>91.053972064500641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227</v>
      </c>
      <c r="C19" s="8"/>
      <c r="D19" s="8"/>
      <c r="E19" s="8"/>
      <c r="F19" s="8"/>
      <c r="G19" s="8"/>
    </row>
    <row r="20" spans="2:18" ht="18" customHeight="1" x14ac:dyDescent="0.45">
      <c r="B20" s="13" t="s">
        <v>228</v>
      </c>
    </row>
    <row r="21" spans="2:18" ht="18" customHeight="1" x14ac:dyDescent="0.45">
      <c r="B21" s="23" t="s">
        <v>220</v>
      </c>
      <c r="C21" s="23" t="s">
        <v>98</v>
      </c>
      <c r="D21" s="24" t="s">
        <v>229</v>
      </c>
      <c r="E21" s="24" t="s">
        <v>230</v>
      </c>
      <c r="F21" s="24" t="s">
        <v>231</v>
      </c>
      <c r="G21" s="24" t="s">
        <v>232</v>
      </c>
    </row>
    <row r="22" spans="2:18" x14ac:dyDescent="0.45">
      <c r="B22" s="25" t="s">
        <v>206</v>
      </c>
      <c r="C22" s="26" t="s">
        <v>103</v>
      </c>
      <c r="D22" s="62" cm="1">
        <f t="array" aca="1" ref="D22" ca="1">_xll.VoseSimPercentile(TotalRisk,0.5)</f>
        <v>3.939137074660326</v>
      </c>
      <c r="E22" s="62" cm="1">
        <f t="array" aca="1" ref="E22" ca="1">_xll.VoseSimPercentile(TotalRisk,0.8)</f>
        <v>6.0539720645006412</v>
      </c>
      <c r="F22" s="62" cm="1">
        <f t="array" aca="1" ref="F22" ca="1">_xll.VoseSimPercentile(TotalRisk,0.9)</f>
        <v>7.3375214247816558</v>
      </c>
      <c r="G22" s="62" cm="1">
        <f t="array" aca="1" ref="G22" ca="1">_xll.VoseSimMean(TotalRisk)</f>
        <v>4.1161220741241431</v>
      </c>
    </row>
    <row r="23" spans="2:18" x14ac:dyDescent="0.45">
      <c r="B23" s="25" t="s">
        <v>199</v>
      </c>
      <c r="C23" s="26" t="s">
        <v>103</v>
      </c>
      <c r="D23" s="62" cm="1">
        <f t="array" aca="1" ref="D23" ca="1">_xll.VoseSimPercentile(DirectRisk,0.5)</f>
        <v>3.2523594622364835</v>
      </c>
      <c r="E23" s="62" cm="1">
        <f t="array" aca="1" ref="E23" ca="1">_xll.VoseSimPercentile(DirectRisk,0.8)</f>
        <v>4.8204916716112018</v>
      </c>
      <c r="F23" s="62" cm="1">
        <f t="array" aca="1" ref="F23" ca="1">_xll.VoseSimPercentile(DirectRisk,0.9)</f>
        <v>5.7550181383321899</v>
      </c>
      <c r="G23" s="62" cm="1">
        <f t="array" aca="1" ref="G23" ca="1">_xll.VoseSimMean(DirectRisk)</f>
        <v>3.3394022823588245</v>
      </c>
    </row>
    <row r="24" spans="2:18" x14ac:dyDescent="0.45">
      <c r="B24" s="25" t="s">
        <v>186</v>
      </c>
      <c r="C24" s="26" t="s">
        <v>107</v>
      </c>
      <c r="D24" s="65" cm="1">
        <f t="array" aca="1" ref="D24" ca="1">_xll.VoseSimPercentile(Delay,0.5)</f>
        <v>13.437949083842085</v>
      </c>
      <c r="E24" s="65" cm="1">
        <f t="array" aca="1" ref="E24" ca="1">_xll.VoseSimPercentile(Delay,0.8)</f>
        <v>19.361371994547667</v>
      </c>
      <c r="F24" s="65" cm="1">
        <f t="array" aca="1" ref="F24" ca="1">_xll.VoseSimPercentile(Delay,0.9)</f>
        <v>22.718224859262897</v>
      </c>
      <c r="G24" s="65" cm="1">
        <f t="array" aca="1" ref="G24" ca="1">_xll.VoseSimMean(Delay)</f>
        <v>13.835673077000628</v>
      </c>
    </row>
    <row r="25" spans="2:18" x14ac:dyDescent="0.45">
      <c r="B25" s="25" t="s">
        <v>202</v>
      </c>
      <c r="C25" s="26" t="s">
        <v>107</v>
      </c>
      <c r="D25" s="65" cm="1">
        <f t="array" aca="1" ref="D25" ca="1">_xll.VoseSimPercentile(WeeksLate,0.5)</f>
        <v>5.437949083842085</v>
      </c>
      <c r="E25" s="65" cm="1">
        <f t="array" aca="1" ref="E25" ca="1">_xll.VoseSimPercentile(WeeksLate,0.8)</f>
        <v>11.361371994547667</v>
      </c>
      <c r="F25" s="65" cm="1">
        <f t="array" aca="1" ref="F25" ca="1">_xll.VoseSimPercentile(WeeksLate,0.9)</f>
        <v>14.718224859262897</v>
      </c>
      <c r="G25" s="65" cm="1">
        <f t="array" aca="1" ref="G25" ca="1">_xll.VoseSimMean(WeeksLate)</f>
        <v>6.4726649313776647</v>
      </c>
    </row>
    <row r="26" spans="2:18" x14ac:dyDescent="0.45">
      <c r="B26" s="25" t="s">
        <v>210</v>
      </c>
      <c r="C26" s="26" t="s">
        <v>211</v>
      </c>
      <c r="D26" s="65" cm="1">
        <f t="array" aca="1" ref="D26" ca="1">_xll.VoseSimPercentile(Threats,0.5)</f>
        <v>4</v>
      </c>
      <c r="E26" s="65" cm="1">
        <f t="array" aca="1" ref="E26" ca="1">_xll.VoseSimPercentile(Threats,0.8)</f>
        <v>5</v>
      </c>
      <c r="F26" s="65" cm="1">
        <f t="array" aca="1" ref="F26" ca="1">_xll.VoseSimPercentile(Threats,0.9)</f>
        <v>6</v>
      </c>
      <c r="G26" s="65" cm="1">
        <f t="array" aca="1" ref="G26" ca="1">_xll.VoseSimMean(Threats)</f>
        <v>4.1886000000000001</v>
      </c>
    </row>
    <row r="27" spans="2:18" ht="18" customHeight="1" x14ac:dyDescent="0.45">
      <c r="B27" s="23" t="s">
        <v>220</v>
      </c>
      <c r="C27" s="23" t="s">
        <v>98</v>
      </c>
      <c r="D27" s="24" t="s">
        <v>197</v>
      </c>
      <c r="E27" s="5"/>
      <c r="F27" s="5"/>
      <c r="G27" s="5"/>
    </row>
    <row r="28" spans="2:18" x14ac:dyDescent="0.45">
      <c r="B28" s="37" t="s">
        <v>233</v>
      </c>
      <c r="C28" s="26" t="s">
        <v>115</v>
      </c>
      <c r="D28" s="66" cm="1">
        <f t="array" aca="1" ref="D28" ca="1">_xll.VoseSimMean(OnTime)</f>
        <v>0.20180000000000001</v>
      </c>
      <c r="E28" s="28"/>
      <c r="F28" s="28"/>
      <c r="G28" s="28"/>
    </row>
    <row r="29" spans="2:18" ht="22.05" customHeight="1" x14ac:dyDescent="0.5">
      <c r="B29" s="7" t="s">
        <v>234</v>
      </c>
      <c r="C29" s="8"/>
      <c r="D29" s="8"/>
      <c r="E29" s="8"/>
      <c r="F29" s="8"/>
      <c r="G29" s="8"/>
      <c r="I29" s="60" t="s">
        <v>235</v>
      </c>
      <c r="J29" s="8"/>
      <c r="K29" s="8"/>
      <c r="L29" s="8"/>
      <c r="M29" s="8"/>
      <c r="N29" s="8"/>
      <c r="O29" s="8"/>
      <c r="P29" s="8"/>
      <c r="Q29" s="8"/>
      <c r="R29" s="8"/>
    </row>
    <row r="30" spans="2:18" ht="18" customHeight="1" x14ac:dyDescent="0.45">
      <c r="B30" s="13" t="s">
        <v>236</v>
      </c>
    </row>
    <row r="31" spans="2:18" ht="18" customHeight="1" x14ac:dyDescent="0.45">
      <c r="B31" s="23" t="s">
        <v>237</v>
      </c>
      <c r="C31" s="24" t="s">
        <v>238</v>
      </c>
      <c r="D31" s="24" t="s">
        <v>239</v>
      </c>
      <c r="E31" s="67" t="s">
        <v>240</v>
      </c>
      <c r="F31" s="5"/>
      <c r="G31" s="5"/>
    </row>
    <row r="32" spans="2:18" x14ac:dyDescent="0.45">
      <c r="B32" s="25" t="str">
        <f t="array" aca="1" ref="B32:E46" ca="1">_xll.VoseSimSensitivityMean(TotalRisk,10,1,FALSE)</f>
        <v>T9  Банкротство ключевого субподрядчика</v>
      </c>
      <c r="C32" s="62">
        <f ca="1"/>
        <v>3.8104416778874852</v>
      </c>
      <c r="D32" s="62">
        <f ca="1"/>
        <v>7.7094263237633367</v>
      </c>
      <c r="E32" s="68">
        <f ca="1"/>
        <v>1</v>
      </c>
      <c r="F32" s="28"/>
      <c r="G32" s="28"/>
    </row>
    <row r="33" spans="2:7" x14ac:dyDescent="0.45">
      <c r="B33" s="25" t="str">
        <f ca="1"/>
        <v>T3  Изменения проекта заказчиком после стадии П</v>
      </c>
      <c r="C33" s="62">
        <f ca="1"/>
        <v>2.9145724569218348</v>
      </c>
      <c r="D33" s="62">
        <f ca="1"/>
        <v>6.1293752499015914</v>
      </c>
      <c r="E33" s="68">
        <f ca="1"/>
        <v>2</v>
      </c>
      <c r="F33" s="28"/>
      <c r="G33" s="28"/>
    </row>
    <row r="34" spans="2:7" x14ac:dyDescent="0.45">
      <c r="B34" s="25" t="str">
        <f ca="1"/>
        <v>T7  Нехватка монтажников инженерных систем</v>
      </c>
      <c r="C34" s="62">
        <f ca="1"/>
        <v>3.4233366316816927</v>
      </c>
      <c r="D34" s="62">
        <f ca="1"/>
        <v>5.7270451017687325</v>
      </c>
      <c r="E34" s="68">
        <f ca="1"/>
        <v>3</v>
      </c>
      <c r="F34" s="28"/>
      <c r="G34" s="28"/>
    </row>
    <row r="35" spans="2:7" x14ac:dyDescent="0.45">
      <c r="B35" s="25" t="str">
        <f ca="1"/>
        <v>T1  Загрязненный грунт при разработке котлована</v>
      </c>
      <c r="C35" s="62">
        <f ca="1"/>
        <v>3.7154209135725305</v>
      </c>
      <c r="D35" s="62">
        <f ca="1"/>
        <v>5.6027518420852767</v>
      </c>
      <c r="E35" s="68">
        <f ca="1"/>
        <v>4</v>
      </c>
      <c r="F35" s="28"/>
      <c r="G35" s="28"/>
    </row>
    <row r="36" spans="2:7" x14ac:dyDescent="0.45">
      <c r="B36" s="25" t="str">
        <f ca="1"/>
        <v>T5  Рост цен на медицинское оборудование</v>
      </c>
      <c r="C36" s="62">
        <f ca="1"/>
        <v>3.5853418460009183</v>
      </c>
      <c r="D36" s="62">
        <f ca="1"/>
        <v>5.2222227626746944</v>
      </c>
      <c r="E36" s="68">
        <f ca="1"/>
        <v>5</v>
      </c>
      <c r="F36" s="28"/>
      <c r="G36" s="28"/>
    </row>
    <row r="37" spans="2:7" x14ac:dyDescent="0.45">
      <c r="B37" s="25" t="str">
        <f ca="1"/>
        <v>T4  Асбест в существующем здании</v>
      </c>
      <c r="C37" s="62">
        <f ca="1"/>
        <v>3.7042376976157412</v>
      </c>
      <c r="D37" s="62">
        <f ca="1"/>
        <v>5.3294795255496075</v>
      </c>
      <c r="E37" s="68">
        <f ca="1"/>
        <v>6</v>
      </c>
      <c r="F37" s="28"/>
      <c r="G37" s="28"/>
    </row>
    <row r="38" spans="2:7" x14ac:dyDescent="0.45">
      <c r="B38" s="25" t="str">
        <f ca="1"/>
        <v>T2  Перекладка газопровода дольше плана</v>
      </c>
      <c r="C38" s="62">
        <f ca="1"/>
        <v>3.6781623644025547</v>
      </c>
      <c r="D38" s="62">
        <f ca="1"/>
        <v>5.1934891281814659</v>
      </c>
      <c r="E38" s="68">
        <f ca="1"/>
        <v>7</v>
      </c>
      <c r="F38" s="28"/>
      <c r="G38" s="28"/>
    </row>
    <row r="39" spans="2:7" x14ac:dyDescent="0.45">
      <c r="B39" s="25" t="str">
        <f ca="1"/>
        <v>T11  Работа больницы ограничивает часы работ</v>
      </c>
      <c r="C39" s="62">
        <f ca="1"/>
        <v>3.5838666483374375</v>
      </c>
      <c r="D39" s="62">
        <f ca="1"/>
        <v>5.0862911417421213</v>
      </c>
      <c r="E39" s="68">
        <f ca="1"/>
        <v>8</v>
      </c>
      <c r="F39" s="28"/>
      <c r="G39" s="28"/>
    </row>
    <row r="40" spans="2:7" x14ac:dyDescent="0.45">
      <c r="B40" s="25" t="str">
        <f ca="1"/>
        <v>T10  Дефекты при пусконаладке медицинских газов</v>
      </c>
      <c r="C40" s="62">
        <f ca="1"/>
        <v>3.9299847948587119</v>
      </c>
      <c r="D40" s="62">
        <f ca="1"/>
        <v>5.0516715282883862</v>
      </c>
      <c r="E40" s="68">
        <f ca="1"/>
        <v>9</v>
      </c>
      <c r="F40" s="28"/>
      <c r="G40" s="28"/>
    </row>
    <row r="41" spans="2:7" x14ac:dyDescent="0.45">
      <c r="B41" s="25" t="str">
        <f ca="1"/>
        <v>T12  Повторное согласование противопожарных решений</v>
      </c>
      <c r="C41" s="62">
        <f ca="1"/>
        <v>3.9573345112913181</v>
      </c>
      <c r="D41" s="62">
        <f ca="1"/>
        <v>5.0186896885982497</v>
      </c>
      <c r="E41" s="68">
        <f ca="1"/>
        <v>10</v>
      </c>
      <c r="F41" s="28"/>
      <c r="G41" s="28"/>
    </row>
    <row r="42" spans="2:7" x14ac:dyDescent="0.45">
      <c r="B42" s="25" t="str">
        <f ca="1"/>
        <v>T6  Условие разрешения требует археологических работ</v>
      </c>
      <c r="C42" s="62">
        <f ca="1"/>
        <v>3.9523317947216903</v>
      </c>
      <c r="D42" s="62">
        <f ca="1"/>
        <v>5.0109349649405832</v>
      </c>
      <c r="E42" s="68">
        <f ca="1"/>
        <v>11</v>
      </c>
      <c r="F42" s="28"/>
      <c r="G42" s="28"/>
    </row>
    <row r="43" spans="2:7" x14ac:dyDescent="0.45">
      <c r="B43" s="25" t="str">
        <f ca="1"/>
        <v>T8  Дождливая зима останавливает земляные работы</v>
      </c>
      <c r="C43" s="62">
        <f ca="1"/>
        <v>3.8841576789359094</v>
      </c>
      <c r="D43" s="62">
        <f ca="1"/>
        <v>4.8593359893725214</v>
      </c>
      <c r="E43" s="68">
        <f ca="1"/>
        <v>12</v>
      </c>
      <c r="F43" s="28"/>
      <c r="G43" s="28"/>
    </row>
    <row r="44" spans="2:7" x14ac:dyDescent="0.45">
      <c r="B44" s="25" t="str">
        <f ca="1"/>
        <v>O1  Оптимизация фасада</v>
      </c>
      <c r="C44" s="62">
        <f ca="1"/>
        <v>3.6111147536951482</v>
      </c>
      <c r="D44" s="62">
        <f ca="1"/>
        <v>4.4069048684138412</v>
      </c>
      <c r="E44" s="68">
        <f ca="1"/>
        <v>13</v>
      </c>
      <c r="F44" s="28"/>
      <c r="G44" s="28"/>
    </row>
    <row r="45" spans="2:7" x14ac:dyDescent="0.45">
      <c r="B45" s="25" t="str">
        <f ca="1"/>
        <v>O3  Рамочное соглашение об оптовых закупках</v>
      </c>
      <c r="C45" s="62">
        <f ca="1"/>
        <v>3.8263395178120754</v>
      </c>
      <c r="D45" s="62">
        <f ca="1"/>
        <v>4.2262468677583334</v>
      </c>
      <c r="E45" s="68">
        <f ca="1"/>
        <v>14</v>
      </c>
      <c r="F45" s="28"/>
      <c r="G45" s="28"/>
    </row>
    <row r="46" spans="2:7" x14ac:dyDescent="0.45">
      <c r="B46" s="25" t="str">
        <f ca="1"/>
        <v>O2  Ранний доступ к стройгородку</v>
      </c>
      <c r="C46" s="62">
        <f ca="1"/>
        <v>3.7988626006367703</v>
      </c>
      <c r="D46" s="62">
        <f ca="1"/>
        <v>4.1946338628828395</v>
      </c>
      <c r="E46" s="68">
        <f ca="1"/>
        <v>15</v>
      </c>
      <c r="F46" s="28"/>
      <c r="G46" s="28"/>
    </row>
    <row r="49" spans="2:7" ht="22.05" customHeight="1" x14ac:dyDescent="0.5">
      <c r="B49" s="7" t="s">
        <v>241</v>
      </c>
      <c r="C49" s="8"/>
      <c r="D49" s="8"/>
      <c r="E49" s="8"/>
      <c r="F49" s="8"/>
      <c r="G49" s="8"/>
    </row>
    <row r="50" spans="2:7" ht="32" customHeight="1" x14ac:dyDescent="0.45">
      <c r="B50" s="75" t="s">
        <v>242</v>
      </c>
      <c r="C50" s="76"/>
      <c r="D50" s="76"/>
      <c r="E50" s="76"/>
      <c r="F50" s="76"/>
      <c r="G50" s="76"/>
    </row>
    <row r="51" spans="2:7" ht="45" customHeight="1" x14ac:dyDescent="0.45">
      <c r="B51" s="75" t="s">
        <v>243</v>
      </c>
      <c r="C51" s="76"/>
      <c r="D51" s="76"/>
      <c r="E51" s="76"/>
      <c r="F51" s="76"/>
      <c r="G51" s="76"/>
    </row>
    <row r="52" spans="2:7" ht="32" customHeight="1" x14ac:dyDescent="0.45">
      <c r="B52" s="75" t="s">
        <v>244</v>
      </c>
      <c r="C52" s="76"/>
      <c r="D52" s="76"/>
      <c r="E52" s="76"/>
      <c r="F52" s="76"/>
      <c r="G52" s="76"/>
    </row>
    <row r="53" spans="2:7" ht="32" customHeight="1" x14ac:dyDescent="0.45">
      <c r="B53" s="75" t="s">
        <v>245</v>
      </c>
      <c r="C53" s="76"/>
      <c r="D53" s="76"/>
      <c r="E53" s="76"/>
      <c r="F53" s="76"/>
      <c r="G53" s="76"/>
    </row>
    <row r="54" spans="2:7" ht="14" customHeight="1" x14ac:dyDescent="0.45"/>
    <row r="55" spans="2:7" ht="14" customHeight="1" x14ac:dyDescent="0.45"/>
    <row r="56" spans="2:7" ht="22.05" customHeight="1" x14ac:dyDescent="0.5">
      <c r="B56" s="7" t="s">
        <v>246</v>
      </c>
      <c r="C56" s="8"/>
      <c r="D56" s="8"/>
      <c r="E56" s="8"/>
      <c r="F56" s="8"/>
      <c r="G56" s="8"/>
    </row>
    <row r="57" spans="2:7" ht="18" customHeight="1" x14ac:dyDescent="0.45">
      <c r="B57" s="13" t="s">
        <v>247</v>
      </c>
    </row>
    <row r="58" spans="2:7" ht="28.05" hidden="1" customHeight="1" outlineLevel="1" x14ac:dyDescent="0.45">
      <c r="B58" s="24" t="s">
        <v>248</v>
      </c>
      <c r="C58" s="24" t="s">
        <v>249</v>
      </c>
      <c r="D58" s="24" t="s">
        <v>250</v>
      </c>
      <c r="E58" s="5"/>
      <c r="F58" s="5"/>
      <c r="G58" s="5"/>
    </row>
    <row r="59" spans="2:7" hidden="1" outlineLevel="1" x14ac:dyDescent="0.45">
      <c r="B59" s="69">
        <v>0.01</v>
      </c>
      <c r="C59" s="69">
        <f t="shared" ref="C59:C90" si="0">1-B59</f>
        <v>0.99</v>
      </c>
      <c r="D59" s="70" cm="1">
        <f t="array" aca="1" ref="D59" ca="1">IF(ISNUMBER(_xll.VoseSimPercentile(TotalRisk,$B59)),_xll.VoseSimPercentile(TotalRisk,$B59),NA())</f>
        <v>-0.37480803941780072</v>
      </c>
    </row>
    <row r="60" spans="2:7" hidden="1" outlineLevel="1" x14ac:dyDescent="0.45">
      <c r="B60" s="69">
        <v>0.03</v>
      </c>
      <c r="C60" s="69">
        <f t="shared" si="0"/>
        <v>0.97</v>
      </c>
      <c r="D60" s="70" cm="1">
        <f t="array" aca="1" ref="D60" ca="1">IF(ISNUMBER(_xll.VoseSimPercentile(TotalRisk,$B60)),_xll.VoseSimPercentile(TotalRisk,$B60),NA())</f>
        <v>0.24401932306828777</v>
      </c>
    </row>
    <row r="61" spans="2:7" hidden="1" outlineLevel="1" x14ac:dyDescent="0.45">
      <c r="B61" s="69">
        <v>0.05</v>
      </c>
      <c r="C61" s="69">
        <f t="shared" si="0"/>
        <v>0.95</v>
      </c>
      <c r="D61" s="70" cm="1">
        <f t="array" aca="1" ref="D61" ca="1">IF(ISNUMBER(_xll.VoseSimPercentile(TotalRisk,$B61)),_xll.VoseSimPercentile(TotalRisk,$B61),NA())</f>
        <v>0.59196921882754716</v>
      </c>
    </row>
    <row r="62" spans="2:7" hidden="1" outlineLevel="1" x14ac:dyDescent="0.45">
      <c r="B62" s="69">
        <v>7.0000000000000007E-2</v>
      </c>
      <c r="C62" s="69">
        <f t="shared" si="0"/>
        <v>0.92999999999999994</v>
      </c>
      <c r="D62" s="70" cm="1">
        <f t="array" aca="1" ref="D62" ca="1">IF(ISNUMBER(_xll.VoseSimPercentile(TotalRisk,$B62)),_xll.VoseSimPercentile(TotalRisk,$B62),NA())</f>
        <v>0.84225488887478872</v>
      </c>
    </row>
    <row r="63" spans="2:7" hidden="1" outlineLevel="1" x14ac:dyDescent="0.45">
      <c r="B63" s="69">
        <v>0.09</v>
      </c>
      <c r="C63" s="69">
        <f t="shared" si="0"/>
        <v>0.91</v>
      </c>
      <c r="D63" s="70" cm="1">
        <f t="array" aca="1" ref="D63" ca="1">IF(ISNUMBER(_xll.VoseSimPercentile(TotalRisk,$B63)),_xll.VoseSimPercentile(TotalRisk,$B63),NA())</f>
        <v>1.0423446507485039</v>
      </c>
    </row>
    <row r="64" spans="2:7" hidden="1" outlineLevel="1" x14ac:dyDescent="0.45">
      <c r="B64" s="69">
        <v>0.11</v>
      </c>
      <c r="C64" s="69">
        <f t="shared" si="0"/>
        <v>0.89</v>
      </c>
      <c r="D64" s="70" cm="1">
        <f t="array" aca="1" ref="D64" ca="1">IF(ISNUMBER(_xll.VoseSimPercentile(TotalRisk,$B64)),_xll.VoseSimPercentile(TotalRisk,$B64),NA())</f>
        <v>1.2419188407427078</v>
      </c>
    </row>
    <row r="65" spans="2:4" hidden="1" outlineLevel="1" x14ac:dyDescent="0.45">
      <c r="B65" s="69">
        <v>0.13</v>
      </c>
      <c r="C65" s="69">
        <f t="shared" si="0"/>
        <v>0.87</v>
      </c>
      <c r="D65" s="70" cm="1">
        <f t="array" aca="1" ref="D65" ca="1">IF(ISNUMBER(_xll.VoseSimPercentile(TotalRisk,$B65)),_xll.VoseSimPercentile(TotalRisk,$B65),NA())</f>
        <v>1.4355207803593917</v>
      </c>
    </row>
    <row r="66" spans="2:4" hidden="1" outlineLevel="1" x14ac:dyDescent="0.45">
      <c r="B66" s="69">
        <v>0.15</v>
      </c>
      <c r="C66" s="69">
        <f t="shared" si="0"/>
        <v>0.85</v>
      </c>
      <c r="D66" s="70" cm="1">
        <f t="array" aca="1" ref="D66" ca="1">IF(ISNUMBER(_xll.VoseSimPercentile(TotalRisk,$B66)),_xll.VoseSimPercentile(TotalRisk,$B66),NA())</f>
        <v>1.5925872955059948</v>
      </c>
    </row>
    <row r="67" spans="2:4" hidden="1" outlineLevel="1" x14ac:dyDescent="0.45">
      <c r="B67" s="69">
        <v>0.17</v>
      </c>
      <c r="C67" s="69">
        <f t="shared" si="0"/>
        <v>0.83</v>
      </c>
      <c r="D67" s="70" cm="1">
        <f t="array" aca="1" ref="D67" ca="1">IF(ISNUMBER(_xll.VoseSimPercentile(TotalRisk,$B67)),_xll.VoseSimPercentile(TotalRisk,$B67),NA())</f>
        <v>1.7450905634506242</v>
      </c>
    </row>
    <row r="68" spans="2:4" hidden="1" outlineLevel="1" x14ac:dyDescent="0.45">
      <c r="B68" s="69">
        <v>0.19</v>
      </c>
      <c r="C68" s="69">
        <f t="shared" si="0"/>
        <v>0.81</v>
      </c>
      <c r="D68" s="70" cm="1">
        <f t="array" aca="1" ref="D68" ca="1">IF(ISNUMBER(_xll.VoseSimPercentile(TotalRisk,$B68)),_xll.VoseSimPercentile(TotalRisk,$B68),NA())</f>
        <v>1.9234695030754438</v>
      </c>
    </row>
    <row r="69" spans="2:4" hidden="1" outlineLevel="1" x14ac:dyDescent="0.45">
      <c r="B69" s="69">
        <v>0.21</v>
      </c>
      <c r="C69" s="69">
        <f t="shared" si="0"/>
        <v>0.79</v>
      </c>
      <c r="D69" s="70" cm="1">
        <f t="array" aca="1" ref="D69" ca="1">IF(ISNUMBER(_xll.VoseSimPercentile(TotalRisk,$B69)),_xll.VoseSimPercentile(TotalRisk,$B69),NA())</f>
        <v>2.0489556608888266</v>
      </c>
    </row>
    <row r="70" spans="2:4" hidden="1" outlineLevel="1" x14ac:dyDescent="0.45">
      <c r="B70" s="69">
        <v>0.23</v>
      </c>
      <c r="C70" s="69">
        <f t="shared" si="0"/>
        <v>0.77</v>
      </c>
      <c r="D70" s="70" cm="1">
        <f t="array" aca="1" ref="D70" ca="1">IF(ISNUMBER(_xll.VoseSimPercentile(TotalRisk,$B70)),_xll.VoseSimPercentile(TotalRisk,$B70),NA())</f>
        <v>2.1717970671000586</v>
      </c>
    </row>
    <row r="71" spans="2:4" hidden="1" outlineLevel="1" x14ac:dyDescent="0.45">
      <c r="B71" s="69">
        <v>0.25</v>
      </c>
      <c r="C71" s="69">
        <f t="shared" si="0"/>
        <v>0.75</v>
      </c>
      <c r="D71" s="70" cm="1">
        <f t="array" aca="1" ref="D71" ca="1">IF(ISNUMBER(_xll.VoseSimPercentile(TotalRisk,$B71)),_xll.VoseSimPercentile(TotalRisk,$B71),NA())</f>
        <v>2.3081880176505565</v>
      </c>
    </row>
    <row r="72" spans="2:4" hidden="1" outlineLevel="1" x14ac:dyDescent="0.45">
      <c r="B72" s="69">
        <v>0.27</v>
      </c>
      <c r="C72" s="69">
        <f t="shared" si="0"/>
        <v>0.73</v>
      </c>
      <c r="D72" s="70" cm="1">
        <f t="array" aca="1" ref="D72" ca="1">IF(ISNUMBER(_xll.VoseSimPercentile(TotalRisk,$B72)),_xll.VoseSimPercentile(TotalRisk,$B72),NA())</f>
        <v>2.4307167804155672</v>
      </c>
    </row>
    <row r="73" spans="2:4" hidden="1" outlineLevel="1" x14ac:dyDescent="0.45">
      <c r="B73" s="69">
        <v>0.28999999999999998</v>
      </c>
      <c r="C73" s="69">
        <f t="shared" si="0"/>
        <v>0.71</v>
      </c>
      <c r="D73" s="70" cm="1">
        <f t="array" aca="1" ref="D73" ca="1">IF(ISNUMBER(_xll.VoseSimPercentile(TotalRisk,$B73)),_xll.VoseSimPercentile(TotalRisk,$B73),NA())</f>
        <v>2.5629297299469123</v>
      </c>
    </row>
    <row r="74" spans="2:4" hidden="1" outlineLevel="1" x14ac:dyDescent="0.45">
      <c r="B74" s="69">
        <v>0.31</v>
      </c>
      <c r="C74" s="69">
        <f t="shared" si="0"/>
        <v>0.69</v>
      </c>
      <c r="D74" s="70" cm="1">
        <f t="array" aca="1" ref="D74" ca="1">IF(ISNUMBER(_xll.VoseSimPercentile(TotalRisk,$B74)),_xll.VoseSimPercentile(TotalRisk,$B74),NA())</f>
        <v>2.7055114376765945</v>
      </c>
    </row>
    <row r="75" spans="2:4" hidden="1" outlineLevel="1" x14ac:dyDescent="0.45">
      <c r="B75" s="69">
        <v>0.33</v>
      </c>
      <c r="C75" s="69">
        <f t="shared" si="0"/>
        <v>0.66999999999999993</v>
      </c>
      <c r="D75" s="70" cm="1">
        <f t="array" aca="1" ref="D75" ca="1">IF(ISNUMBER(_xll.VoseSimPercentile(TotalRisk,$B75)),_xll.VoseSimPercentile(TotalRisk,$B75),NA())</f>
        <v>2.8454802473214555</v>
      </c>
    </row>
    <row r="76" spans="2:4" hidden="1" outlineLevel="1" x14ac:dyDescent="0.45">
      <c r="B76" s="69">
        <v>0.35</v>
      </c>
      <c r="C76" s="69">
        <f t="shared" si="0"/>
        <v>0.65</v>
      </c>
      <c r="D76" s="70" cm="1">
        <f t="array" aca="1" ref="D76" ca="1">IF(ISNUMBER(_xll.VoseSimPercentile(TotalRisk,$B76)),_xll.VoseSimPercentile(TotalRisk,$B76),NA())</f>
        <v>2.9778859924846395</v>
      </c>
    </row>
    <row r="77" spans="2:4" hidden="1" outlineLevel="1" x14ac:dyDescent="0.45">
      <c r="B77" s="69">
        <v>0.37</v>
      </c>
      <c r="C77" s="69">
        <f t="shared" si="0"/>
        <v>0.63</v>
      </c>
      <c r="D77" s="70" cm="1">
        <f t="array" aca="1" ref="D77" ca="1">IF(ISNUMBER(_xll.VoseSimPercentile(TotalRisk,$B77)),_xll.VoseSimPercentile(TotalRisk,$B77),NA())</f>
        <v>3.0956452289546879</v>
      </c>
    </row>
    <row r="78" spans="2:4" hidden="1" outlineLevel="1" x14ac:dyDescent="0.45">
      <c r="B78" s="69">
        <v>0.39</v>
      </c>
      <c r="C78" s="69">
        <f t="shared" si="0"/>
        <v>0.61</v>
      </c>
      <c r="D78" s="70" cm="1">
        <f t="array" aca="1" ref="D78" ca="1">IF(ISNUMBER(_xll.VoseSimPercentile(TotalRisk,$B78)),_xll.VoseSimPercentile(TotalRisk,$B78),NA())</f>
        <v>3.2153695700894303</v>
      </c>
    </row>
    <row r="79" spans="2:4" hidden="1" outlineLevel="1" x14ac:dyDescent="0.45">
      <c r="B79" s="69">
        <v>0.41</v>
      </c>
      <c r="C79" s="69">
        <f t="shared" si="0"/>
        <v>0.59000000000000008</v>
      </c>
      <c r="D79" s="70" cm="1">
        <f t="array" aca="1" ref="D79" ca="1">IF(ISNUMBER(_xll.VoseSimPercentile(TotalRisk,$B79)),_xll.VoseSimPercentile(TotalRisk,$B79),NA())</f>
        <v>3.3491426255768637</v>
      </c>
    </row>
    <row r="80" spans="2:4" hidden="1" outlineLevel="1" x14ac:dyDescent="0.45">
      <c r="B80" s="69">
        <v>0.43</v>
      </c>
      <c r="C80" s="69">
        <f t="shared" si="0"/>
        <v>0.57000000000000006</v>
      </c>
      <c r="D80" s="70" cm="1">
        <f t="array" aca="1" ref="D80" ca="1">IF(ISNUMBER(_xll.VoseSimPercentile(TotalRisk,$B80)),_xll.VoseSimPercentile(TotalRisk,$B80),NA())</f>
        <v>3.4950535383452017</v>
      </c>
    </row>
    <row r="81" spans="2:4" hidden="1" outlineLevel="1" x14ac:dyDescent="0.45">
      <c r="B81" s="69">
        <v>0.45</v>
      </c>
      <c r="C81" s="69">
        <f t="shared" si="0"/>
        <v>0.55000000000000004</v>
      </c>
      <c r="D81" s="70" cm="1">
        <f t="array" aca="1" ref="D81" ca="1">IF(ISNUMBER(_xll.VoseSimPercentile(TotalRisk,$B81)),_xll.VoseSimPercentile(TotalRisk,$B81),NA())</f>
        <v>3.6120799236805947</v>
      </c>
    </row>
    <row r="82" spans="2:4" hidden="1" outlineLevel="1" x14ac:dyDescent="0.45">
      <c r="B82" s="69">
        <v>0.47</v>
      </c>
      <c r="C82" s="69">
        <f t="shared" si="0"/>
        <v>0.53</v>
      </c>
      <c r="D82" s="70" cm="1">
        <f t="array" aca="1" ref="D82" ca="1">IF(ISNUMBER(_xll.VoseSimPercentile(TotalRisk,$B82)),_xll.VoseSimPercentile(TotalRisk,$B82),NA())</f>
        <v>3.7444889755575685</v>
      </c>
    </row>
    <row r="83" spans="2:4" hidden="1" outlineLevel="1" x14ac:dyDescent="0.45">
      <c r="B83" s="69">
        <v>0.49</v>
      </c>
      <c r="C83" s="69">
        <f t="shared" si="0"/>
        <v>0.51</v>
      </c>
      <c r="D83" s="70" cm="1">
        <f t="array" aca="1" ref="D83" ca="1">IF(ISNUMBER(_xll.VoseSimPercentile(TotalRisk,$B83)),_xll.VoseSimPercentile(TotalRisk,$B83),NA())</f>
        <v>3.8762349816503172</v>
      </c>
    </row>
    <row r="84" spans="2:4" hidden="1" outlineLevel="1" x14ac:dyDescent="0.45">
      <c r="B84" s="69">
        <v>0.51</v>
      </c>
      <c r="C84" s="69">
        <f t="shared" si="0"/>
        <v>0.49</v>
      </c>
      <c r="D84" s="70" cm="1">
        <f t="array" aca="1" ref="D84" ca="1">IF(ISNUMBER(_xll.VoseSimPercentile(TotalRisk,$B84)),_xll.VoseSimPercentile(TotalRisk,$B84),NA())</f>
        <v>3.9852082765981072</v>
      </c>
    </row>
    <row r="85" spans="2:4" hidden="1" outlineLevel="1" x14ac:dyDescent="0.45">
      <c r="B85" s="69">
        <v>0.53</v>
      </c>
      <c r="C85" s="69">
        <f t="shared" si="0"/>
        <v>0.47</v>
      </c>
      <c r="D85" s="70" cm="1">
        <f t="array" aca="1" ref="D85" ca="1">IF(ISNUMBER(_xll.VoseSimPercentile(TotalRisk,$B85)),_xll.VoseSimPercentile(TotalRisk,$B85),NA())</f>
        <v>4.0954945978056818</v>
      </c>
    </row>
    <row r="86" spans="2:4" hidden="1" outlineLevel="1" x14ac:dyDescent="0.45">
      <c r="B86" s="69">
        <v>0.55000000000000004</v>
      </c>
      <c r="C86" s="69">
        <f t="shared" si="0"/>
        <v>0.44999999999999996</v>
      </c>
      <c r="D86" s="70" cm="1">
        <f t="array" aca="1" ref="D86" ca="1">IF(ISNUMBER(_xll.VoseSimPercentile(TotalRisk,$B86)),_xll.VoseSimPercentile(TotalRisk,$B86),NA())</f>
        <v>4.2269685074646643</v>
      </c>
    </row>
    <row r="87" spans="2:4" hidden="1" outlineLevel="1" x14ac:dyDescent="0.45">
      <c r="B87" s="69">
        <v>0.56999999999999995</v>
      </c>
      <c r="C87" s="69">
        <f t="shared" si="0"/>
        <v>0.43000000000000005</v>
      </c>
      <c r="D87" s="70" cm="1">
        <f t="array" aca="1" ref="D87" ca="1">IF(ISNUMBER(_xll.VoseSimPercentile(TotalRisk,$B87)),_xll.VoseSimPercentile(TotalRisk,$B87),NA())</f>
        <v>4.3650842774083802</v>
      </c>
    </row>
    <row r="88" spans="2:4" hidden="1" outlineLevel="1" x14ac:dyDescent="0.45">
      <c r="B88" s="69">
        <v>0.59</v>
      </c>
      <c r="C88" s="69">
        <f t="shared" si="0"/>
        <v>0.41000000000000003</v>
      </c>
      <c r="D88" s="70" cm="1">
        <f t="array" aca="1" ref="D88" ca="1">IF(ISNUMBER(_xll.VoseSimPercentile(TotalRisk,$B88)),_xll.VoseSimPercentile(TotalRisk,$B88),NA())</f>
        <v>4.4865946653974191</v>
      </c>
    </row>
    <row r="89" spans="2:4" hidden="1" outlineLevel="1" x14ac:dyDescent="0.45">
      <c r="B89" s="69">
        <v>0.61</v>
      </c>
      <c r="C89" s="69">
        <f t="shared" si="0"/>
        <v>0.39</v>
      </c>
      <c r="D89" s="70" cm="1">
        <f t="array" aca="1" ref="D89" ca="1">IF(ISNUMBER(_xll.VoseSimPercentile(TotalRisk,$B89)),_xll.VoseSimPercentile(TotalRisk,$B89),NA())</f>
        <v>4.6125042678547317</v>
      </c>
    </row>
    <row r="90" spans="2:4" hidden="1" outlineLevel="1" x14ac:dyDescent="0.45">
      <c r="B90" s="69">
        <v>0.63</v>
      </c>
      <c r="C90" s="69">
        <f t="shared" si="0"/>
        <v>0.37</v>
      </c>
      <c r="D90" s="70" cm="1">
        <f t="array" aca="1" ref="D90" ca="1">IF(ISNUMBER(_xll.VoseSimPercentile(TotalRisk,$B90)),_xll.VoseSimPercentile(TotalRisk,$B90),NA())</f>
        <v>4.7309395060436579</v>
      </c>
    </row>
    <row r="91" spans="2:4" hidden="1" outlineLevel="1" x14ac:dyDescent="0.45">
      <c r="B91" s="69">
        <v>0.65</v>
      </c>
      <c r="C91" s="69">
        <f t="shared" ref="C91:C122" si="1">1-B91</f>
        <v>0.35</v>
      </c>
      <c r="D91" s="70" cm="1">
        <f t="array" aca="1" ref="D91" ca="1">IF(ISNUMBER(_xll.VoseSimPercentile(TotalRisk,$B91)),_xll.VoseSimPercentile(TotalRisk,$B91),NA())</f>
        <v>4.8692251665380946</v>
      </c>
    </row>
    <row r="92" spans="2:4" hidden="1" outlineLevel="1" x14ac:dyDescent="0.45">
      <c r="B92" s="69">
        <v>0.67</v>
      </c>
      <c r="C92" s="69">
        <f t="shared" si="1"/>
        <v>0.32999999999999996</v>
      </c>
      <c r="D92" s="70" cm="1">
        <f t="array" aca="1" ref="D92" ca="1">IF(ISNUMBER(_xll.VoseSimPercentile(TotalRisk,$B92)),_xll.VoseSimPercentile(TotalRisk,$B92),NA())</f>
        <v>5.0084400901215158</v>
      </c>
    </row>
    <row r="93" spans="2:4" hidden="1" outlineLevel="1" x14ac:dyDescent="0.45">
      <c r="B93" s="69">
        <v>0.69</v>
      </c>
      <c r="C93" s="69">
        <f t="shared" si="1"/>
        <v>0.31000000000000005</v>
      </c>
      <c r="D93" s="70" cm="1">
        <f t="array" aca="1" ref="D93" ca="1">IF(ISNUMBER(_xll.VoseSimPercentile(TotalRisk,$B93)),_xll.VoseSimPercentile(TotalRisk,$B93),NA())</f>
        <v>5.1626016193233664</v>
      </c>
    </row>
    <row r="94" spans="2:4" hidden="1" outlineLevel="1" x14ac:dyDescent="0.45">
      <c r="B94" s="69">
        <v>0.71</v>
      </c>
      <c r="C94" s="69">
        <f t="shared" si="1"/>
        <v>0.29000000000000004</v>
      </c>
      <c r="D94" s="70" cm="1">
        <f t="array" aca="1" ref="D94" ca="1">IF(ISNUMBER(_xll.VoseSimPercentile(TotalRisk,$B94)),_xll.VoseSimPercentile(TotalRisk,$B94),NA())</f>
        <v>5.306936894964859</v>
      </c>
    </row>
    <row r="95" spans="2:4" hidden="1" outlineLevel="1" x14ac:dyDescent="0.45">
      <c r="B95" s="69">
        <v>0.73</v>
      </c>
      <c r="C95" s="69">
        <f t="shared" si="1"/>
        <v>0.27</v>
      </c>
      <c r="D95" s="70" cm="1">
        <f t="array" aca="1" ref="D95" ca="1">IF(ISNUMBER(_xll.VoseSimPercentile(TotalRisk,$B95)),_xll.VoseSimPercentile(TotalRisk,$B95),NA())</f>
        <v>5.4466971865260199</v>
      </c>
    </row>
    <row r="96" spans="2:4" hidden="1" outlineLevel="1" x14ac:dyDescent="0.45">
      <c r="B96" s="69">
        <v>0.75</v>
      </c>
      <c r="C96" s="69">
        <f t="shared" si="1"/>
        <v>0.25</v>
      </c>
      <c r="D96" s="70" cm="1">
        <f t="array" aca="1" ref="D96" ca="1">IF(ISNUMBER(_xll.VoseSimPercentile(TotalRisk,$B96)),_xll.VoseSimPercentile(TotalRisk,$B96),NA())</f>
        <v>5.6074141341203827</v>
      </c>
    </row>
    <row r="97" spans="2:7" hidden="1" outlineLevel="1" x14ac:dyDescent="0.45">
      <c r="B97" s="69">
        <v>0.77</v>
      </c>
      <c r="C97" s="69">
        <f t="shared" si="1"/>
        <v>0.22999999999999998</v>
      </c>
      <c r="D97" s="70" cm="1">
        <f t="array" aca="1" ref="D97" ca="1">IF(ISNUMBER(_xll.VoseSimPercentile(TotalRisk,$B97)),_xll.VoseSimPercentile(TotalRisk,$B97),NA())</f>
        <v>5.7885570651593437</v>
      </c>
    </row>
    <row r="98" spans="2:7" hidden="1" outlineLevel="1" x14ac:dyDescent="0.45">
      <c r="B98" s="69">
        <v>0.79</v>
      </c>
      <c r="C98" s="69">
        <f t="shared" si="1"/>
        <v>0.20999999999999996</v>
      </c>
      <c r="D98" s="70" cm="1">
        <f t="array" aca="1" ref="D98" ca="1">IF(ISNUMBER(_xll.VoseSimPercentile(TotalRisk,$B98)),_xll.VoseSimPercentile(TotalRisk,$B98),NA())</f>
        <v>5.9664836088454605</v>
      </c>
    </row>
    <row r="99" spans="2:7" hidden="1" outlineLevel="1" x14ac:dyDescent="0.45">
      <c r="B99" s="69">
        <v>0.81</v>
      </c>
      <c r="C99" s="69">
        <f t="shared" si="1"/>
        <v>0.18999999999999995</v>
      </c>
      <c r="D99" s="70" cm="1">
        <f t="array" aca="1" ref="D99" ca="1">IF(ISNUMBER(_xll.VoseSimPercentile(TotalRisk,$B99)),_xll.VoseSimPercentile(TotalRisk,$B99),NA())</f>
        <v>6.157406735551799</v>
      </c>
    </row>
    <row r="100" spans="2:7" hidden="1" outlineLevel="1" x14ac:dyDescent="0.45">
      <c r="B100" s="69">
        <v>0.83</v>
      </c>
      <c r="C100" s="69">
        <f t="shared" si="1"/>
        <v>0.17000000000000004</v>
      </c>
      <c r="D100" s="70" cm="1">
        <f t="array" aca="1" ref="D100" ca="1">IF(ISNUMBER(_xll.VoseSimPercentile(TotalRisk,$B100)),_xll.VoseSimPercentile(TotalRisk,$B100),NA())</f>
        <v>6.3674310129572991</v>
      </c>
    </row>
    <row r="101" spans="2:7" hidden="1" outlineLevel="1" x14ac:dyDescent="0.45">
      <c r="B101" s="69">
        <v>0.85</v>
      </c>
      <c r="C101" s="69">
        <f t="shared" si="1"/>
        <v>0.15000000000000002</v>
      </c>
      <c r="D101" s="70" cm="1">
        <f t="array" aca="1" ref="D101" ca="1">IF(ISNUMBER(_xll.VoseSimPercentile(TotalRisk,$B101)),_xll.VoseSimPercentile(TotalRisk,$B101),NA())</f>
        <v>6.6165670759184181</v>
      </c>
    </row>
    <row r="102" spans="2:7" hidden="1" outlineLevel="1" x14ac:dyDescent="0.45">
      <c r="B102" s="69">
        <v>0.87</v>
      </c>
      <c r="C102" s="69">
        <f t="shared" si="1"/>
        <v>0.13</v>
      </c>
      <c r="D102" s="70" cm="1">
        <f t="array" aca="1" ref="D102" ca="1">IF(ISNUMBER(_xll.VoseSimPercentile(TotalRisk,$B102)),_xll.VoseSimPercentile(TotalRisk,$B102),NA())</f>
        <v>6.8910021690457137</v>
      </c>
    </row>
    <row r="103" spans="2:7" hidden="1" outlineLevel="1" x14ac:dyDescent="0.45">
      <c r="B103" s="69">
        <v>0.89</v>
      </c>
      <c r="C103" s="69">
        <f t="shared" si="1"/>
        <v>0.10999999999999999</v>
      </c>
      <c r="D103" s="70" cm="1">
        <f t="array" aca="1" ref="D103" ca="1">IF(ISNUMBER(_xll.VoseSimPercentile(TotalRisk,$B103)),_xll.VoseSimPercentile(TotalRisk,$B103),NA())</f>
        <v>7.1837852124999051</v>
      </c>
    </row>
    <row r="104" spans="2:7" hidden="1" outlineLevel="1" x14ac:dyDescent="0.45">
      <c r="B104" s="69">
        <v>0.91</v>
      </c>
      <c r="C104" s="69">
        <f t="shared" si="1"/>
        <v>8.9999999999999969E-2</v>
      </c>
      <c r="D104" s="70" cm="1">
        <f t="array" aca="1" ref="D104" ca="1">IF(ISNUMBER(_xll.VoseSimPercentile(TotalRisk,$B104)),_xll.VoseSimPercentile(TotalRisk,$B104),NA())</f>
        <v>7.518423023126477</v>
      </c>
    </row>
    <row r="105" spans="2:7" hidden="1" outlineLevel="1" x14ac:dyDescent="0.45">
      <c r="B105" s="69">
        <v>0.93</v>
      </c>
      <c r="C105" s="69">
        <f t="shared" si="1"/>
        <v>6.9999999999999951E-2</v>
      </c>
      <c r="D105" s="70" cm="1">
        <f t="array" aca="1" ref="D105" ca="1">IF(ISNUMBER(_xll.VoseSimPercentile(TotalRisk,$B105)),_xll.VoseSimPercentile(TotalRisk,$B105),NA())</f>
        <v>7.9049493930699848</v>
      </c>
    </row>
    <row r="106" spans="2:7" hidden="1" outlineLevel="1" x14ac:dyDescent="0.45">
      <c r="B106" s="69">
        <v>0.95</v>
      </c>
      <c r="C106" s="69">
        <f t="shared" si="1"/>
        <v>5.0000000000000044E-2</v>
      </c>
      <c r="D106" s="70" cm="1">
        <f t="array" aca="1" ref="D106" ca="1">IF(ISNUMBER(_xll.VoseSimPercentile(TotalRisk,$B106)),_xll.VoseSimPercentile(TotalRisk,$B106),NA())</f>
        <v>8.4643314623175723</v>
      </c>
    </row>
    <row r="107" spans="2:7" hidden="1" outlineLevel="1" x14ac:dyDescent="0.45">
      <c r="B107" s="69">
        <v>0.97</v>
      </c>
      <c r="C107" s="69">
        <f t="shared" si="1"/>
        <v>3.0000000000000027E-2</v>
      </c>
      <c r="D107" s="70" cm="1">
        <f t="array" aca="1" ref="D107" ca="1">IF(ISNUMBER(_xll.VoseSimPercentile(TotalRisk,$B107)),_xll.VoseSimPercentile(TotalRisk,$B107),NA())</f>
        <v>9.1439848860323742</v>
      </c>
    </row>
    <row r="108" spans="2:7" hidden="1" outlineLevel="1" x14ac:dyDescent="0.45">
      <c r="B108" s="69">
        <v>0.99</v>
      </c>
      <c r="C108" s="69">
        <f t="shared" si="1"/>
        <v>1.0000000000000009E-2</v>
      </c>
      <c r="D108" s="70" cm="1">
        <f t="array" aca="1" ref="D108" ca="1">IF(ISNUMBER(_xll.VoseSimPercentile(TotalRisk,$B108)),_xll.VoseSimPercentile(TotalRisk,$B108),NA())</f>
        <v>10.840982546920042</v>
      </c>
    </row>
    <row r="109" spans="2:7" hidden="1" outlineLevel="1" x14ac:dyDescent="0.45"/>
    <row r="110" spans="2:7" hidden="1" outlineLevel="1" x14ac:dyDescent="0.45">
      <c r="B110" s="71" t="s">
        <v>251</v>
      </c>
      <c r="D110" s="72" cm="1">
        <f t="array" aca="1" ref="D110" ca="1">_xll.VoseSimMean(TotalRisk)</f>
        <v>4.1161220741241431</v>
      </c>
    </row>
    <row r="111" spans="2:7" ht="18" hidden="1" customHeight="1" outlineLevel="1" x14ac:dyDescent="0.45">
      <c r="B111" s="23" t="s">
        <v>252</v>
      </c>
      <c r="C111" s="5"/>
      <c r="D111" s="5"/>
      <c r="E111" s="5"/>
      <c r="F111" s="24" t="s">
        <v>253</v>
      </c>
      <c r="G111" s="24" t="s">
        <v>254</v>
      </c>
    </row>
    <row r="112" spans="2:7" hidden="1" outlineLevel="1" x14ac:dyDescent="0.45">
      <c r="B112" s="73" t="str">
        <f t="shared" ref="B112:B126" ca="1" si="2">B32</f>
        <v>T9  Банкротство ключевого субподрядчика</v>
      </c>
      <c r="F112" s="74">
        <f t="shared" ref="F112:F126" ca="1" si="3">IFERROR(D32-$D$110,NA())</f>
        <v>3.5933042496391936</v>
      </c>
      <c r="G112" s="74">
        <f t="shared" ref="G112:G126" ca="1" si="4">IFERROR(C32-$D$110,NA())</f>
        <v>-0.30568039623665788</v>
      </c>
    </row>
    <row r="113" spans="2:7" hidden="1" outlineLevel="1" x14ac:dyDescent="0.45">
      <c r="B113" s="73" t="str">
        <f t="shared" ca="1" si="2"/>
        <v>T3  Изменения проекта заказчиком после стадии П</v>
      </c>
      <c r="F113" s="74">
        <f t="shared" ca="1" si="3"/>
        <v>2.0132531757774483</v>
      </c>
      <c r="G113" s="74">
        <f t="shared" ca="1" si="4"/>
        <v>-1.2015496172023084</v>
      </c>
    </row>
    <row r="114" spans="2:7" hidden="1" outlineLevel="1" x14ac:dyDescent="0.45">
      <c r="B114" s="73" t="str">
        <f t="shared" ca="1" si="2"/>
        <v>T7  Нехватка монтажников инженерных систем</v>
      </c>
      <c r="F114" s="74">
        <f t="shared" ca="1" si="3"/>
        <v>1.6109230276445894</v>
      </c>
      <c r="G114" s="74">
        <f t="shared" ca="1" si="4"/>
        <v>-0.69278544244245044</v>
      </c>
    </row>
    <row r="115" spans="2:7" hidden="1" outlineLevel="1" x14ac:dyDescent="0.45">
      <c r="B115" s="73" t="str">
        <f t="shared" ca="1" si="2"/>
        <v>T1  Загрязненный грунт при разработке котлована</v>
      </c>
      <c r="F115" s="74">
        <f t="shared" ca="1" si="3"/>
        <v>1.4866297679611336</v>
      </c>
      <c r="G115" s="74">
        <f t="shared" ca="1" si="4"/>
        <v>-0.40070116055161265</v>
      </c>
    </row>
    <row r="116" spans="2:7" hidden="1" outlineLevel="1" x14ac:dyDescent="0.45">
      <c r="B116" s="73" t="str">
        <f t="shared" ca="1" si="2"/>
        <v>T5  Рост цен на медицинское оборудование</v>
      </c>
      <c r="F116" s="74">
        <f t="shared" ca="1" si="3"/>
        <v>1.1061006885505513</v>
      </c>
      <c r="G116" s="74">
        <f t="shared" ca="1" si="4"/>
        <v>-0.53078022812322478</v>
      </c>
    </row>
    <row r="117" spans="2:7" hidden="1" outlineLevel="1" x14ac:dyDescent="0.45">
      <c r="B117" s="73" t="str">
        <f t="shared" ca="1" si="2"/>
        <v>T4  Асбест в существующем здании</v>
      </c>
      <c r="F117" s="74">
        <f t="shared" ca="1" si="3"/>
        <v>1.2133574514254644</v>
      </c>
      <c r="G117" s="74">
        <f t="shared" ca="1" si="4"/>
        <v>-0.41188437650840193</v>
      </c>
    </row>
    <row r="118" spans="2:7" hidden="1" outlineLevel="1" x14ac:dyDescent="0.45">
      <c r="B118" s="73" t="str">
        <f t="shared" ca="1" si="2"/>
        <v>T2  Перекладка газопровода дольше плана</v>
      </c>
      <c r="F118" s="74">
        <f t="shared" ca="1" si="3"/>
        <v>1.0773670540573228</v>
      </c>
      <c r="G118" s="74">
        <f t="shared" ca="1" si="4"/>
        <v>-0.43795970972158837</v>
      </c>
    </row>
    <row r="119" spans="2:7" hidden="1" outlineLevel="1" x14ac:dyDescent="0.45">
      <c r="B119" s="73" t="str">
        <f t="shared" ca="1" si="2"/>
        <v>T11  Работа больницы ограничивает часы работ</v>
      </c>
      <c r="F119" s="74">
        <f t="shared" ca="1" si="3"/>
        <v>0.97016906761797816</v>
      </c>
      <c r="G119" s="74">
        <f t="shared" ca="1" si="4"/>
        <v>-0.53225542578670559</v>
      </c>
    </row>
    <row r="120" spans="2:7" hidden="1" outlineLevel="1" x14ac:dyDescent="0.45">
      <c r="B120" s="73" t="str">
        <f t="shared" ca="1" si="2"/>
        <v>T10  Дефекты при пусконаладке медицинских газов</v>
      </c>
      <c r="F120" s="74">
        <f t="shared" ca="1" si="3"/>
        <v>0.93554945416424307</v>
      </c>
      <c r="G120" s="74">
        <f t="shared" ca="1" si="4"/>
        <v>-0.18613727926543122</v>
      </c>
    </row>
    <row r="121" spans="2:7" hidden="1" outlineLevel="1" x14ac:dyDescent="0.45">
      <c r="B121" s="73" t="str">
        <f t="shared" ca="1" si="2"/>
        <v>T12  Повторное согласование противопожарных решений</v>
      </c>
      <c r="F121" s="74">
        <f t="shared" ca="1" si="3"/>
        <v>0.90256761447410661</v>
      </c>
      <c r="G121" s="74">
        <f t="shared" ca="1" si="4"/>
        <v>-0.15878756283282502</v>
      </c>
    </row>
    <row r="122" spans="2:7" hidden="1" outlineLevel="1" x14ac:dyDescent="0.45">
      <c r="B122" s="73" t="str">
        <f t="shared" ca="1" si="2"/>
        <v>T6  Условие разрешения требует археологических работ</v>
      </c>
      <c r="F122" s="74">
        <f t="shared" ca="1" si="3"/>
        <v>0.89481289081644011</v>
      </c>
      <c r="G122" s="74">
        <f t="shared" ca="1" si="4"/>
        <v>-0.16379027940245283</v>
      </c>
    </row>
    <row r="123" spans="2:7" hidden="1" outlineLevel="1" x14ac:dyDescent="0.45">
      <c r="B123" s="73" t="str">
        <f t="shared" ca="1" si="2"/>
        <v>T8  Дождливая зима останавливает земляные работы</v>
      </c>
      <c r="F123" s="74">
        <f t="shared" ca="1" si="3"/>
        <v>0.74321391524837832</v>
      </c>
      <c r="G123" s="74">
        <f t="shared" ca="1" si="4"/>
        <v>-0.23196439518823375</v>
      </c>
    </row>
    <row r="124" spans="2:7" hidden="1" outlineLevel="1" x14ac:dyDescent="0.45">
      <c r="B124" s="73" t="str">
        <f t="shared" ca="1" si="2"/>
        <v>O1  Оптимизация фасада</v>
      </c>
      <c r="F124" s="74">
        <f t="shared" ca="1" si="3"/>
        <v>0.29078279428969811</v>
      </c>
      <c r="G124" s="74">
        <f t="shared" ca="1" si="4"/>
        <v>-0.50500732042899488</v>
      </c>
    </row>
    <row r="125" spans="2:7" hidden="1" outlineLevel="1" x14ac:dyDescent="0.45">
      <c r="B125" s="73" t="str">
        <f t="shared" ca="1" si="2"/>
        <v>O3  Рамочное соглашение об оптовых закупках</v>
      </c>
      <c r="F125" s="74">
        <f t="shared" ca="1" si="3"/>
        <v>0.11012479363419025</v>
      </c>
      <c r="G125" s="74">
        <f t="shared" ca="1" si="4"/>
        <v>-0.28978255631206773</v>
      </c>
    </row>
    <row r="126" spans="2:7" hidden="1" outlineLevel="1" x14ac:dyDescent="0.45">
      <c r="B126" s="73" t="str">
        <f t="shared" ca="1" si="2"/>
        <v>O2  Ранний доступ к стройгородку</v>
      </c>
      <c r="F126" s="74">
        <f t="shared" ca="1" si="3"/>
        <v>7.8511788758696355E-2</v>
      </c>
      <c r="G126" s="74">
        <f t="shared" ca="1" si="4"/>
        <v>-0.31725947348737282</v>
      </c>
    </row>
  </sheetData>
  <mergeCells count="4">
    <mergeCell ref="B52:G52"/>
    <mergeCell ref="B51:G51"/>
    <mergeCell ref="B50:G50"/>
    <mergeCell ref="B53:G53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59:D108">
    <cfRule type="expression" dxfId="1" priority="3">
      <formula>ISNA(D59)</formula>
    </cfRule>
  </conditionalFormatting>
  <conditionalFormatting sqref="F112:G126">
    <cfRule type="expression" dxfId="0" priority="4">
      <formula>ISNA(F112)</formula>
    </cfRule>
  </conditionalFormatting>
  <hyperlinks>
    <hyperlink ref="B4" location="'Реестр'!A1" display="◂  Реестр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2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FD80-AB68-45B1-B78A-8DCC22DDA8F6}">
  <dimension ref="A1:B1"/>
  <sheetViews>
    <sheetView workbookViewId="0"/>
  </sheetViews>
  <sheetFormatPr defaultRowHeight="14.25" x14ac:dyDescent="0.45"/>
  <sheetData>
    <row r="1" spans="1:2" x14ac:dyDescent="0.45">
      <c r="A1" s="79" t="s">
        <v>255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F77A-1E87-4F13-B140-C86E6CEFC602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8691-9EDC-4CBE-BF56-E2EF96E96C29}">
  <dimension ref="B3:B212"/>
  <sheetViews>
    <sheetView workbookViewId="0"/>
  </sheetViews>
  <sheetFormatPr defaultRowHeight="14.25" x14ac:dyDescent="0.45"/>
  <sheetData>
    <row r="3" spans="2:2" x14ac:dyDescent="0.45">
      <c r="B3">
        <v>1382</v>
      </c>
    </row>
    <row r="4" spans="2:2" x14ac:dyDescent="0.45">
      <c r="B4">
        <v>4</v>
      </c>
    </row>
    <row r="5" spans="2:2" x14ac:dyDescent="0.45">
      <c r="B5">
        <v>95</v>
      </c>
    </row>
    <row r="6" spans="2:2" x14ac:dyDescent="0.45">
      <c r="B6">
        <v>144</v>
      </c>
    </row>
    <row r="7" spans="2:2" x14ac:dyDescent="0.45">
      <c r="B7">
        <v>127</v>
      </c>
    </row>
    <row r="8" spans="2:2" x14ac:dyDescent="0.45">
      <c r="B8">
        <v>102</v>
      </c>
    </row>
    <row r="9" spans="2:2" x14ac:dyDescent="0.45">
      <c r="B9">
        <v>72</v>
      </c>
    </row>
    <row r="10" spans="2:2" x14ac:dyDescent="0.45">
      <c r="B10">
        <v>49</v>
      </c>
    </row>
    <row r="11" spans="2:2" x14ac:dyDescent="0.45">
      <c r="B11">
        <v>21</v>
      </c>
    </row>
    <row r="12" spans="2:2" x14ac:dyDescent="0.45">
      <c r="B12">
        <v>4</v>
      </c>
    </row>
    <row r="13" spans="2:2" x14ac:dyDescent="0.45">
      <c r="B13">
        <v>1165</v>
      </c>
    </row>
    <row r="14" spans="2:2" x14ac:dyDescent="0.45">
      <c r="B14">
        <v>3</v>
      </c>
    </row>
    <row r="15" spans="2:2" x14ac:dyDescent="0.45">
      <c r="B15">
        <v>103</v>
      </c>
    </row>
    <row r="16" spans="2:2" x14ac:dyDescent="0.45">
      <c r="B16">
        <v>174</v>
      </c>
    </row>
    <row r="17" spans="2:2" x14ac:dyDescent="0.45">
      <c r="B17">
        <v>185</v>
      </c>
    </row>
    <row r="18" spans="2:2" x14ac:dyDescent="0.45">
      <c r="B18">
        <v>167</v>
      </c>
    </row>
    <row r="19" spans="2:2" x14ac:dyDescent="0.45">
      <c r="B19">
        <v>111</v>
      </c>
    </row>
    <row r="20" spans="2:2" x14ac:dyDescent="0.45">
      <c r="B20">
        <v>62</v>
      </c>
    </row>
    <row r="21" spans="2:2" x14ac:dyDescent="0.45">
      <c r="B21">
        <v>25</v>
      </c>
    </row>
    <row r="22" spans="2:2" x14ac:dyDescent="0.45">
      <c r="B22">
        <v>5</v>
      </c>
    </row>
    <row r="23" spans="2:2" x14ac:dyDescent="0.45">
      <c r="B23">
        <v>782</v>
      </c>
    </row>
    <row r="24" spans="2:2" x14ac:dyDescent="0.45">
      <c r="B24">
        <v>28</v>
      </c>
    </row>
    <row r="25" spans="2:2" x14ac:dyDescent="0.45">
      <c r="B25">
        <v>168</v>
      </c>
    </row>
    <row r="26" spans="2:2" x14ac:dyDescent="0.45">
      <c r="B26">
        <v>256</v>
      </c>
    </row>
    <row r="27" spans="2:2" x14ac:dyDescent="0.45">
      <c r="B27">
        <v>234</v>
      </c>
    </row>
    <row r="28" spans="2:2" x14ac:dyDescent="0.45">
      <c r="B28">
        <v>207</v>
      </c>
    </row>
    <row r="29" spans="2:2" x14ac:dyDescent="0.45">
      <c r="B29">
        <v>159</v>
      </c>
    </row>
    <row r="30" spans="2:2" x14ac:dyDescent="0.45">
      <c r="B30">
        <v>109</v>
      </c>
    </row>
    <row r="31" spans="2:2" x14ac:dyDescent="0.45">
      <c r="B31">
        <v>47</v>
      </c>
    </row>
    <row r="32" spans="2:2" x14ac:dyDescent="0.45">
      <c r="B32">
        <v>10</v>
      </c>
    </row>
    <row r="33" spans="2:2" x14ac:dyDescent="0.45">
      <c r="B33">
        <v>1324</v>
      </c>
    </row>
    <row r="34" spans="2:2" x14ac:dyDescent="0.45">
      <c r="B34">
        <v>13</v>
      </c>
    </row>
    <row r="35" spans="2:2" x14ac:dyDescent="0.45">
      <c r="B35">
        <v>91</v>
      </c>
    </row>
    <row r="36" spans="2:2" x14ac:dyDescent="0.45">
      <c r="B36">
        <v>135</v>
      </c>
    </row>
    <row r="37" spans="2:2" x14ac:dyDescent="0.45">
      <c r="B37">
        <v>141</v>
      </c>
    </row>
    <row r="38" spans="2:2" x14ac:dyDescent="0.45">
      <c r="B38">
        <v>136</v>
      </c>
    </row>
    <row r="39" spans="2:2" x14ac:dyDescent="0.45">
      <c r="B39">
        <v>90</v>
      </c>
    </row>
    <row r="40" spans="2:2" x14ac:dyDescent="0.45">
      <c r="B40">
        <v>45</v>
      </c>
    </row>
    <row r="41" spans="2:2" x14ac:dyDescent="0.45">
      <c r="B41">
        <v>20</v>
      </c>
    </row>
    <row r="42" spans="2:2" x14ac:dyDescent="0.45">
      <c r="B42">
        <v>5</v>
      </c>
    </row>
    <row r="43" spans="2:2" x14ac:dyDescent="0.45">
      <c r="B43">
        <v>999</v>
      </c>
    </row>
    <row r="44" spans="2:2" x14ac:dyDescent="0.45">
      <c r="B44">
        <v>1</v>
      </c>
    </row>
    <row r="45" spans="2:2" x14ac:dyDescent="0.45">
      <c r="B45">
        <v>94</v>
      </c>
    </row>
    <row r="46" spans="2:2" x14ac:dyDescent="0.45">
      <c r="B46">
        <v>161</v>
      </c>
    </row>
    <row r="47" spans="2:2" x14ac:dyDescent="0.45">
      <c r="B47">
        <v>198</v>
      </c>
    </row>
    <row r="48" spans="2:2" x14ac:dyDescent="0.45">
      <c r="B48">
        <v>200</v>
      </c>
    </row>
    <row r="49" spans="2:2" x14ac:dyDescent="0.45">
      <c r="B49">
        <v>150</v>
      </c>
    </row>
    <row r="50" spans="2:2" x14ac:dyDescent="0.45">
      <c r="B50">
        <v>129</v>
      </c>
    </row>
    <row r="51" spans="2:2" x14ac:dyDescent="0.45">
      <c r="B51">
        <v>49</v>
      </c>
    </row>
    <row r="52" spans="2:2" x14ac:dyDescent="0.45">
      <c r="B52">
        <v>19</v>
      </c>
    </row>
    <row r="53" spans="2:2" x14ac:dyDescent="0.45">
      <c r="B53">
        <v>1572</v>
      </c>
    </row>
    <row r="54" spans="2:2" x14ac:dyDescent="0.45">
      <c r="B54">
        <v>9</v>
      </c>
    </row>
    <row r="55" spans="2:2" x14ac:dyDescent="0.45">
      <c r="B55">
        <v>42</v>
      </c>
    </row>
    <row r="56" spans="2:2" x14ac:dyDescent="0.45">
      <c r="B56">
        <v>90</v>
      </c>
    </row>
    <row r="57" spans="2:2" x14ac:dyDescent="0.45">
      <c r="B57">
        <v>81</v>
      </c>
    </row>
    <row r="58" spans="2:2" x14ac:dyDescent="0.45">
      <c r="B58">
        <v>71</v>
      </c>
    </row>
    <row r="59" spans="2:2" x14ac:dyDescent="0.45">
      <c r="B59">
        <v>64</v>
      </c>
    </row>
    <row r="60" spans="2:2" x14ac:dyDescent="0.45">
      <c r="B60">
        <v>42</v>
      </c>
    </row>
    <row r="61" spans="2:2" x14ac:dyDescent="0.45">
      <c r="B61">
        <v>21</v>
      </c>
    </row>
    <row r="62" spans="2:2" x14ac:dyDescent="0.45">
      <c r="B62">
        <v>8</v>
      </c>
    </row>
    <row r="63" spans="2:2" x14ac:dyDescent="0.45">
      <c r="B63">
        <v>1106</v>
      </c>
    </row>
    <row r="64" spans="2:2" x14ac:dyDescent="0.45">
      <c r="B64">
        <v>10</v>
      </c>
    </row>
    <row r="65" spans="2:2" x14ac:dyDescent="0.45">
      <c r="B65">
        <v>84</v>
      </c>
    </row>
    <row r="66" spans="2:2" x14ac:dyDescent="0.45">
      <c r="B66">
        <v>161</v>
      </c>
    </row>
    <row r="67" spans="2:2" x14ac:dyDescent="0.45">
      <c r="B67">
        <v>186</v>
      </c>
    </row>
    <row r="68" spans="2:2" x14ac:dyDescent="0.45">
      <c r="B68">
        <v>173</v>
      </c>
    </row>
    <row r="69" spans="2:2" x14ac:dyDescent="0.45">
      <c r="B69">
        <v>130</v>
      </c>
    </row>
    <row r="70" spans="2:2" x14ac:dyDescent="0.45">
      <c r="B70">
        <v>86</v>
      </c>
    </row>
    <row r="71" spans="2:2" x14ac:dyDescent="0.45">
      <c r="B71">
        <v>45</v>
      </c>
    </row>
    <row r="72" spans="2:2" x14ac:dyDescent="0.45">
      <c r="B72">
        <v>19</v>
      </c>
    </row>
    <row r="73" spans="2:2" x14ac:dyDescent="0.45">
      <c r="B73">
        <v>1294</v>
      </c>
    </row>
    <row r="74" spans="2:2" x14ac:dyDescent="0.45">
      <c r="B74">
        <v>7</v>
      </c>
    </row>
    <row r="75" spans="2:2" x14ac:dyDescent="0.45">
      <c r="B75">
        <v>64</v>
      </c>
    </row>
    <row r="76" spans="2:2" x14ac:dyDescent="0.45">
      <c r="B76">
        <v>128</v>
      </c>
    </row>
    <row r="77" spans="2:2" x14ac:dyDescent="0.45">
      <c r="B77">
        <v>144</v>
      </c>
    </row>
    <row r="78" spans="2:2" x14ac:dyDescent="0.45">
      <c r="B78">
        <v>132</v>
      </c>
    </row>
    <row r="79" spans="2:2" x14ac:dyDescent="0.45">
      <c r="B79">
        <v>108</v>
      </c>
    </row>
    <row r="80" spans="2:2" x14ac:dyDescent="0.45">
      <c r="B80">
        <v>78</v>
      </c>
    </row>
    <row r="81" spans="2:2" x14ac:dyDescent="0.45">
      <c r="B81">
        <v>34</v>
      </c>
    </row>
    <row r="82" spans="2:2" x14ac:dyDescent="0.45">
      <c r="B82">
        <v>11</v>
      </c>
    </row>
    <row r="83" spans="2:2" x14ac:dyDescent="0.45">
      <c r="B83">
        <v>1838</v>
      </c>
    </row>
    <row r="84" spans="2:2" x14ac:dyDescent="0.45">
      <c r="B84">
        <v>1</v>
      </c>
    </row>
    <row r="85" spans="2:2" x14ac:dyDescent="0.45">
      <c r="B85">
        <v>14</v>
      </c>
    </row>
    <row r="86" spans="2:2" x14ac:dyDescent="0.45">
      <c r="B86">
        <v>25</v>
      </c>
    </row>
    <row r="87" spans="2:2" x14ac:dyDescent="0.45">
      <c r="B87">
        <v>30</v>
      </c>
    </row>
    <row r="88" spans="2:2" x14ac:dyDescent="0.45">
      <c r="B88">
        <v>37</v>
      </c>
    </row>
    <row r="89" spans="2:2" x14ac:dyDescent="0.45">
      <c r="B89">
        <v>31</v>
      </c>
    </row>
    <row r="90" spans="2:2" x14ac:dyDescent="0.45">
      <c r="B90">
        <v>17</v>
      </c>
    </row>
    <row r="91" spans="2:2" x14ac:dyDescent="0.45">
      <c r="B91">
        <v>4</v>
      </c>
    </row>
    <row r="92" spans="2:2" x14ac:dyDescent="0.45">
      <c r="B92">
        <v>3</v>
      </c>
    </row>
    <row r="93" spans="2:2" x14ac:dyDescent="0.45">
      <c r="B93">
        <v>1505</v>
      </c>
    </row>
    <row r="94" spans="2:2" x14ac:dyDescent="0.45">
      <c r="B94">
        <v>14</v>
      </c>
    </row>
    <row r="95" spans="2:2" x14ac:dyDescent="0.45">
      <c r="B95">
        <v>85</v>
      </c>
    </row>
    <row r="96" spans="2:2" x14ac:dyDescent="0.45">
      <c r="B96">
        <v>103</v>
      </c>
    </row>
    <row r="97" spans="2:2" x14ac:dyDescent="0.45">
      <c r="B97">
        <v>99</v>
      </c>
    </row>
    <row r="98" spans="2:2" x14ac:dyDescent="0.45">
      <c r="B98">
        <v>80</v>
      </c>
    </row>
    <row r="99" spans="2:2" x14ac:dyDescent="0.45">
      <c r="B99">
        <v>68</v>
      </c>
    </row>
    <row r="100" spans="2:2" x14ac:dyDescent="0.45">
      <c r="B100">
        <v>27</v>
      </c>
    </row>
    <row r="101" spans="2:2" x14ac:dyDescent="0.45">
      <c r="B101">
        <v>15</v>
      </c>
    </row>
    <row r="102" spans="2:2" x14ac:dyDescent="0.45">
      <c r="B102">
        <v>4</v>
      </c>
    </row>
    <row r="103" spans="2:2" x14ac:dyDescent="0.45">
      <c r="B103">
        <v>992</v>
      </c>
    </row>
    <row r="104" spans="2:2" x14ac:dyDescent="0.45">
      <c r="B104">
        <v>10</v>
      </c>
    </row>
    <row r="105" spans="2:2" x14ac:dyDescent="0.45">
      <c r="B105">
        <v>120</v>
      </c>
    </row>
    <row r="106" spans="2:2" x14ac:dyDescent="0.45">
      <c r="B106">
        <v>184</v>
      </c>
    </row>
    <row r="107" spans="2:2" x14ac:dyDescent="0.45">
      <c r="B107">
        <v>170</v>
      </c>
    </row>
    <row r="108" spans="2:2" x14ac:dyDescent="0.45">
      <c r="B108">
        <v>205</v>
      </c>
    </row>
    <row r="109" spans="2:2" x14ac:dyDescent="0.45">
      <c r="B109">
        <v>136</v>
      </c>
    </row>
    <row r="110" spans="2:2" x14ac:dyDescent="0.45">
      <c r="B110">
        <v>102</v>
      </c>
    </row>
    <row r="111" spans="2:2" x14ac:dyDescent="0.45">
      <c r="B111">
        <v>63</v>
      </c>
    </row>
    <row r="112" spans="2:2" x14ac:dyDescent="0.45">
      <c r="B112">
        <v>18</v>
      </c>
    </row>
    <row r="113" spans="2:2" x14ac:dyDescent="0.45">
      <c r="B113">
        <v>1617</v>
      </c>
    </row>
    <row r="114" spans="2:2" x14ac:dyDescent="0.45">
      <c r="B114">
        <v>13</v>
      </c>
    </row>
    <row r="115" spans="2:2" x14ac:dyDescent="0.45">
      <c r="B115">
        <v>41</v>
      </c>
    </row>
    <row r="116" spans="2:2" x14ac:dyDescent="0.45">
      <c r="B116">
        <v>71</v>
      </c>
    </row>
    <row r="117" spans="2:2" x14ac:dyDescent="0.45">
      <c r="B117">
        <v>67</v>
      </c>
    </row>
    <row r="118" spans="2:2" x14ac:dyDescent="0.45">
      <c r="B118">
        <v>70</v>
      </c>
    </row>
    <row r="119" spans="2:2" x14ac:dyDescent="0.45">
      <c r="B119">
        <v>55</v>
      </c>
    </row>
    <row r="120" spans="2:2" x14ac:dyDescent="0.45">
      <c r="B120">
        <v>38</v>
      </c>
    </row>
    <row r="121" spans="2:2" x14ac:dyDescent="0.45">
      <c r="B121">
        <v>20</v>
      </c>
    </row>
    <row r="122" spans="2:2" x14ac:dyDescent="0.45">
      <c r="B122">
        <v>8</v>
      </c>
    </row>
    <row r="123" spans="2:2" x14ac:dyDescent="0.45">
      <c r="B123">
        <v>47</v>
      </c>
    </row>
    <row r="124" spans="2:2" x14ac:dyDescent="0.45">
      <c r="B124">
        <v>156</v>
      </c>
    </row>
    <row r="125" spans="2:2" x14ac:dyDescent="0.45">
      <c r="B125">
        <v>222</v>
      </c>
    </row>
    <row r="126" spans="2:2" x14ac:dyDescent="0.45">
      <c r="B126">
        <v>226</v>
      </c>
    </row>
    <row r="127" spans="2:2" x14ac:dyDescent="0.45">
      <c r="B127">
        <v>198</v>
      </c>
    </row>
    <row r="128" spans="2:2" x14ac:dyDescent="0.45">
      <c r="B128">
        <v>107</v>
      </c>
    </row>
    <row r="129" spans="2:2" x14ac:dyDescent="0.45">
      <c r="B129">
        <v>31</v>
      </c>
    </row>
    <row r="130" spans="2:2" x14ac:dyDescent="0.45">
      <c r="B130">
        <v>3</v>
      </c>
    </row>
    <row r="131" spans="2:2" x14ac:dyDescent="0.45">
      <c r="B131">
        <v>0</v>
      </c>
    </row>
    <row r="132" spans="2:2" x14ac:dyDescent="0.45">
      <c r="B132">
        <v>1010</v>
      </c>
    </row>
    <row r="133" spans="2:2" x14ac:dyDescent="0.45">
      <c r="B133">
        <v>18</v>
      </c>
    </row>
    <row r="134" spans="2:2" x14ac:dyDescent="0.45">
      <c r="B134">
        <v>44</v>
      </c>
    </row>
    <row r="135" spans="2:2" x14ac:dyDescent="0.45">
      <c r="B135">
        <v>83</v>
      </c>
    </row>
    <row r="136" spans="2:2" x14ac:dyDescent="0.45">
      <c r="B136">
        <v>128</v>
      </c>
    </row>
    <row r="137" spans="2:2" x14ac:dyDescent="0.45">
      <c r="B137">
        <v>134</v>
      </c>
    </row>
    <row r="138" spans="2:2" x14ac:dyDescent="0.45">
      <c r="B138">
        <v>119</v>
      </c>
    </row>
    <row r="139" spans="2:2" x14ac:dyDescent="0.45">
      <c r="B139">
        <v>60</v>
      </c>
    </row>
    <row r="140" spans="2:2" x14ac:dyDescent="0.45">
      <c r="B140">
        <v>3</v>
      </c>
    </row>
    <row r="141" spans="2:2" x14ac:dyDescent="0.45">
      <c r="B141">
        <v>0</v>
      </c>
    </row>
    <row r="142" spans="2:2" x14ac:dyDescent="0.45">
      <c r="B142">
        <v>1411</v>
      </c>
    </row>
    <row r="143" spans="2:2" x14ac:dyDescent="0.45">
      <c r="B143">
        <v>41</v>
      </c>
    </row>
    <row r="144" spans="2:2" x14ac:dyDescent="0.45">
      <c r="B144">
        <v>119</v>
      </c>
    </row>
    <row r="145" spans="2:2" x14ac:dyDescent="0.45">
      <c r="B145">
        <v>197</v>
      </c>
    </row>
    <row r="146" spans="2:2" x14ac:dyDescent="0.45">
      <c r="B146">
        <v>214</v>
      </c>
    </row>
    <row r="147" spans="2:2" x14ac:dyDescent="0.45">
      <c r="B147">
        <v>142</v>
      </c>
    </row>
    <row r="148" spans="2:2" x14ac:dyDescent="0.45">
      <c r="B148">
        <v>59</v>
      </c>
    </row>
    <row r="149" spans="2:2" x14ac:dyDescent="0.45">
      <c r="B149">
        <v>7</v>
      </c>
    </row>
    <row r="150" spans="2:2" x14ac:dyDescent="0.45">
      <c r="B150">
        <v>0</v>
      </c>
    </row>
    <row r="151" spans="2:2" x14ac:dyDescent="0.45">
      <c r="B151">
        <v>0</v>
      </c>
    </row>
    <row r="152" spans="2:2" x14ac:dyDescent="0.45">
      <c r="B152">
        <v>1221</v>
      </c>
    </row>
    <row r="153" spans="2:2" x14ac:dyDescent="0.45">
      <c r="B153">
        <v>25</v>
      </c>
    </row>
    <row r="154" spans="2:2" x14ac:dyDescent="0.45">
      <c r="B154">
        <v>157</v>
      </c>
    </row>
    <row r="155" spans="2:2" x14ac:dyDescent="0.45">
      <c r="B155">
        <v>413</v>
      </c>
    </row>
    <row r="156" spans="2:2" x14ac:dyDescent="0.45">
      <c r="B156">
        <v>485</v>
      </c>
    </row>
    <row r="157" spans="2:2" x14ac:dyDescent="0.45">
      <c r="B157">
        <v>470</v>
      </c>
    </row>
    <row r="158" spans="2:2" x14ac:dyDescent="0.45">
      <c r="B158">
        <v>258</v>
      </c>
    </row>
    <row r="159" spans="2:2" x14ac:dyDescent="0.45">
      <c r="B159">
        <v>125</v>
      </c>
    </row>
    <row r="160" spans="2:2" x14ac:dyDescent="0.45">
      <c r="B160">
        <v>43</v>
      </c>
    </row>
    <row r="161" spans="2:2" x14ac:dyDescent="0.45">
      <c r="B161">
        <v>18</v>
      </c>
    </row>
    <row r="162" spans="2:2" x14ac:dyDescent="0.45">
      <c r="B162">
        <v>6</v>
      </c>
    </row>
    <row r="163" spans="2:2" x14ac:dyDescent="0.45">
      <c r="B163">
        <v>44</v>
      </c>
    </row>
    <row r="164" spans="2:2" x14ac:dyDescent="0.45">
      <c r="B164">
        <v>211</v>
      </c>
    </row>
    <row r="165" spans="2:2" x14ac:dyDescent="0.45">
      <c r="B165">
        <v>414</v>
      </c>
    </row>
    <row r="166" spans="2:2" x14ac:dyDescent="0.45">
      <c r="B166">
        <v>541</v>
      </c>
    </row>
    <row r="167" spans="2:2" x14ac:dyDescent="0.45">
      <c r="B167">
        <v>416</v>
      </c>
    </row>
    <row r="168" spans="2:2" x14ac:dyDescent="0.45">
      <c r="B168">
        <v>228</v>
      </c>
    </row>
    <row r="169" spans="2:2" x14ac:dyDescent="0.45">
      <c r="B169">
        <v>100</v>
      </c>
    </row>
    <row r="170" spans="2:2" x14ac:dyDescent="0.45">
      <c r="B170">
        <v>33</v>
      </c>
    </row>
    <row r="171" spans="2:2" x14ac:dyDescent="0.45">
      <c r="B171">
        <v>8</v>
      </c>
    </row>
    <row r="172" spans="2:2" x14ac:dyDescent="0.45">
      <c r="B172">
        <v>5</v>
      </c>
    </row>
    <row r="173" spans="2:2" x14ac:dyDescent="0.45">
      <c r="B173">
        <v>762</v>
      </c>
    </row>
    <row r="174" spans="2:2" x14ac:dyDescent="0.45">
      <c r="B174">
        <v>404</v>
      </c>
    </row>
    <row r="175" spans="2:2" x14ac:dyDescent="0.45">
      <c r="B175">
        <v>344</v>
      </c>
    </row>
    <row r="176" spans="2:2" x14ac:dyDescent="0.45">
      <c r="B176">
        <v>236</v>
      </c>
    </row>
    <row r="177" spans="2:2" x14ac:dyDescent="0.45">
      <c r="B177">
        <v>126</v>
      </c>
    </row>
    <row r="178" spans="2:2" x14ac:dyDescent="0.45">
      <c r="B178">
        <v>77</v>
      </c>
    </row>
    <row r="179" spans="2:2" x14ac:dyDescent="0.45">
      <c r="B179">
        <v>33</v>
      </c>
    </row>
    <row r="180" spans="2:2" x14ac:dyDescent="0.45">
      <c r="B180">
        <v>11</v>
      </c>
    </row>
    <row r="181" spans="2:2" x14ac:dyDescent="0.45">
      <c r="B181">
        <v>4</v>
      </c>
    </row>
    <row r="182" spans="2:2" x14ac:dyDescent="0.45">
      <c r="B182">
        <v>3</v>
      </c>
    </row>
    <row r="183" spans="2:2" x14ac:dyDescent="0.45">
      <c r="B183">
        <v>53</v>
      </c>
    </row>
    <row r="184" spans="2:2" x14ac:dyDescent="0.45">
      <c r="B184">
        <v>279</v>
      </c>
    </row>
    <row r="185" spans="2:2" x14ac:dyDescent="0.45">
      <c r="B185">
        <v>492</v>
      </c>
    </row>
    <row r="186" spans="2:2" x14ac:dyDescent="0.45">
      <c r="B186">
        <v>468</v>
      </c>
    </row>
    <row r="187" spans="2:2" x14ac:dyDescent="0.45">
      <c r="B187">
        <v>379</v>
      </c>
    </row>
    <row r="188" spans="2:2" x14ac:dyDescent="0.45">
      <c r="B188">
        <v>190</v>
      </c>
    </row>
    <row r="189" spans="2:2" x14ac:dyDescent="0.45">
      <c r="B189">
        <v>87</v>
      </c>
    </row>
    <row r="190" spans="2:2" x14ac:dyDescent="0.45">
      <c r="B190">
        <v>32</v>
      </c>
    </row>
    <row r="191" spans="2:2" x14ac:dyDescent="0.45">
      <c r="B191">
        <v>14</v>
      </c>
    </row>
    <row r="192" spans="2:2" x14ac:dyDescent="0.45">
      <c r="B192">
        <v>6</v>
      </c>
    </row>
    <row r="193" spans="2:2" x14ac:dyDescent="0.45">
      <c r="B193">
        <v>1606</v>
      </c>
    </row>
    <row r="194" spans="2:2" x14ac:dyDescent="0.45">
      <c r="B194">
        <v>0</v>
      </c>
    </row>
    <row r="195" spans="2:2" x14ac:dyDescent="0.45">
      <c r="B195">
        <v>0</v>
      </c>
    </row>
    <row r="196" spans="2:2" x14ac:dyDescent="0.45">
      <c r="B196">
        <v>0</v>
      </c>
    </row>
    <row r="197" spans="2:2" x14ac:dyDescent="0.45">
      <c r="B197">
        <v>0</v>
      </c>
    </row>
    <row r="198" spans="2:2" x14ac:dyDescent="0.45">
      <c r="B198">
        <v>0</v>
      </c>
    </row>
    <row r="199" spans="2:2" x14ac:dyDescent="0.45">
      <c r="B199">
        <v>0</v>
      </c>
    </row>
    <row r="200" spans="2:2" x14ac:dyDescent="0.45">
      <c r="B200">
        <v>0</v>
      </c>
    </row>
    <row r="201" spans="2:2" x14ac:dyDescent="0.45">
      <c r="B201">
        <v>0</v>
      </c>
    </row>
    <row r="202" spans="2:2" x14ac:dyDescent="0.45">
      <c r="B202">
        <v>394</v>
      </c>
    </row>
    <row r="203" spans="2:2" x14ac:dyDescent="0.45">
      <c r="B203">
        <v>11</v>
      </c>
    </row>
    <row r="204" spans="2:2" x14ac:dyDescent="0.45">
      <c r="B204">
        <v>60</v>
      </c>
    </row>
    <row r="205" spans="2:2" x14ac:dyDescent="0.45">
      <c r="B205">
        <v>192</v>
      </c>
    </row>
    <row r="206" spans="2:2" x14ac:dyDescent="0.45">
      <c r="B206">
        <v>380</v>
      </c>
    </row>
    <row r="207" spans="2:2" x14ac:dyDescent="0.45">
      <c r="B207">
        <v>522</v>
      </c>
    </row>
    <row r="208" spans="2:2" x14ac:dyDescent="0.45">
      <c r="B208">
        <v>423</v>
      </c>
    </row>
    <row r="209" spans="2:2" x14ac:dyDescent="0.45">
      <c r="B209">
        <v>282</v>
      </c>
    </row>
    <row r="210" spans="2:2" x14ac:dyDescent="0.45">
      <c r="B210">
        <v>97</v>
      </c>
    </row>
    <row r="211" spans="2:2" x14ac:dyDescent="0.45">
      <c r="B211">
        <v>31</v>
      </c>
    </row>
    <row r="212" spans="2:2" x14ac:dyDescent="0.45">
      <c r="B21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578F7D2D-32B7-4233-9EEC-EAC44AC0E753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34</vt:i4>
      </vt:variant>
    </vt:vector>
  </HeadingPairs>
  <TitlesOfParts>
    <vt:vector size="41" baseType="lpstr">
      <vt:lpstr>Описание</vt:lpstr>
      <vt:lpstr>Исходные данные</vt:lpstr>
      <vt:lpstr>Реестр</vt:lpstr>
      <vt:lpstr>Результаты</vt:lpstr>
      <vt:lpstr>ModelRiskDSN</vt:lpstr>
      <vt:lpstr>ModelRiskSYS1</vt:lpstr>
      <vt:lpstr>ModelRiskCharts</vt:lpstr>
      <vt:lpstr>BaseCost</vt:lpstr>
      <vt:lpstr>Checks</vt:lpstr>
      <vt:lpstr>Confidence</vt:lpstr>
      <vt:lpstr>Cost_O1</vt:lpstr>
      <vt:lpstr>Cost_O2</vt:lpstr>
      <vt:lpstr>Cost_O3</vt:lpstr>
      <vt:lpstr>Cost_T1</vt:lpstr>
      <vt:lpstr>Cost_T10</vt:lpstr>
      <vt:lpstr>Cost_T11</vt:lpstr>
      <vt:lpstr>Cost_T12</vt:lpstr>
      <vt:lpstr>Cost_T2</vt:lpstr>
      <vt:lpstr>Cost_T3</vt:lpstr>
      <vt:lpstr>Cost_T4</vt:lpstr>
      <vt:lpstr>Cost_T5</vt:lpstr>
      <vt:lpstr>Cost_T6</vt:lpstr>
      <vt:lpstr>Cost_T7</vt:lpstr>
      <vt:lpstr>Cost_T8</vt:lpstr>
      <vt:lpstr>Cost_T9</vt:lpstr>
      <vt:lpstr>Delay</vt:lpstr>
      <vt:lpstr>DelayCost</vt:lpstr>
      <vt:lpstr>DirectRisk</vt:lpstr>
      <vt:lpstr>EV_Cost</vt:lpstr>
      <vt:lpstr>EV_Delay</vt:lpstr>
      <vt:lpstr>Float</vt:lpstr>
      <vt:lpstr>Happens</vt:lpstr>
      <vt:lpstr>Kind</vt:lpstr>
      <vt:lpstr>OnTime</vt:lpstr>
      <vt:lpstr>Results!Print_Area</vt:lpstr>
      <vt:lpstr>Inputs!Print_Titles</vt:lpstr>
      <vt:lpstr>Results!Print_Titles</vt:lpstr>
      <vt:lpstr>Threats</vt:lpstr>
      <vt:lpstr>TotalRisk</vt:lpstr>
      <vt:lpstr>WeeklyCost</vt:lpstr>
      <vt:lpstr>WeeksLate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PC-02 Реестр рисков: угрозы и возможности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Реестр рисков пристройки к больнице — двенадцать угроз и три возможности — в виде резерва по стоимости и срокам.</dc:description>
  <cp:lastModifiedBy>ООО «Стратегия Риска»</cp:lastModifiedBy>
  <cp:lastPrinted>2026-10-05T10:19:40Z</cp:lastPrinted>
  <dcterms:created xsi:type="dcterms:W3CDTF">2026-10-05T10:16:51Z</dcterms:created>
  <dcterms:modified xsi:type="dcterms:W3CDTF">2026-10-05T10:19:41Z</dcterms:modified>
</cp:coreProperties>
</file>