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949013ED-7D89-459E-9C0C-AB90519935B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Смета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aseEstimate">'Смета'!$E$47</definedName>
    <definedName name="Checks">'Смета'!$E$52:$E$53</definedName>
    <definedName name="Cladding">'Исходные данные'!$D$19</definedName>
    <definedName name="Cladding_Hi">'Исходные данные'!$H$19</definedName>
    <definedName name="Cladding_Lo">'Исходные данные'!$F$19</definedName>
    <definedName name="Cladding_Mean">'Исходные данные'!$I$19</definedName>
    <definedName name="Cladding_ML">'Исходные данные'!$G$19</definedName>
    <definedName name="Corr">'Исходные данные'!$D$39</definedName>
    <definedName name="CorrMatrix">'Смета'!$D$30:$O$41</definedName>
    <definedName name="Doors">'Исходные данные'!$D$20</definedName>
    <definedName name="Doors_Hi">'Исходные данные'!$H$20</definedName>
    <definedName name="Doors_Lo">'Исходные данные'!$F$20</definedName>
    <definedName name="Doors_Mean">'Исходные данные'!$I$20</definedName>
    <definedName name="Doors_ML">'Исходные данные'!$G$20</definedName>
    <definedName name="Drainage">'Исходные данные'!$D$13</definedName>
    <definedName name="Drainage_Hi">'Исходные данные'!$H$13</definedName>
    <definedName name="Drainage_Lo">'Исходные данные'!$F$13</definedName>
    <definedName name="Drainage_Mean">'Исходные данные'!$I$13</definedName>
    <definedName name="Drainage_ML">'Исходные данные'!$G$13</definedName>
    <definedName name="ExpectedCost">'Смета'!$E$48</definedName>
    <definedName name="Fees">'Исходные данные'!$D$34</definedName>
    <definedName name="Fees_Hi">'Исходные данные'!$H$34</definedName>
    <definedName name="Fees_Lo">'Исходные данные'!$F$34</definedName>
    <definedName name="Fees_Mean">'Исходные данные'!$I$34</definedName>
    <definedName name="Fees_ML">'Исходные данные'!$G$34</definedName>
    <definedName name="Fire">'Исходные данные'!$D$26</definedName>
    <definedName name="Fire_Hi">'Исходные данные'!$H$26</definedName>
    <definedName name="Fire_Lo">'Исходные данные'!$F$26</definedName>
    <definedName name="Fire_Mean">'Исходные данные'!$I$26</definedName>
    <definedName name="Fire_ML">'Исходные данные'!$G$26</definedName>
    <definedName name="Foundations">'Исходные данные'!$D$12</definedName>
    <definedName name="Foundations_Hi">'Исходные данные'!$H$12</definedName>
    <definedName name="Foundations_Lo">'Исходные данные'!$F$12</definedName>
    <definedName name="Foundations_Mean">'Исходные данные'!$I$12</definedName>
    <definedName name="Foundations_ML">'Исходные данные'!$G$12</definedName>
    <definedName name="Frame">'Исходные данные'!$D$18</definedName>
    <definedName name="Frame_Hi">'Исходные данные'!$H$18</definedName>
    <definedName name="Frame_Lo">'Исходные данные'!$F$18</definedName>
    <definedName name="Frame_Mean">'Исходные данные'!$I$18</definedName>
    <definedName name="Frame_ML">'Исходные данные'!$G$18</definedName>
    <definedName name="InputMeans">'Исходные данные'!$I$11:$I$34</definedName>
    <definedName name="MandE">'Исходные данные'!$D$25</definedName>
    <definedName name="MandE_Hi">'Исходные данные'!$H$25</definedName>
    <definedName name="MandE_Lo">'Исходные данные'!$F$25</definedName>
    <definedName name="MandE_Mean">'Исходные данные'!$I$25</definedName>
    <definedName name="MandE_ML">'Исходные данные'!$G$25</definedName>
    <definedName name="Offices">'Исходные данные'!$D$28</definedName>
    <definedName name="Offices_Hi">'Исходные данные'!$H$28</definedName>
    <definedName name="Offices_Lo">'Исходные данные'!$F$28</definedName>
    <definedName name="Offices_Mean">'Исходные данные'!$I$28</definedName>
    <definedName name="Offices_ML">'Исходные данные'!$G$28</definedName>
    <definedName name="Prelims">'Исходные данные'!$D$33</definedName>
    <definedName name="Prelims_Hi">'Исходные данные'!$H$33</definedName>
    <definedName name="Prelims_Lo">'Исходные данные'!$F$33</definedName>
    <definedName name="Prelims_Mean">'Исходные данные'!$I$33</definedName>
    <definedName name="Prelims_ML">'Исходные данные'!$G$33</definedName>
    <definedName name="_xlnm.Print_Area" localSheetId="3">'Результаты'!$A$1:$R$46</definedName>
    <definedName name="_xlnm.Print_Titles" localSheetId="1">'Исходные данные'!$1:$4</definedName>
    <definedName name="_xlnm.Print_Titles" localSheetId="3">'Результаты'!$1:$4</definedName>
    <definedName name="Racking">'Исходные данные'!$D$27</definedName>
    <definedName name="Racking_Hi">'Исходные данные'!$H$27</definedName>
    <definedName name="Racking_Lo">'Исходные данные'!$F$27</definedName>
    <definedName name="Racking_Mean">'Исходные данные'!$I$27</definedName>
    <definedName name="Racking_ML">'Исходные данные'!$G$27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ite">'Исходные данные'!$D$11</definedName>
    <definedName name="Site_Hi">'Исходные данные'!$H$11</definedName>
    <definedName name="Site_Lo">'Исходные данные'!$F$11</definedName>
    <definedName name="Site_Mean">'Исходные данные'!$I$11</definedName>
    <definedName name="Site_ML">'Исходные данные'!$G$11</definedName>
    <definedName name="TotalCost">'Смета'!$E$46</definedName>
    <definedName name="U_Cladding">'Смета'!$H$14</definedName>
    <definedName name="U_Doors">'Смета'!$H$15</definedName>
    <definedName name="U_Drainage">'Смета'!$H$12</definedName>
    <definedName name="U_Fees">'Смета'!$H$21</definedName>
    <definedName name="U_Fire">'Смета'!$H$17</definedName>
    <definedName name="U_Foundations">'Смета'!$H$11</definedName>
    <definedName name="U_Frame">'Смета'!$H$13</definedName>
    <definedName name="U_MandE">'Смета'!$H$16</definedName>
    <definedName name="U_Offices">'Смета'!$H$19</definedName>
    <definedName name="U_Prelims">'Смета'!$H$20</definedName>
    <definedName name="U_Racking">'Смета'!$H$18</definedName>
    <definedName name="U_Site">'Смета'!$H$10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1" i="4" l="1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E53" i="3"/>
  <c r="O41" i="3"/>
  <c r="N41" i="3"/>
  <c r="M41" i="3"/>
  <c r="L41" i="3"/>
  <c r="K41" i="3"/>
  <c r="J41" i="3"/>
  <c r="I41" i="3"/>
  <c r="H41" i="3"/>
  <c r="G41" i="3"/>
  <c r="F41" i="3"/>
  <c r="E41" i="3"/>
  <c r="D41" i="3"/>
  <c r="O40" i="3"/>
  <c r="N40" i="3"/>
  <c r="M40" i="3"/>
  <c r="L40" i="3"/>
  <c r="K40" i="3"/>
  <c r="J40" i="3"/>
  <c r="I40" i="3"/>
  <c r="H40" i="3"/>
  <c r="G40" i="3"/>
  <c r="F40" i="3"/>
  <c r="E40" i="3"/>
  <c r="D40" i="3"/>
  <c r="O39" i="3"/>
  <c r="N39" i="3"/>
  <c r="M39" i="3"/>
  <c r="L39" i="3"/>
  <c r="K39" i="3"/>
  <c r="J39" i="3"/>
  <c r="I39" i="3"/>
  <c r="H39" i="3"/>
  <c r="G39" i="3"/>
  <c r="F39" i="3"/>
  <c r="E39" i="3"/>
  <c r="D39" i="3"/>
  <c r="O38" i="3"/>
  <c r="N38" i="3"/>
  <c r="M38" i="3"/>
  <c r="L38" i="3"/>
  <c r="K38" i="3"/>
  <c r="J38" i="3"/>
  <c r="I38" i="3"/>
  <c r="H38" i="3"/>
  <c r="G38" i="3"/>
  <c r="F38" i="3"/>
  <c r="E38" i="3"/>
  <c r="D38" i="3"/>
  <c r="O37" i="3"/>
  <c r="N37" i="3"/>
  <c r="M37" i="3"/>
  <c r="L37" i="3"/>
  <c r="K37" i="3"/>
  <c r="J37" i="3"/>
  <c r="I37" i="3"/>
  <c r="H37" i="3"/>
  <c r="G37" i="3"/>
  <c r="F37" i="3"/>
  <c r="E37" i="3"/>
  <c r="D37" i="3"/>
  <c r="O36" i="3"/>
  <c r="N36" i="3"/>
  <c r="M36" i="3"/>
  <c r="L36" i="3"/>
  <c r="K36" i="3"/>
  <c r="J36" i="3"/>
  <c r="I36" i="3"/>
  <c r="H36" i="3"/>
  <c r="G36" i="3"/>
  <c r="F36" i="3"/>
  <c r="E36" i="3"/>
  <c r="D36" i="3"/>
  <c r="O35" i="3"/>
  <c r="N35" i="3"/>
  <c r="M35" i="3"/>
  <c r="L35" i="3"/>
  <c r="K35" i="3"/>
  <c r="J35" i="3"/>
  <c r="I35" i="3"/>
  <c r="H35" i="3"/>
  <c r="G35" i="3"/>
  <c r="F35" i="3"/>
  <c r="E35" i="3"/>
  <c r="D35" i="3"/>
  <c r="O34" i="3"/>
  <c r="N34" i="3"/>
  <c r="M34" i="3"/>
  <c r="L34" i="3"/>
  <c r="K34" i="3"/>
  <c r="J34" i="3"/>
  <c r="I34" i="3"/>
  <c r="H34" i="3"/>
  <c r="G34" i="3"/>
  <c r="F34" i="3"/>
  <c r="E34" i="3"/>
  <c r="D34" i="3"/>
  <c r="O33" i="3"/>
  <c r="N33" i="3"/>
  <c r="M33" i="3"/>
  <c r="L33" i="3"/>
  <c r="K33" i="3"/>
  <c r="J33" i="3"/>
  <c r="I33" i="3"/>
  <c r="H33" i="3"/>
  <c r="G33" i="3"/>
  <c r="F33" i="3"/>
  <c r="E33" i="3"/>
  <c r="D33" i="3"/>
  <c r="O32" i="3"/>
  <c r="N32" i="3"/>
  <c r="M32" i="3"/>
  <c r="L32" i="3"/>
  <c r="K32" i="3"/>
  <c r="J32" i="3"/>
  <c r="I32" i="3"/>
  <c r="H32" i="3"/>
  <c r="G32" i="3"/>
  <c r="F32" i="3"/>
  <c r="E32" i="3"/>
  <c r="D32" i="3"/>
  <c r="O31" i="3"/>
  <c r="N31" i="3"/>
  <c r="M31" i="3"/>
  <c r="L31" i="3"/>
  <c r="K31" i="3"/>
  <c r="J31" i="3"/>
  <c r="I31" i="3"/>
  <c r="H31" i="3"/>
  <c r="G31" i="3"/>
  <c r="F31" i="3"/>
  <c r="E31" i="3"/>
  <c r="D31" i="3"/>
  <c r="O30" i="3"/>
  <c r="N30" i="3"/>
  <c r="M30" i="3"/>
  <c r="L30" i="3"/>
  <c r="K30" i="3"/>
  <c r="J30" i="3"/>
  <c r="I30" i="3"/>
  <c r="H30" i="3"/>
  <c r="G30" i="3"/>
  <c r="F30" i="3"/>
  <c r="E30" i="3"/>
  <c r="D30" i="3"/>
  <c r="D21" i="3"/>
  <c r="C21" i="3"/>
  <c r="C41" i="3"/>
  <c r="D20" i="3"/>
  <c r="C20" i="3"/>
  <c r="C40" i="3" s="1"/>
  <c r="D19" i="3"/>
  <c r="C19" i="3"/>
  <c r="C39" i="3" s="1"/>
  <c r="D18" i="3"/>
  <c r="C18" i="3"/>
  <c r="C38" i="3"/>
  <c r="D17" i="3"/>
  <c r="C17" i="3"/>
  <c r="C37" i="3"/>
  <c r="D16" i="3"/>
  <c r="C16" i="3"/>
  <c r="C36" i="3" s="1"/>
  <c r="D15" i="3"/>
  <c r="C15" i="3"/>
  <c r="C35" i="3"/>
  <c r="D14" i="3"/>
  <c r="C14" i="3"/>
  <c r="C34" i="3"/>
  <c r="D13" i="3"/>
  <c r="C13" i="3"/>
  <c r="C33" i="3"/>
  <c r="D12" i="3"/>
  <c r="C12" i="3"/>
  <c r="C32" i="3" s="1"/>
  <c r="D11" i="3"/>
  <c r="C11" i="3"/>
  <c r="C31" i="3"/>
  <c r="D10" i="3"/>
  <c r="C10" i="3"/>
  <c r="C30" i="3"/>
  <c r="I11" i="2" a="1"/>
  <c r="I18" i="2" a="1"/>
  <c r="I20" i="2" a="1"/>
  <c r="I27" i="2" a="1"/>
  <c r="I13" i="2" a="1"/>
  <c r="I28" i="2" a="1"/>
  <c r="I19" i="2" a="1"/>
  <c r="I33" i="2" a="1"/>
  <c r="I26" i="2" a="1"/>
  <c r="I25" i="2" a="1"/>
  <c r="I12" i="2" a="1"/>
  <c r="I34" i="2" a="1"/>
  <c r="H10" i="3" l="1" a="1"/>
  <c r="H10" i="3" s="1"/>
  <c r="D22" i="3"/>
  <c r="E47" i="3" s="1"/>
  <c r="D12" i="4" s="1"/>
  <c r="I34" i="2"/>
  <c r="E21" i="3" s="1"/>
  <c r="G21" i="3" s="1"/>
  <c r="I12" i="2"/>
  <c r="E11" i="3" s="1"/>
  <c r="G11" i="3" s="1"/>
  <c r="I25" i="2"/>
  <c r="E16" i="3" s="1"/>
  <c r="G16" i="3" s="1"/>
  <c r="I26" i="2"/>
  <c r="E17" i="3" s="1"/>
  <c r="G17" i="3" s="1"/>
  <c r="I33" i="2"/>
  <c r="E20" i="3" s="1"/>
  <c r="G20" i="3" s="1"/>
  <c r="I19" i="2"/>
  <c r="E14" i="3" s="1"/>
  <c r="G14" i="3" s="1"/>
  <c r="I28" i="2"/>
  <c r="E19" i="3" s="1"/>
  <c r="G19" i="3" s="1"/>
  <c r="I13" i="2"/>
  <c r="E12" i="3" s="1"/>
  <c r="G12" i="3" s="1"/>
  <c r="I27" i="2"/>
  <c r="E18" i="3" s="1"/>
  <c r="G18" i="3" s="1"/>
  <c r="I20" i="2"/>
  <c r="E15" i="3" s="1"/>
  <c r="G15" i="3" s="1"/>
  <c r="I18" i="2"/>
  <c r="E13" i="3" s="1"/>
  <c r="G13" i="3" s="1"/>
  <c r="I11" i="2"/>
  <c r="D11" i="2" a="1"/>
  <c r="H21" i="3" l="1"/>
  <c r="H11" i="3"/>
  <c r="E10" i="3"/>
  <c r="E52" i="3"/>
  <c r="B7" i="4" s="1"/>
  <c r="H17" i="3"/>
  <c r="H20" i="3"/>
  <c r="H14" i="3"/>
  <c r="H15" i="3"/>
  <c r="H12" i="3"/>
  <c r="H18" i="3"/>
  <c r="H16" i="3"/>
  <c r="H19" i="3"/>
  <c r="H13" i="3"/>
  <c r="D11" i="2"/>
  <c r="F10" i="3" s="1"/>
  <c r="D34" i="2" a="1"/>
  <c r="D13" i="2" a="1"/>
  <c r="D12" i="2" a="1"/>
  <c r="D27" i="2" a="1"/>
  <c r="D25" i="2" a="1"/>
  <c r="D28" i="2" a="1"/>
  <c r="D26" i="2" a="1"/>
  <c r="D18" i="2" a="1"/>
  <c r="D33" i="2" a="1"/>
  <c r="D19" i="2" a="1"/>
  <c r="D20" i="2" a="1"/>
  <c r="D20" i="2" l="1"/>
  <c r="F15" i="3" s="1"/>
  <c r="D19" i="2"/>
  <c r="F14" i="3" s="1"/>
  <c r="D33" i="2"/>
  <c r="F20" i="3" s="1"/>
  <c r="D18" i="2"/>
  <c r="F13" i="3" s="1"/>
  <c r="D26" i="2"/>
  <c r="F17" i="3" s="1"/>
  <c r="D28" i="2"/>
  <c r="F19" i="3" s="1"/>
  <c r="D25" i="2"/>
  <c r="F16" i="3" s="1"/>
  <c r="D27" i="2"/>
  <c r="F18" i="3" s="1"/>
  <c r="D12" i="2"/>
  <c r="F11" i="3" s="1"/>
  <c r="D13" i="2"/>
  <c r="F12" i="3" s="1"/>
  <c r="D34" i="2"/>
  <c r="F21" i="3" s="1"/>
  <c r="E22" i="3"/>
  <c r="E48" i="3" s="1"/>
  <c r="G23" i="4" s="1"/>
  <c r="G10" i="3"/>
  <c r="G22" i="3" s="1"/>
  <c r="F22" i="3" l="1"/>
  <c r="E46" i="3" s="1" a="1"/>
  <c r="E46" i="3" s="1"/>
  <c r="D90" i="4" a="1"/>
  <c r="D81" i="4" a="1"/>
  <c r="D13" i="4" a="1"/>
  <c r="D80" i="4" a="1"/>
  <c r="D91" i="4" a="1"/>
  <c r="D71" i="4" a="1"/>
  <c r="D86" i="4" a="1"/>
  <c r="F22" i="4" a="1"/>
  <c r="D77" i="4" a="1"/>
  <c r="D69" i="4" a="1"/>
  <c r="D99" i="4" a="1"/>
  <c r="D78" i="4" a="1"/>
  <c r="D101" i="4" a="1"/>
  <c r="D68" i="4" a="1"/>
  <c r="D61" i="4" a="1"/>
  <c r="D87" i="4" a="1"/>
  <c r="D96" i="4" a="1"/>
  <c r="D74" i="4" a="1"/>
  <c r="D92" i="4" a="1"/>
  <c r="D76" i="4" a="1"/>
  <c r="D17" i="4" a="1"/>
  <c r="D67" i="4" a="1"/>
  <c r="D82" i="4" a="1"/>
  <c r="D16" i="4" a="1"/>
  <c r="D73" i="4" a="1"/>
  <c r="D64" i="4" a="1"/>
  <c r="D72" i="4" a="1"/>
  <c r="D63" i="4" a="1"/>
  <c r="D65" i="4" a="1"/>
  <c r="D59" i="4" a="1"/>
  <c r="D100" i="4" a="1"/>
  <c r="D55" i="4" a="1"/>
  <c r="D56" i="4" a="1"/>
  <c r="B28" i="4" a="1"/>
  <c r="D93" i="4" a="1"/>
  <c r="D89" i="4" a="1"/>
  <c r="D53" i="4" a="1"/>
  <c r="D88" i="4" a="1"/>
  <c r="D52" i="4" a="1"/>
  <c r="D79" i="4" a="1"/>
  <c r="D98" i="4" a="1"/>
  <c r="D58" i="4" a="1"/>
  <c r="D103" i="4" a="1"/>
  <c r="D85" i="4" a="1"/>
  <c r="E22" i="4" a="1"/>
  <c r="D84" i="4" a="1"/>
  <c r="B6" i="4" a="1"/>
  <c r="D75" i="4" a="1"/>
  <c r="D94" i="4" a="1"/>
  <c r="D54" i="4" a="1"/>
  <c r="D22" i="4" a="1"/>
  <c r="D95" i="4" a="1"/>
  <c r="D70" i="4" a="1"/>
  <c r="D97" i="4" a="1"/>
  <c r="D60" i="4" a="1"/>
  <c r="D66" i="4" a="1"/>
  <c r="D57" i="4" a="1"/>
  <c r="D83" i="4" a="1"/>
  <c r="G22" i="4" a="1"/>
  <c r="D62" i="4" a="1"/>
  <c r="D62" i="4" l="1"/>
  <c r="G22" i="4"/>
  <c r="D83" i="4"/>
  <c r="D57" i="4"/>
  <c r="D66" i="4"/>
  <c r="D60" i="4"/>
  <c r="D97" i="4"/>
  <c r="D70" i="4"/>
  <c r="D95" i="4"/>
  <c r="D22" i="4"/>
  <c r="D54" i="4"/>
  <c r="D94" i="4"/>
  <c r="D75" i="4"/>
  <c r="B6" i="4"/>
  <c r="D84" i="4"/>
  <c r="E22" i="4"/>
  <c r="D85" i="4"/>
  <c r="D103" i="4"/>
  <c r="D58" i="4"/>
  <c r="D98" i="4"/>
  <c r="D79" i="4"/>
  <c r="D52" i="4"/>
  <c r="D88" i="4"/>
  <c r="D53" i="4"/>
  <c r="D89" i="4"/>
  <c r="D93" i="4"/>
  <c r="D31" i="4"/>
  <c r="B33" i="4"/>
  <c r="B110" i="4" s="1"/>
  <c r="B34" i="4"/>
  <c r="B111" i="4" s="1"/>
  <c r="C30" i="4"/>
  <c r="D36" i="4"/>
  <c r="D34" i="4"/>
  <c r="E37" i="4"/>
  <c r="B39" i="4"/>
  <c r="B116" i="4" s="1"/>
  <c r="E34" i="4"/>
  <c r="E31" i="4"/>
  <c r="B28" i="4"/>
  <c r="B105" i="4" s="1"/>
  <c r="B38" i="4"/>
  <c r="B115" i="4" s="1"/>
  <c r="D37" i="4"/>
  <c r="B31" i="4"/>
  <c r="B108" i="4" s="1"/>
  <c r="D30" i="4"/>
  <c r="E30" i="4"/>
  <c r="C39" i="4"/>
  <c r="B30" i="4"/>
  <c r="B107" i="4" s="1"/>
  <c r="C33" i="4"/>
  <c r="G110" i="4" s="1"/>
  <c r="B36" i="4"/>
  <c r="B113" i="4" s="1"/>
  <c r="C36" i="4"/>
  <c r="C32" i="4"/>
  <c r="B37" i="4"/>
  <c r="B114" i="4" s="1"/>
  <c r="E39" i="4"/>
  <c r="E36" i="4"/>
  <c r="C38" i="4"/>
  <c r="G115" i="4" s="1"/>
  <c r="E33" i="4"/>
  <c r="E29" i="4"/>
  <c r="B29" i="4"/>
  <c r="B106" i="4" s="1"/>
  <c r="D39" i="4"/>
  <c r="D32" i="4"/>
  <c r="F109" i="4" s="1"/>
  <c r="E35" i="4"/>
  <c r="D33" i="4"/>
  <c r="D29" i="4"/>
  <c r="F106" i="4" s="1"/>
  <c r="D38" i="4"/>
  <c r="F115" i="4" s="1"/>
  <c r="C35" i="4"/>
  <c r="G112" i="4" s="1"/>
  <c r="E32" i="4"/>
  <c r="C29" i="4"/>
  <c r="D28" i="4"/>
  <c r="E28" i="4"/>
  <c r="B32" i="4"/>
  <c r="B109" i="4" s="1"/>
  <c r="C28" i="4"/>
  <c r="G105" i="4" s="1"/>
  <c r="C34" i="4"/>
  <c r="G111" i="4" s="1"/>
  <c r="C37" i="4"/>
  <c r="G114" i="4" s="1"/>
  <c r="D35" i="4"/>
  <c r="B35" i="4"/>
  <c r="B112" i="4" s="1"/>
  <c r="C31" i="4"/>
  <c r="E38" i="4"/>
  <c r="D56" i="4"/>
  <c r="D55" i="4"/>
  <c r="D100" i="4"/>
  <c r="D59" i="4"/>
  <c r="D65" i="4"/>
  <c r="D63" i="4"/>
  <c r="D72" i="4"/>
  <c r="D64" i="4"/>
  <c r="D73" i="4"/>
  <c r="D16" i="4"/>
  <c r="D82" i="4"/>
  <c r="D67" i="4"/>
  <c r="D17" i="4"/>
  <c r="D76" i="4"/>
  <c r="D92" i="4"/>
  <c r="D74" i="4"/>
  <c r="D96" i="4"/>
  <c r="D87" i="4"/>
  <c r="D61" i="4"/>
  <c r="D68" i="4"/>
  <c r="D101" i="4"/>
  <c r="D78" i="4"/>
  <c r="D99" i="4"/>
  <c r="D69" i="4"/>
  <c r="D77" i="4"/>
  <c r="F22" i="4"/>
  <c r="D86" i="4"/>
  <c r="D71" i="4"/>
  <c r="D91" i="4"/>
  <c r="D80" i="4"/>
  <c r="D13" i="4"/>
  <c r="D15" i="4" s="1"/>
  <c r="D81" i="4"/>
  <c r="D90" i="4"/>
  <c r="G106" i="4" l="1"/>
  <c r="F116" i="4"/>
  <c r="G109" i="4"/>
  <c r="F111" i="4"/>
  <c r="F112" i="4"/>
  <c r="G113" i="4"/>
  <c r="F114" i="4"/>
  <c r="F113" i="4"/>
  <c r="G107" i="4"/>
  <c r="G108" i="4"/>
  <c r="F105" i="4"/>
  <c r="D14" i="4"/>
  <c r="F110" i="4"/>
  <c r="G116" i="4"/>
  <c r="F108" i="4"/>
  <c r="F107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<sst xmlns="http://schemas.openxmlformats.org/spreadsheetml/2006/main" count="301" uniqueCount="221">
  <si>
    <t xml:space="preserve">Смета с резервом на риски</t>
  </si>
  <si>
    <t xml:space="preserve">Пример МоделРиск  ·  Проекты и строительство  ·  PC-01</t>
  </si>
  <si>
    <t xml:space="preserve">Какой резерв нужен в бюджете строительства склада?  Трехточечные оценки превращаются в бюджет P50 и P80.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</si>
  <si>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</si>
  <si>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</si>
  <si>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</si>
  <si>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Проекты и строительство</t>
  </si>
  <si>
    <t xml:space="preserve">Сложность</t>
  </si>
  <si>
    <t xml:space="preserve">★☆☆☆☆   Двенадцать статей сметы с трехточечными диапазонами складываются методом Монте-Карло: самая простая полезная модель рисков.</t>
  </si>
  <si>
    <t xml:space="preserve">Вопрос бизнеса</t>
  </si>
  <si>
    <t xml:space="preserve">Смета нового распределительного склада по наиболее вероятной стоимости каждой статьи составляет 36,8 млн долл. Насколько вероятно, что этой суммы хватит, и какой резерв нужен для бюджета, который не будет превышен с вероятностью 80%?</t>
  </si>
  <si>
    <t xml:space="preserve">Для кого</t>
  </si>
  <si>
    <t xml:space="preserve">Сметчикам, инженерам по стоимости, руководителям проектов и заказчикам, которые утверждают бюджеты.</t>
  </si>
  <si>
    <t xml:space="preserve">Основные результаты</t>
  </si>
  <si>
    <t xml:space="preserve">Общая стоимость: P50, P80 и P90, вероятность, что базовой оценки хватит, резерв для бюджета P80 и статьи, от которых больше всего зависит разброс.</t>
  </si>
  <si>
    <t xml:space="preserve">Приемы МоделРиск</t>
  </si>
  <si>
    <t xml:space="preserve">Распределения PERT по минимальной, наиболее вероятной и максимальной оценкам · моделирование итога · P50 / P80 / P90 · резерв по процентилям · одна корреляция для каждой пары статей через нормальную копулу (VoseCopulaMultiNormal) · «торнадо» по условным средним для ранжирования статей.</t>
  </si>
  <si>
    <t xml:space="preserve">Файл</t>
  </si>
  <si>
    <t xml:space="preserve">PC-01 Смета с трехточечными диапазонами и резервом  ·  Версия 1.0  ·  Ноябрь 2026  ·  создано в МоделРиск</t>
  </si>
  <si>
    <t xml:space="preserve">Вопрос бизнеса</t>
  </si>
  <si>
    <t xml:space="preserve">В смете нового распределительного склада площадью 40 000 м² двенадцать статей. По каждой команда согласовала минимальную правдоподобную, наиболее вероятную и максимальную правдоподобную стоимость. Сумма наиболее вероятных стоимостей дает базовую оценку 36,8 млн долл., но диапазоны несимметричны: большинство статей может превысить оценку сильнее, чем оказаться ниже нее, поэтому базовая оценка, скорее всего, занижена. Модель заменяет каждую статью распределением PERT по трем оценкам, складывает их методом Монте-Карло и находит бюджет на том уровне надежности, который нужен заказчику. Разница между этим бюджетом и базовой оценкой и есть резерв, а рейтинг статей показывает, где уточнение оценок сильнее всего сузит диапазон.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</si>
  <si>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</si>
  <si>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</si>
  <si>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</si>
  <si>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По каждой статье — минимальная, наиболее вероятная и максимальная правдоподобная стоимость и обоснование оценки. Каждая становится распределением PERT: наиболее вероятные значения имеют наибольший вес, крайние возможны, но редки. Одна корреляция задает, насколько согласованно меняются стоимости статей: в поставке 0, статьи независимы.</t>
  </si>
  <si>
    <t xml:space="preserve">2  Смета</t>
  </si>
  <si>
    <t xml:space="preserve">Базовая оценка — сумма наиболее вероятных стоимостей. В каждой итерации нормальная копула выбирает двенадцать значений U с заданной корреляцией для каждой пары, распределение PERT каждой статьи превращает свое U в стоимость, а итог — их сумма.</t>
  </si>
  <si>
    <t xml:space="preserve">3  Результаты</t>
  </si>
  <si>
    <t xml:space="preserve">Процентили общей стоимости: P80 — бюджет, который не будет превышен с вероятностью 80%. Резерв — это бюджет минус базовая оценка. «Торнадо» ранжирует статьи по их влиянию на итог.</t>
  </si>
  <si>
    <t xml:space="preserve">Как пользоваться моделью</t>
  </si>
  <si>
    <t xml:space="preserve">Шаг 1</t>
  </si>
  <si>
    <t xml:space="preserve">Замените двенадцать статей и их три оценки своими на листе «Исходные данные» (в модели ровно двенадцать статей; сначала спрашивайте максимальную оценку, затем минимальную, затем наиболее вероятную: так меньше эффект привязки).</t>
  </si>
  <si>
    <t xml:space="preserve">Шаг 2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</si>
  <si>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</si>
  <si>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3</t>
  </si>
  <si>
    <t xml:space="preserve">Прочитайте P50, P80 и P90 на листе «Результаты» и выберите уровень надежности для бюджета.</t>
  </si>
  <si>
    <t xml:space="preserve">Шаг 4</t>
  </si>
  <si>
    <t xml:space="preserve">Начинайте со статей в верхней части «торнадо»: уточнение информации по ним сильнее всего сужает диапазон.</t>
  </si>
  <si>
    <t xml:space="preserve">Структура модели</t>
  </si>
  <si>
    <t xml:space="preserve">Исходные данные</t>
  </si>
  <si>
    <t xml:space="preserve">Двенадцать статей сметы с минимальной, наиболее вероятной и максимальной оценками.</t>
  </si>
  <si>
    <t xml:space="preserve">Смета</t>
  </si>
  <si>
    <t xml:space="preserve">Базовая оценка, среднее и значение в этой итерации по каждой статье; итоги и проверки.</t>
  </si>
  <si>
    <t xml:space="preserve">Результаты</t>
  </si>
  <si>
    <t xml:space="preserve">Процентили бюджета, резерв, S-кривая и статьи, определяющие разброс.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</si>
  <si>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</si>
  <si>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</si>
  <si>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</si>
  <si>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</si>
  <si>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</si>
  <si>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</si>
  <si>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</si>
  <si>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</si>
  <si>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</si>
  <si>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</si>
  <si>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</si>
  <si>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</si>
  <si>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</si>
  <si>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 в текущих ценах, без учета инфляции и НДС.</t>
  </si>
  <si>
    <t>P50 / P80 / P90</t>
  </si>
  <si>
    <t xml:space="preserve">Стоимость, которая не будет превышена с вероятностью 50%, 80% и 90%.</t>
  </si>
  <si>
    <t xml:space="preserve">Резерв</t>
  </si>
  <si>
    <t xml:space="preserve">Бюджет на выбранном уровне надежности минус базовая оценка (сумма наиболее вероятных стоимостей).</t>
  </si>
  <si>
    <t xml:space="preserve">Базовая оценка</t>
  </si>
  <si>
    <t xml:space="preserve">Точечная оценка — сумма наиболее вероятных значений.</t>
  </si>
  <si>
    <t xml:space="preserve">Основные допущения и ограничения</t>
  </si>
  <si>
    <t xml:space="preserve">Независимость</t>
  </si>
  <si>
    <t xml:space="preserve">В поставке статьи независимы (корреляция 0). На практике некоторые меняются вместе (ставки оплаты труда, затянувшийся график); увеличьте корреляцию на листе «Исходные данные» и посмотрите, насколько расширится диапазон.</t>
  </si>
  <si>
    <t xml:space="preserve">Границы модели</t>
  </si>
  <si>
    <t xml:space="preserve">Только неопределенность оценок в пределах согласованного объема работ: без рисковых событий (см. PC-02) и без изменения объема.</t>
  </si>
  <si>
    <t xml:space="preserve">Распределения</t>
  </si>
  <si>
    <t xml:space="preserve">PERT по трем оценкам; минимальная и максимальная оценки считаются истинными минимумом и максимумом.</t>
  </si>
  <si>
    <t xml:space="preserve">Данные</t>
  </si>
  <si>
    <t xml:space="preserve">Проект и все стоимости придуманы для этого примера.</t>
  </si>
  <si>
    <t xml:space="preserve">Функции МоделРиск в модели</t>
  </si>
  <si>
    <t>VosePERT</t>
  </si>
  <si>
    <t xml:space="preserve">Стоимость каждой статьи по минимальной, наиболее вероятной и максимальной оценкам и ее значению U.</t>
  </si>
  <si>
    <t>VoseCopulaMultiNormal</t>
  </si>
  <si>
    <t xml:space="preserve">Двенадцать значений U в каждой итерации, по одному на статью, по корреляционной матрице на листе «Смета».</t>
  </si>
  <si>
    <t>VoseInput, VoseOutput</t>
  </si>
  <si>
    <t xml:space="preserve">Задают имена двенадцати статей и итога для окна просмотра результатов и анализа чувствительности.</t>
  </si>
  <si>
    <t>VoseSimMean, VoseSimPercentile, VoseSimProbability</t>
  </si>
  <si>
    <t xml:space="preserve">Статистика моделирования для таблиц и графиков на листе «Результаты».</t>
  </si>
  <si>
    <t>VoseSimSensitivityMean</t>
  </si>
  <si>
    <t xml:space="preserve">Диаграмма «торнадо»: все VoseInput по тому, насколько меняется средняя общая стоимость в пределах их диапазона.</t>
  </si>
  <si>
    <t xml:space="preserve">Что почитать</t>
  </si>
  <si>
    <t xml:space="preserve">Стоимостной риск</t>
  </si>
  <si>
    <t>AACE International (2008). Recommended Practice 41R-08: Risk Analysis and Contingency Determination Using Range Estimating.</t>
  </si>
  <si>
    <t xml:space="preserve">Экспертные оценки</t>
  </si>
  <si>
    <t xml:space="preserve">Экспертная оценка рисков: как получить у экспертов три точки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</si>
  <si>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</si>
  <si>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</si>
  <si>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</si>
  <si>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Смета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</si>
  <si>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</t>
  </si>
  <si>
    <t xml:space="preserve">1   Площадка и подземная часть</t>
  </si>
  <si>
    <t xml:space="preserve">Ниже нулевой отметки и вокруг здания: здесь больше всего неопределенности из-за грунтов.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</si>
  <si>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</si>
  <si>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</si>
  <si>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</si>
  <si>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</si>
  <si>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</si>
  <si>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</si>
  <si>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</si>
  <si>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</si>
  <si>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Обоснование / источник (условно)</t>
  </si>
  <si>
    <t xml:space="preserve">Подготовка площадки и земляные работы</t>
  </si>
  <si>
    <t xml:space="preserve">млн долл.</t>
  </si>
  <si>
    <t xml:space="preserve">PERT  · с корреляцией</t>
  </si>
  <si>
    <t xml:space="preserve">Изыскания обнаружили неоднородную насыпь с северной стороны.</t>
  </si>
  <si>
    <t xml:space="preserve">Фундаменты и плита пола</t>
  </si>
  <si>
    <t xml:space="preserve">Под высотной частью может понадобиться свайное основание.</t>
  </si>
  <si>
    <t xml:space="preserve">Водоотведение и благоустройство</t>
  </si>
  <si>
    <t xml:space="preserve">Объем аккумулирующего резервуара задан местной администрацией.</t>
  </si>
  <si>
    <t xml:space="preserve">2   Здание</t>
  </si>
  <si>
    <t xml:space="preserve">Каркас и оболочка: в основном есть цены поставщиков.</t>
  </si>
  <si>
    <t xml:space="preserve">Металлокаркас</t>
  </si>
  <si>
    <t xml:space="preserve">Цена металла по коммерческому предложению, действует 60 дней.</t>
  </si>
  <si>
    <t xml:space="preserve">Ограждающие конструкции и кровля</t>
  </si>
  <si>
    <t xml:space="preserve">Два предложения субподрядчиков; более дорогое включает зенитные фонари.</t>
  </si>
  <si>
    <t xml:space="preserve">Доки и ворота</t>
  </si>
  <si>
    <t xml:space="preserve">24 уравнительные платформы, спецификация согласована.</t>
  </si>
  <si>
    <t xml:space="preserve">3   Инженерные системы и оснащение</t>
  </si>
  <si>
    <t xml:space="preserve">Проект инженерных систем проработан меньше всего, поэтому их диапазоны самые широкие.</t>
  </si>
  <si>
    <t xml:space="preserve">Инженерные системы (ОВиК и электрика)</t>
  </si>
  <si>
    <t xml:space="preserve">Проект на стадии П; стоимость подключения к электросетям еще не подтверждена.</t>
  </si>
  <si>
    <t xml:space="preserve">Спринклеры и противопожарная защита</t>
  </si>
  <si>
    <t xml:space="preserve">Требования страховщика еще не подтверждены.</t>
  </si>
  <si>
    <t xml:space="preserve">Стеллажи и оснащение склада</t>
  </si>
  <si>
    <t xml:space="preserve">Планировка заказчика, бюджетная цена поставщика.</t>
  </si>
  <si>
    <t xml:space="preserve">Офисы и бытовые помещения</t>
  </si>
  <si>
    <t xml:space="preserve">Двухэтажный офисный блок, стандартная отделка.</t>
  </si>
  <si>
    <t xml:space="preserve">4   Временные затраты и услуги</t>
  </si>
  <si>
    <t xml:space="preserve">Затраты, зависящие от срока стройки, и услуги.</t>
  </si>
  <si>
    <t xml:space="preserve">Временные затраты и управление стройкой</t>
  </si>
  <si>
    <t xml:space="preserve">Зависят от срока: чем дольше стройка, тем дороже. График здесь не моделируется, поэтому у статьи свой диапазон.</t>
  </si>
  <si>
    <t xml:space="preserve">Проектирование и услуги консультантов</t>
  </si>
  <si>
    <t xml:space="preserve">Процент от стоимости строительства, здесь задан отдельным диапазоном.</t>
  </si>
  <si>
    <t xml:space="preserve">5   Как стоимости связаны между собой</t>
  </si>
  <si>
    <t xml:space="preserve">Одна корреляция для каждой пары статей.</t>
  </si>
  <si>
    <t xml:space="preserve">Корреляция между стоимостями любых двух статей</t>
  </si>
  <si>
    <t>0 – 1</t>
  </si>
  <si>
    <t xml:space="preserve">Константа</t>
  </si>
  <si>
    <t xml:space="preserve">0 — статьи независимы, как предполагает большинство смет. Общая причина, например затянувшийся график или дефицит рабочей силы, заставляет стоимости меняться вместе: попробуйте 0,3 и запустите моделирование снова.</t>
  </si>
  <si>
    <t xml:space="preserve">СМЕТА   ·   Базовая оценка, ожидаемая стоимость и стоимость каждой статьи в этой итерации (млн долл.); как статьи связаны между собой.</t>
  </si>
  <si>
    <t xml:space="preserve">◂  Исходные данные</t>
  </si>
  <si>
    <t xml:space="preserve">Далее:  Результаты  ▸</t>
  </si>
  <si>
    <t xml:space="preserve">1   Статьи сметы</t>
  </si>
  <si>
    <t xml:space="preserve">База = наиболее вероятная стоимость. Среднее = среднее PERT (лист «Исходные данные»). Выборка копулы: значение U, которое PERT статьи превращает в ее стоимость.</t>
  </si>
  <si>
    <t xml:space="preserve">№</t>
  </si>
  <si>
    <t xml:space="preserve">Статья</t>
  </si>
  <si>
    <t xml:space="preserve">База</t>
  </si>
  <si>
    <t xml:space="preserve">Эта итерация</t>
  </si>
  <si>
    <t xml:space="preserve">Среднее − база</t>
  </si>
  <si>
    <t xml:space="preserve">Выборка копулы</t>
  </si>
  <si>
    <t xml:space="preserve">наиболее вероятное</t>
  </si>
  <si>
    <t>PERT</t>
  </si>
  <si>
    <t xml:space="preserve">выборка</t>
  </si>
  <si>
    <t xml:space="preserve">асимметрия</t>
  </si>
  <si>
    <t>U, 0 – 1</t>
  </si>
  <si>
    <t xml:space="preserve">Итого</t>
  </si>
  <si>
    <t xml:space="preserve">Эта итерация: стоимость, выбранная на листе «Исходные данные», с выборкой копулы этой статьи в качестве U.</t>
  </si>
  <si>
    <t xml:space="preserve">Среднее − база больше 0: статья может превысить оценку сильнее, чем оказаться ниже нее.</t>
  </si>
  <si>
    <t xml:space="preserve">Выборка копулы: VoseCopulaMultiNormal с корреляционной матрицей из раздела 2.</t>
  </si>
  <si>
    <t xml:space="preserve">2   Как статьи связаны между собой</t>
  </si>
  <si>
    <t xml:space="preserve">Корреляционная матрица для копулы: 1 на диагонали и корреляция с листа «Исходные данные» для каждой пары (в поставке 0: статьи независимы).</t>
  </si>
  <si>
    <t xml:space="preserve">3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</si>
  <si>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</si>
  <si>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</si>
  <si>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Значение</t>
  </si>
  <si>
    <t xml:space="preserve">Смысл</t>
  </si>
  <si>
    <t xml:space="preserve">Общая стоимость</t>
  </si>
  <si>
    <t xml:space="preserve">Сумма стоимостей двенадцати статей в этой итерации.</t>
  </si>
  <si>
    <t xml:space="preserve">Сумма наиболее вероятных стоимостей.</t>
  </si>
  <si>
    <t xml:space="preserve">Ожидаемая стоимость  (сумма средних PERT)</t>
  </si>
  <si>
    <t xml:space="preserve">Среднее итога, точный расчет.</t>
  </si>
  <si>
    <t xml:space="preserve">4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</si>
  <si>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</si>
  <si>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Все диапазоны на листе «Исходные данные» заданы верно  (нет ✗ в столбце «Среднее»)</t>
  </si>
  <si>
    <t xml:space="preserve">Корреляция не меньше 0 и меньше 1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</si>
  <si>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</si>
  <si>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Смета</t>
  </si>
  <si>
    <t xml:space="preserve">1   Бюджет</t>
  </si>
  <si>
    <t xml:space="preserve">Общая стоимость — S-кривая</t>
  </si>
  <si>
    <t xml:space="preserve">P80 — стоимость, которая не будет превышена с вероятностью 80%.</t>
  </si>
  <si>
    <t xml:space="preserve">Показатель</t>
  </si>
  <si>
    <t xml:space="preserve">Базовая оценка  (сумма наиболее вероятных стоимостей)</t>
  </si>
  <si>
    <t xml:space="preserve">Бюджет P80</t>
  </si>
  <si>
    <t xml:space="preserve">Резерв для бюджета P80</t>
  </si>
  <si>
    <t xml:space="preserve">Резерв в процентах от базовой оценки</t>
  </si>
  <si>
    <t xml:space="preserve">Вероятность, что базовой оценки хватит</t>
  </si>
  <si>
    <t xml:space="preserve">вероятность</t>
  </si>
  <si>
    <t xml:space="preserve">Средняя общая стоимость</t>
  </si>
  <si>
    <t xml:space="preserve">2   Бюджет при других уровнях надежности</t>
  </si>
  <si>
    <t xml:space="preserve">Выберите уровень надежности и прочитайте бюджет.</t>
  </si>
  <si>
    <t>P50</t>
  </si>
  <si>
    <t>P80</t>
  </si>
  <si>
    <t>P90</t>
  </si>
  <si>
    <t xml:space="preserve">Ожидаемая стоимость, точный расчет  (проверка)</t>
  </si>
  <si>
    <t xml:space="preserve">3   Какие статьи определяют разброс</t>
  </si>
  <si>
    <t xml:space="preserve">Какие статьи определяют общую стоимость  (млн долл.)</t>
  </si>
  <si>
    <t xml:space="preserve">Наименьшее и наибольшее среднее итога по десяти равным группам значений каждой статьи (VoseSimSensitivityMean): в первую очередь уточняйте верхние статьи.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</si>
  <si>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</si>
  <si>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</si>
  <si>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</si>
  <si>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</si>
  <si>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4   Как читать результаты</t>
  </si>
  <si>
    <t xml:space="preserve">•  Базовая оценка складывает наиболее вероятные стоимости. Большинство статей может превысить оценку сильнее, чем оказаться ниже нее, поэтому сумма наиболее вероятных значений лежит ниже середины диапазона и вероятность, что ее хватит, мала.</t>
  </si>
  <si>
    <t xml:space="preserve">•  Резерв — не догадка и не фиксированный процент: это разница между бюджетом на выбранном уровне надежности и базовой оценкой. Часто заказчик финансирует P50, а разницу до P80 держит как управленческий резерв.</t>
  </si>
  <si>
    <t xml:space="preserve">•  В поставке статьи независимы (корреляция 0 на листе «Исходные данные»), поэтому перерасход по одним статьям частично гасится экономией по другим. Когда стоимости меняются согласованно — затянувшийся график, дефицит рабочей силы, — диапазон шире: при корреляции 0,3 резерв P80 вырастает примерно до 6,7% базовой оценки (2,5 млн долл.), а полосы «торнадо» выравниваются, потому что каждая статья тянет за собой связанные с ней. В модели PC-02 добавлены рисковые события, например задержка подключения электроснабжения.</t>
  </si>
  <si>
    <t xml:space="preserve">•  Разброс создают статьи в верхней части «торнадо»: твердая цена или более проработанный проект по ним сузят бюджет сильнее, чем где-либо еще.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</si>
  <si>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</si>
  <si>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</si>
  <si>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</si>
  <si>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</si>
  <si>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TotalCost</t>
  </si>
  <si>
    <t xml:space="preserve">Общее среднее TotalCost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</si>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</sst>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);\(#,##0.00\);&quot;–&quot;_)"/>
    <numFmt numFmtId="165" formatCode="\+0.00;\-0.00;0.00"/>
    <numFmt numFmtId="166" formatCode="0.000"/>
    <numFmt numFmtId="167" formatCode="#,##0.00_);\(#,##0.00\);&quot;–&quot;_);&quot;–&quot;"/>
    <numFmt numFmtId="168" formatCode="0.0%;\-0.0%;0.0%;&quot;–&quot;"/>
    <numFmt numFmtId="169" formatCode="0;\-0;0;&quot;–&quot;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b/>
      <sz val="10"/>
      <color rgb="FF15803D"/>
      <name val="Calibri"/>
    </font>
    <font>
      <sz val="10"/>
      <color rgb="FF55585F"/>
      <name val="Calibri"/>
    </font>
    <font>
      <b/>
      <sz val="13"/>
      <color rgb="FF1F2328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 style="thin">
        <color rgb="FF6B6E75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2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2" fillId="3" borderId="7" xfId="2" applyNumberFormat="1" applyBorder="1">
      <alignment horizontal="right" vertical="center"/>
    </xf>
    <xf numFmtId="164" fontId="1" fillId="2" borderId="7" xfId="1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0" fontId="18" fillId="0" borderId="6" xfId="0" applyFont="1" applyBorder="1" applyAlignment="1">
      <alignment horizontal="left" vertical="center" wrapText="1" indent="1"/>
    </xf>
    <xf numFmtId="2" fontId="1" fillId="2" borderId="7" xfId="1" applyNumberFormat="1" applyBorder="1">
      <alignment horizontal="right" vertical="center"/>
    </xf>
    <xf numFmtId="0" fontId="0" fillId="0" borderId="6" xfId="0" applyBorder="1"/>
    <xf numFmtId="0" fontId="17" fillId="7" borderId="2" xfId="0" applyFont="1" applyFill="1" applyBorder="1" applyAlignment="1">
      <alignment horizontal="right" vertical="center" wrapText="1"/>
    </xf>
    <xf numFmtId="0" fontId="17" fillId="7" borderId="2" xfId="0" applyFont="1" applyFill="1" applyBorder="1" applyAlignment="1">
      <alignment horizontal="left" vertical="center" wrapText="1" indent="1"/>
    </xf>
    <xf numFmtId="0" fontId="0" fillId="7" borderId="2" xfId="0" applyFill="1" applyBorder="1"/>
    <xf numFmtId="0" fontId="19" fillId="7" borderId="4" xfId="0" applyFont="1" applyFill="1" applyBorder="1" applyAlignment="1">
      <alignment horizontal="right" vertical="center"/>
    </xf>
    <xf numFmtId="1" fontId="3" fillId="0" borderId="8" xfId="3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0" fontId="0" fillId="0" borderId="9" xfId="0" applyBorder="1"/>
    <xf numFmtId="0" fontId="12" fillId="0" borderId="9" xfId="0" applyFont="1" applyBorder="1" applyAlignment="1">
      <alignment horizontal="left" vertical="center" indent="1"/>
    </xf>
    <xf numFmtId="164" fontId="12" fillId="0" borderId="9" xfId="3" applyNumberFormat="1" applyFont="1" applyBorder="1">
      <alignment horizontal="right" vertical="center"/>
    </xf>
    <xf numFmtId="165" fontId="12" fillId="0" borderId="9" xfId="3" applyNumberFormat="1" applyFont="1" applyBorder="1">
      <alignment horizontal="right" vertical="center"/>
    </xf>
    <xf numFmtId="0" fontId="13" fillId="0" borderId="0" xfId="0" applyFont="1" applyAlignment="1">
      <alignment horizontal="left" vertical="center" indent="1"/>
    </xf>
    <xf numFmtId="2" fontId="3" fillId="0" borderId="8" xfId="3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4" fontId="4" fillId="4" borderId="10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0" fontId="21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167" fontId="22" fillId="5" borderId="7" xfId="5" applyNumberFormat="1" applyFont="1" applyBorder="1">
      <alignment horizontal="right" vertical="center"/>
    </xf>
    <xf numFmtId="167" fontId="1" fillId="5" borderId="7" xfId="5" applyNumberFormat="1" applyBorder="1">
      <alignment horizontal="right" vertical="center"/>
    </xf>
    <xf numFmtId="168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69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7" fontId="1" fillId="5" borderId="1" xfId="5" applyNumberFormat="1">
      <alignment horizontal="right" vertical="center"/>
    </xf>
    <xf numFmtId="0" fontId="21" fillId="0" borderId="0" xfId="0" applyFont="1" applyAlignment="1">
      <alignment horizontal="left" vertical="center" indent="1"/>
    </xf>
    <xf numFmtId="16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9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Общая стоимость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'Результаты'!$D$52:$D$101</c:f>
              <c:numCache>
                <c:formatCode>#,##0.00</c:formatCode>
                <c:ptCount val="50"/>
                <c:pt idx="0">
                  <c:v>35.856972012491305</c:v>
                </c:pt>
                <c:pt idx="1">
                  <c:v>36.176668120839487</c:v>
                </c:pt>
                <c:pt idx="2">
                  <c:v>36.380284765591973</c:v>
                </c:pt>
                <c:pt idx="3">
                  <c:v>36.513044267701005</c:v>
                </c:pt>
                <c:pt idx="4">
                  <c:v>36.62846700068917</c:v>
                </c:pt>
                <c:pt idx="5">
                  <c:v>36.738413674717258</c:v>
                </c:pt>
                <c:pt idx="6">
                  <c:v>36.819733876917923</c:v>
                </c:pt>
                <c:pt idx="7">
                  <c:v>36.904799330395136</c:v>
                </c:pt>
                <c:pt idx="8">
                  <c:v>36.968554112175546</c:v>
                </c:pt>
                <c:pt idx="9">
                  <c:v>37.026767226526601</c:v>
                </c:pt>
                <c:pt idx="10">
                  <c:v>37.097777802194564</c:v>
                </c:pt>
                <c:pt idx="11">
                  <c:v>37.151786642044399</c:v>
                </c:pt>
                <c:pt idx="12">
                  <c:v>37.211613447523085</c:v>
                </c:pt>
                <c:pt idx="13">
                  <c:v>37.265125286546777</c:v>
                </c:pt>
                <c:pt idx="14">
                  <c:v>37.320731473376732</c:v>
                </c:pt>
                <c:pt idx="15">
                  <c:v>37.367613483270702</c:v>
                </c:pt>
                <c:pt idx="16">
                  <c:v>37.412462870019347</c:v>
                </c:pt>
                <c:pt idx="17">
                  <c:v>37.457395203048598</c:v>
                </c:pt>
                <c:pt idx="18">
                  <c:v>37.504402064359276</c:v>
                </c:pt>
                <c:pt idx="19">
                  <c:v>37.549957409081152</c:v>
                </c:pt>
                <c:pt idx="20">
                  <c:v>37.597547580623228</c:v>
                </c:pt>
                <c:pt idx="21">
                  <c:v>37.646745799162524</c:v>
                </c:pt>
                <c:pt idx="22">
                  <c:v>37.690696333873518</c:v>
                </c:pt>
                <c:pt idx="23">
                  <c:v>37.73931434266489</c:v>
                </c:pt>
                <c:pt idx="24">
                  <c:v>37.786638349752181</c:v>
                </c:pt>
                <c:pt idx="25">
                  <c:v>37.832263913591405</c:v>
                </c:pt>
                <c:pt idx="26">
                  <c:v>37.876407387691501</c:v>
                </c:pt>
                <c:pt idx="27">
                  <c:v>37.924086268676056</c:v>
                </c:pt>
                <c:pt idx="28">
                  <c:v>37.971938590716682</c:v>
                </c:pt>
                <c:pt idx="29">
                  <c:v>38.017070109715043</c:v>
                </c:pt>
                <c:pt idx="30">
                  <c:v>38.072778385164114</c:v>
                </c:pt>
                <c:pt idx="31">
                  <c:v>38.119580048279225</c:v>
                </c:pt>
                <c:pt idx="32">
                  <c:v>38.16581064142337</c:v>
                </c:pt>
                <c:pt idx="33">
                  <c:v>38.221829437068742</c:v>
                </c:pt>
                <c:pt idx="34">
                  <c:v>38.276010136614246</c:v>
                </c:pt>
                <c:pt idx="35">
                  <c:v>38.328299167918054</c:v>
                </c:pt>
                <c:pt idx="36">
                  <c:v>38.382910364898081</c:v>
                </c:pt>
                <c:pt idx="37">
                  <c:v>38.444409897478323</c:v>
                </c:pt>
                <c:pt idx="38">
                  <c:v>38.505695373883995</c:v>
                </c:pt>
                <c:pt idx="39">
                  <c:v>38.572027918957282</c:v>
                </c:pt>
                <c:pt idx="40">
                  <c:v>38.637693623849025</c:v>
                </c:pt>
                <c:pt idx="41">
                  <c:v>38.705128088111799</c:v>
                </c:pt>
                <c:pt idx="42">
                  <c:v>38.774847934859487</c:v>
                </c:pt>
                <c:pt idx="43">
                  <c:v>38.856002380748556</c:v>
                </c:pt>
                <c:pt idx="44">
                  <c:v>38.939049496650448</c:v>
                </c:pt>
                <c:pt idx="45">
                  <c:v>39.045911191918144</c:v>
                </c:pt>
                <c:pt idx="46">
                  <c:v>39.170627897942943</c:v>
                </c:pt>
                <c:pt idx="47">
                  <c:v>39.334970546150352</c:v>
                </c:pt>
                <c:pt idx="48">
                  <c:v>39.549028046814811</c:v>
                </c:pt>
                <c:pt idx="49">
                  <c:v>39.955683170801215</c:v>
                </c:pt>
              </c:numCache>
            </c:numRef>
          </c:xVal>
          <c:yVal>
            <c:numRef>
              <c:f>'Результаты'!$B$52:$B$101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2E3-426F-B52A-83493FE93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Общая стоимость (млн долл.)</a:t>
                </a:r>
              </a:p>
            </c:rich>
          </c:tx>
          <c:overlay val="0"/>
        </c:title>
        <c:numFmt formatCode="#,##0.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'Результаты'!$B$105:$B$116</c:f>
              <c:strCache>
                <c:ptCount val="12"/>
                <c:pt idx="0">
                  <c:v>Инженерные системы (ОВиК и электрика)</c:v>
                </c:pt>
                <c:pt idx="1">
                  <c:v>Металлокаркас</c:v>
                </c:pt>
                <c:pt idx="2">
                  <c:v>Фундаменты и плита пола</c:v>
                </c:pt>
                <c:pt idx="3">
                  <c:v>Ограждающие конструкции и кровля</c:v>
                </c:pt>
                <c:pt idx="4">
                  <c:v>Подготовка площадки и земляные работы</c:v>
                </c:pt>
                <c:pt idx="5">
                  <c:v>Временные затраты и управление стройкой</c:v>
                </c:pt>
                <c:pt idx="6">
                  <c:v>Стеллажи и оснащение склада</c:v>
                </c:pt>
                <c:pt idx="7">
                  <c:v>Водоотведение и благоустройство</c:v>
                </c:pt>
                <c:pt idx="8">
                  <c:v>Офисы и бытовые помещения</c:v>
                </c:pt>
                <c:pt idx="9">
                  <c:v>Доки и ворота</c:v>
                </c:pt>
                <c:pt idx="10">
                  <c:v>Проектирование и услуги консультантов</c:v>
                </c:pt>
                <c:pt idx="11">
                  <c:v>Спринклеры и противопожарная защита</c:v>
                </c:pt>
              </c:strCache>
            </c:strRef>
          </c:cat>
          <c:val>
            <c:numRef>
              <c:f>'Результаты'!$F$105:$F$116</c:f>
              <c:numCache>
                <c:formatCode>#,##0.00_);\(#,##0.00\);"–"_)</c:formatCode>
                <c:ptCount val="12"/>
                <c:pt idx="0">
                  <c:v>0.8337975414901635</c:v>
                </c:pt>
                <c:pt idx="1">
                  <c:v>0.76959119545141874</c:v>
                </c:pt>
                <c:pt idx="2">
                  <c:v>0.64717737017332411</c:v>
                </c:pt>
                <c:pt idx="3">
                  <c:v>0.49302684619671311</c:v>
                </c:pt>
                <c:pt idx="4">
                  <c:v>0.48994943272843017</c:v>
                </c:pt>
                <c:pt idx="5">
                  <c:v>0.42198642517164586</c:v>
                </c:pt>
                <c:pt idx="6">
                  <c:v>0.37035277378553388</c:v>
                </c:pt>
                <c:pt idx="7">
                  <c:v>0.33231090811319319</c:v>
                </c:pt>
                <c:pt idx="8">
                  <c:v>0.17827329075640819</c:v>
                </c:pt>
                <c:pt idx="9">
                  <c:v>0.18153876535004088</c:v>
                </c:pt>
                <c:pt idx="10">
                  <c:v>0.17633809226092012</c:v>
                </c:pt>
                <c:pt idx="11">
                  <c:v>0.13542142443154859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64-43C5-AF4D-091098E7542F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'Результаты'!$B$105:$B$116</c:f>
              <c:strCache>
                <c:ptCount val="12"/>
                <c:pt idx="0">
                  <c:v>Инженерные системы (ОВиК и электрика)</c:v>
                </c:pt>
                <c:pt idx="1">
                  <c:v>Металлокаркас</c:v>
                </c:pt>
                <c:pt idx="2">
                  <c:v>Фундаменты и плита пола</c:v>
                </c:pt>
                <c:pt idx="3">
                  <c:v>Ограждающие конструкции и кровля</c:v>
                </c:pt>
                <c:pt idx="4">
                  <c:v>Подготовка площадки и земляные работы</c:v>
                </c:pt>
                <c:pt idx="5">
                  <c:v>Временные затраты и управление стройкой</c:v>
                </c:pt>
                <c:pt idx="6">
                  <c:v>Стеллажи и оснащение склада</c:v>
                </c:pt>
                <c:pt idx="7">
                  <c:v>Водоотведение и благоустройство</c:v>
                </c:pt>
                <c:pt idx="8">
                  <c:v>Офисы и бытовые помещения</c:v>
                </c:pt>
                <c:pt idx="9">
                  <c:v>Доки и ворота</c:v>
                </c:pt>
                <c:pt idx="10">
                  <c:v>Проектирование и услуги консультантов</c:v>
                </c:pt>
                <c:pt idx="11">
                  <c:v>Спринклеры и противопожарная защита</c:v>
                </c:pt>
              </c:strCache>
            </c:strRef>
          </c:cat>
          <c:val>
            <c:numRef>
              <c:f>'Результаты'!$G$105:$G$116</c:f>
              <c:numCache>
                <c:formatCode>#,##0.00_);\(#,##0.00\);"–"_)</c:formatCode>
                <c:ptCount val="12"/>
                <c:pt idx="0">
                  <c:v>-0.70557597408194539</c:v>
                </c:pt>
                <c:pt idx="1">
                  <c:v>-0.59726635168524211</c:v>
                </c:pt>
                <c:pt idx="2">
                  <c:v>-0.51995833951939119</c:v>
                </c:pt>
                <c:pt idx="3">
                  <c:v>-0.44244901564089645</c:v>
                </c:pt>
                <c:pt idx="4">
                  <c:v>-0.41136807650379126</c:v>
                </c:pt>
                <c:pt idx="5">
                  <c:v>-0.31691392590824563</c:v>
                </c:pt>
                <c:pt idx="6">
                  <c:v>-0.27665759176098703</c:v>
                </c:pt>
                <c:pt idx="7">
                  <c:v>-0.24554866573460998</c:v>
                </c:pt>
                <c:pt idx="8">
                  <c:v>-0.18712500514490671</c:v>
                </c:pt>
                <c:pt idx="9">
                  <c:v>-0.18303935059013554</c:v>
                </c:pt>
                <c:pt idx="10">
                  <c:v>-0.16588644736632574</c:v>
                </c:pt>
                <c:pt idx="11">
                  <c:v>-0.15873876350965332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64-43C5-AF4D-091098E754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808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67" t="s">
        <v>20</v>
      </c>
      <c r="C16" s="68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26.2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ht="26.25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ht="26.25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ht="39.4" x14ac:dyDescent="0.45">
      <c r="B66" s="20" t="s">
        <v>81</v>
      </c>
      <c r="C66" s="10" t="s">
        <v>82</v>
      </c>
    </row>
    <row r="67" spans="2:3" x14ac:dyDescent="0.45">
      <c r="B67" s="20" t="s">
        <v>83</v>
      </c>
      <c r="C67" s="10" t="s">
        <v>84</v>
      </c>
    </row>
    <row r="68" spans="2:3" ht="12" customHeight="1" x14ac:dyDescent="0.45"/>
    <row r="69" spans="2:3" ht="22.05" customHeight="1" x14ac:dyDescent="0.5">
      <c r="B69" s="7" t="s">
        <v>85</v>
      </c>
      <c r="C69" s="8"/>
    </row>
    <row r="70" spans="2:3" x14ac:dyDescent="0.45">
      <c r="B70" s="9" t="s">
        <v>86</v>
      </c>
      <c r="C70" s="10" t="s">
        <v>87</v>
      </c>
    </row>
    <row r="71" spans="2:3" x14ac:dyDescent="0.45">
      <c r="B71" s="9" t="s">
        <v>88</v>
      </c>
      <c r="C71" s="10" t="s">
        <v>89</v>
      </c>
    </row>
    <row r="72" spans="2:3" ht="16.05" customHeight="1" x14ac:dyDescent="0.45"/>
    <row r="73" spans="2:3" x14ac:dyDescent="0.45">
      <c r="B73" s="69" t="s">
        <v>90</v>
      </c>
      <c r="C73" s="68"/>
    </row>
  </sheetData>
  <mergeCells count="2">
    <mergeCell ref="B16:C16"/>
    <mergeCell ref="B73:C73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Смета'!A1" display="Смета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40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92</v>
      </c>
      <c r="C4" s="5"/>
      <c r="D4" s="5"/>
      <c r="E4" s="5"/>
      <c r="F4" s="5"/>
      <c r="G4" s="5"/>
      <c r="H4" s="5"/>
      <c r="I4" s="5"/>
      <c r="J4" s="6" t="s">
        <v>93</v>
      </c>
    </row>
    <row r="5" spans="1:10" ht="8" customHeight="1" x14ac:dyDescent="0.45"/>
    <row r="6" spans="1:10" ht="30" customHeight="1" x14ac:dyDescent="0.45">
      <c r="B6" s="70" t="s">
        <v>94</v>
      </c>
      <c r="C6" s="68"/>
      <c r="D6" s="68"/>
      <c r="E6" s="68"/>
      <c r="F6" s="68"/>
      <c r="G6" s="68"/>
      <c r="H6" s="68"/>
      <c r="I6" s="68"/>
      <c r="J6" s="68"/>
    </row>
    <row r="7" spans="1:10" ht="6" customHeight="1" x14ac:dyDescent="0.45"/>
    <row r="8" spans="1:10" ht="22.05" customHeight="1" x14ac:dyDescent="0.5">
      <c r="B8" s="7" t="s">
        <v>95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96</v>
      </c>
    </row>
    <row r="10" spans="1:10" ht="18" customHeight="1" x14ac:dyDescent="0.45">
      <c r="B10" s="23" t="s">
        <v>97</v>
      </c>
      <c r="C10" s="23" t="s">
        <v>98</v>
      </c>
      <c r="D10" s="24" t="s">
        <v>99</v>
      </c>
      <c r="E10" s="23" t="s">
        <v>100</v>
      </c>
      <c r="F10" s="24" t="s">
        <v>101</v>
      </c>
      <c r="G10" s="24" t="s">
        <v>102</v>
      </c>
      <c r="H10" s="24" t="s">
        <v>103</v>
      </c>
      <c r="I10" s="24" t="s">
        <v>104</v>
      </c>
      <c r="J10" s="23" t="s">
        <v>105</v>
      </c>
    </row>
    <row r="11" spans="1:10" x14ac:dyDescent="0.45">
      <c r="B11" s="25" t="s">
        <v>106</v>
      </c>
      <c r="C11" s="26" t="s">
        <v>107</v>
      </c>
      <c r="D11" s="27" cm="1">
        <f t="array" aca="1" ref="D11" ca="1">_xll.VoseInput(B11,"млн долл.")+_xll.VosePERT(F11,G11,H11,U_Site)</f>
        <v>2.2660578242822682</v>
      </c>
      <c r="E11" s="26" t="s">
        <v>108</v>
      </c>
      <c r="F11" s="28">
        <v>1.8</v>
      </c>
      <c r="G11" s="28">
        <v>2.2000000000000002</v>
      </c>
      <c r="H11" s="28">
        <v>3.2</v>
      </c>
      <c r="I11" s="29" cm="1">
        <f t="array" ref="I11">IF(AND(F11&lt;=G11,G11&lt;=H11,F11&lt;H11),_xll.VoseMean(_xll.VosePERTObject(F11,G11,H11)),"✗ диапазон")</f>
        <v>2.3000000000000003</v>
      </c>
      <c r="J11" s="30" t="s">
        <v>109</v>
      </c>
    </row>
    <row r="12" spans="1:10" x14ac:dyDescent="0.45">
      <c r="B12" s="25" t="s">
        <v>110</v>
      </c>
      <c r="C12" s="26" t="s">
        <v>107</v>
      </c>
      <c r="D12" s="27" cm="1">
        <f t="array" aca="1" ref="D12" ca="1">_xll.VoseInput(B12,"млн долл.")+_xll.VosePERT(F12,G12,H12,U_Foundations)</f>
        <v>4.98026453297462</v>
      </c>
      <c r="E12" s="26" t="s">
        <v>108</v>
      </c>
      <c r="F12" s="28">
        <v>4</v>
      </c>
      <c r="G12" s="28">
        <v>4.5999999999999996</v>
      </c>
      <c r="H12" s="28">
        <v>6</v>
      </c>
      <c r="I12" s="29" cm="1">
        <f t="array" ref="I12">IF(AND(F12&lt;=G12,G12&lt;=H12,F12&lt;H12),_xll.VoseMean(_xll.VosePERTObject(F12,G12,H12)),"✗ диапазон")</f>
        <v>4.7333333333333334</v>
      </c>
      <c r="J12" s="30" t="s">
        <v>111</v>
      </c>
    </row>
    <row r="13" spans="1:10" x14ac:dyDescent="0.45">
      <c r="B13" s="25" t="s">
        <v>112</v>
      </c>
      <c r="C13" s="26" t="s">
        <v>107</v>
      </c>
      <c r="D13" s="27" cm="1">
        <f t="array" aca="1" ref="D13" ca="1">_xll.VoseInput(B13,"млн долл.")+_xll.VosePERT(F13,G13,H13,U_Drainage)</f>
        <v>1.748416555082402</v>
      </c>
      <c r="E13" s="26" t="s">
        <v>108</v>
      </c>
      <c r="F13" s="28">
        <v>1.2</v>
      </c>
      <c r="G13" s="28">
        <v>1.5</v>
      </c>
      <c r="H13" s="28">
        <v>2.1</v>
      </c>
      <c r="I13" s="29" cm="1">
        <f t="array" ref="I13">IF(AND(F13&lt;=G13,G13&lt;=H13,F13&lt;H13),_xll.VoseMean(_xll.VosePERTObject(F13,G13,H13)),"✗ диапазон")</f>
        <v>1.55</v>
      </c>
      <c r="J13" s="30" t="s">
        <v>113</v>
      </c>
    </row>
    <row r="14" spans="1:10" ht="8" customHeight="1" x14ac:dyDescent="0.45"/>
    <row r="15" spans="1:10" ht="22.05" customHeight="1" x14ac:dyDescent="0.5">
      <c r="B15" s="7" t="s">
        <v>114</v>
      </c>
      <c r="C15" s="8"/>
      <c r="D15" s="8"/>
      <c r="E15" s="8"/>
      <c r="F15" s="8"/>
      <c r="G15" s="8"/>
      <c r="H15" s="8"/>
      <c r="I15" s="8"/>
      <c r="J15" s="8"/>
    </row>
    <row r="16" spans="1:10" ht="18" customHeight="1" x14ac:dyDescent="0.45">
      <c r="B16" s="13" t="s">
        <v>115</v>
      </c>
    </row>
    <row r="17" spans="2:10" ht="18" customHeight="1" x14ac:dyDescent="0.45">
      <c r="B17" s="23" t="s">
        <v>97</v>
      </c>
      <c r="C17" s="23" t="s">
        <v>98</v>
      </c>
      <c r="D17" s="24" t="s">
        <v>99</v>
      </c>
      <c r="E17" s="23" t="s">
        <v>100</v>
      </c>
      <c r="F17" s="24" t="s">
        <v>101</v>
      </c>
      <c r="G17" s="24" t="s">
        <v>102</v>
      </c>
      <c r="H17" s="24" t="s">
        <v>103</v>
      </c>
      <c r="I17" s="24" t="s">
        <v>104</v>
      </c>
      <c r="J17" s="23" t="s">
        <v>105</v>
      </c>
    </row>
    <row r="18" spans="2:10" x14ac:dyDescent="0.45">
      <c r="B18" s="25" t="s">
        <v>116</v>
      </c>
      <c r="C18" s="26" t="s">
        <v>107</v>
      </c>
      <c r="D18" s="27" cm="1">
        <f t="array" aca="1" ref="D18" ca="1">_xll.VoseInput(B18,"млн долл.")+_xll.VosePERT(F18,G18,H18,U_Frame)</f>
        <v>7.6948372869871804</v>
      </c>
      <c r="E18" s="26" t="s">
        <v>108</v>
      </c>
      <c r="F18" s="28">
        <v>6.5</v>
      </c>
      <c r="G18" s="28">
        <v>7.2</v>
      </c>
      <c r="H18" s="28">
        <v>8.8000000000000007</v>
      </c>
      <c r="I18" s="29" cm="1">
        <f t="array" ref="I18">IF(AND(F18&lt;=G18,G18&lt;=H18,F18&lt;H18),_xll.VoseMean(_xll.VosePERTObject(F18,G18,H18)),"✗ диапазон")</f>
        <v>7.3499999999999988</v>
      </c>
      <c r="J18" s="30" t="s">
        <v>117</v>
      </c>
    </row>
    <row r="19" spans="2:10" x14ac:dyDescent="0.45">
      <c r="B19" s="25" t="s">
        <v>118</v>
      </c>
      <c r="C19" s="26" t="s">
        <v>107</v>
      </c>
      <c r="D19" s="27" cm="1">
        <f t="array" aca="1" ref="D19" ca="1">_xll.VoseInput(B19,"млн долл.")+_xll.VosePERT(F19,G19,H19,U_Cladding)</f>
        <v>4.4459863316699026</v>
      </c>
      <c r="E19" s="26" t="s">
        <v>108</v>
      </c>
      <c r="F19" s="28">
        <v>3.8</v>
      </c>
      <c r="G19" s="28">
        <v>4.3</v>
      </c>
      <c r="H19" s="28">
        <v>5.4</v>
      </c>
      <c r="I19" s="29" cm="1">
        <f t="array" ref="I19">IF(AND(F19&lt;=G19,G19&lt;=H19,F19&lt;H19),_xll.VoseMean(_xll.VosePERTObject(F19,G19,H19)),"✗ диапазон")</f>
        <v>4.3999999999999995</v>
      </c>
      <c r="J19" s="30" t="s">
        <v>119</v>
      </c>
    </row>
    <row r="20" spans="2:10" x14ac:dyDescent="0.45">
      <c r="B20" s="25" t="s">
        <v>120</v>
      </c>
      <c r="C20" s="26" t="s">
        <v>107</v>
      </c>
      <c r="D20" s="27" cm="1">
        <f t="array" aca="1" ref="D20" ca="1">_xll.VoseInput(B20,"млн долл.")+_xll.VosePERT(F20,G20,H20,U_Doors)</f>
        <v>1.3650838794326683</v>
      </c>
      <c r="E20" s="26" t="s">
        <v>108</v>
      </c>
      <c r="F20" s="28">
        <v>1.1000000000000001</v>
      </c>
      <c r="G20" s="28">
        <v>1.3</v>
      </c>
      <c r="H20" s="28">
        <v>1.7</v>
      </c>
      <c r="I20" s="29" cm="1">
        <f t="array" ref="I20">IF(AND(F20&lt;=G20,G20&lt;=H20,F20&lt;H20),_xll.VoseMean(_xll.VosePERTObject(F20,G20,H20)),"✗ диапазон")</f>
        <v>1.3333333333333333</v>
      </c>
      <c r="J20" s="30" t="s">
        <v>121</v>
      </c>
    </row>
    <row r="21" spans="2:10" ht="8" customHeight="1" x14ac:dyDescent="0.45"/>
    <row r="22" spans="2:10" ht="22.05" customHeight="1" x14ac:dyDescent="0.5">
      <c r="B22" s="7" t="s">
        <v>122</v>
      </c>
      <c r="C22" s="8"/>
      <c r="D22" s="8"/>
      <c r="E22" s="8"/>
      <c r="F22" s="8"/>
      <c r="G22" s="8"/>
      <c r="H22" s="8"/>
      <c r="I22" s="8"/>
      <c r="J22" s="8"/>
    </row>
    <row r="23" spans="2:10" ht="18" customHeight="1" x14ac:dyDescent="0.45">
      <c r="B23" s="13" t="s">
        <v>123</v>
      </c>
    </row>
    <row r="24" spans="2:10" ht="18" customHeight="1" x14ac:dyDescent="0.45">
      <c r="B24" s="23" t="s">
        <v>97</v>
      </c>
      <c r="C24" s="23" t="s">
        <v>98</v>
      </c>
      <c r="D24" s="24" t="s">
        <v>99</v>
      </c>
      <c r="E24" s="23" t="s">
        <v>100</v>
      </c>
      <c r="F24" s="24" t="s">
        <v>101</v>
      </c>
      <c r="G24" s="24" t="s">
        <v>102</v>
      </c>
      <c r="H24" s="24" t="s">
        <v>103</v>
      </c>
      <c r="I24" s="24" t="s">
        <v>104</v>
      </c>
      <c r="J24" s="23" t="s">
        <v>105</v>
      </c>
    </row>
    <row r="25" spans="2:10" x14ac:dyDescent="0.45">
      <c r="B25" s="25" t="s">
        <v>124</v>
      </c>
      <c r="C25" s="26" t="s">
        <v>107</v>
      </c>
      <c r="D25" s="27" cm="1">
        <f t="array" aca="1" ref="D25" ca="1">_xll.VoseInput(B25,"млн долл.")+_xll.VosePERT(F25,G25,H25,U_MandE)</f>
        <v>6.4063701172335392</v>
      </c>
      <c r="E25" s="26" t="s">
        <v>108</v>
      </c>
      <c r="F25" s="28">
        <v>4.5</v>
      </c>
      <c r="G25" s="28">
        <v>5.2</v>
      </c>
      <c r="H25" s="28">
        <v>7</v>
      </c>
      <c r="I25" s="29" cm="1">
        <f t="array" ref="I25">IF(AND(F25&lt;=G25,G25&lt;=H25,F25&lt;H25),_xll.VoseMean(_xll.VosePERTObject(F25,G25,H25)),"✗ диапазон")</f>
        <v>5.3833333333333329</v>
      </c>
      <c r="J25" s="30" t="s">
        <v>125</v>
      </c>
    </row>
    <row r="26" spans="2:10" x14ac:dyDescent="0.45">
      <c r="B26" s="25" t="s">
        <v>126</v>
      </c>
      <c r="C26" s="26" t="s">
        <v>107</v>
      </c>
      <c r="D26" s="27" cm="1">
        <f t="array" aca="1" ref="D26" ca="1">_xll.VoseInput(B26,"млн долл.")+_xll.VosePERT(F26,G26,H26,U_Fire)</f>
        <v>1.0707137131180142</v>
      </c>
      <c r="E26" s="26" t="s">
        <v>108</v>
      </c>
      <c r="F26" s="28">
        <v>1</v>
      </c>
      <c r="G26" s="28">
        <v>1.2</v>
      </c>
      <c r="H26" s="28">
        <v>1.6</v>
      </c>
      <c r="I26" s="29" cm="1">
        <f t="array" ref="I26">IF(AND(F26&lt;=G26,G26&lt;=H26,F26&lt;H26),_xll.VoseMean(_xll.VosePERTObject(F26,G26,H26)),"✗ диапазон")</f>
        <v>1.2333333333333334</v>
      </c>
      <c r="J26" s="30" t="s">
        <v>127</v>
      </c>
    </row>
    <row r="27" spans="2:10" x14ac:dyDescent="0.45">
      <c r="B27" s="25" t="s">
        <v>128</v>
      </c>
      <c r="C27" s="26" t="s">
        <v>107</v>
      </c>
      <c r="D27" s="27" cm="1">
        <f t="array" aca="1" ref="D27" ca="1">_xll.VoseInput(B27,"млн долл.")+_xll.VosePERT(F27,G27,H27,U_Racking)</f>
        <v>3.2290716409533471</v>
      </c>
      <c r="E27" s="26" t="s">
        <v>108</v>
      </c>
      <c r="F27" s="28">
        <v>2.8</v>
      </c>
      <c r="G27" s="28">
        <v>3.1</v>
      </c>
      <c r="H27" s="28">
        <v>3.9</v>
      </c>
      <c r="I27" s="29" cm="1">
        <f t="array" ref="I27">IF(AND(F27&lt;=G27,G27&lt;=H27,F27&lt;H27),_xll.VoseMean(_xll.VosePERTObject(F27,G27,H27)),"✗ диапазон")</f>
        <v>3.1833333333333331</v>
      </c>
      <c r="J27" s="30" t="s">
        <v>129</v>
      </c>
    </row>
    <row r="28" spans="2:10" x14ac:dyDescent="0.45">
      <c r="B28" s="25" t="s">
        <v>130</v>
      </c>
      <c r="C28" s="26" t="s">
        <v>107</v>
      </c>
      <c r="D28" s="27" cm="1">
        <f t="array" aca="1" ref="D28" ca="1">_xll.VoseInput(B28,"млн долл.")+_xll.VosePERT(F28,G28,H28,U_Offices)</f>
        <v>1.5424941288197833</v>
      </c>
      <c r="E28" s="26" t="s">
        <v>108</v>
      </c>
      <c r="F28" s="28">
        <v>1.4</v>
      </c>
      <c r="G28" s="28">
        <v>1.6</v>
      </c>
      <c r="H28" s="28">
        <v>2.1</v>
      </c>
      <c r="I28" s="29" cm="1">
        <f t="array" ref="I28">IF(AND(F28&lt;=G28,G28&lt;=H28,F28&lt;H28),_xll.VoseMean(_xll.VosePERTObject(F28,G28,H28)),"✗ диапазон")</f>
        <v>1.6500000000000001</v>
      </c>
      <c r="J28" s="30" t="s">
        <v>131</v>
      </c>
    </row>
    <row r="29" spans="2:10" ht="8" customHeight="1" x14ac:dyDescent="0.45"/>
    <row r="30" spans="2:10" ht="22.05" customHeight="1" x14ac:dyDescent="0.5">
      <c r="B30" s="7" t="s">
        <v>132</v>
      </c>
      <c r="C30" s="8"/>
      <c r="D30" s="8"/>
      <c r="E30" s="8"/>
      <c r="F30" s="8"/>
      <c r="G30" s="8"/>
      <c r="H30" s="8"/>
      <c r="I30" s="8"/>
      <c r="J30" s="8"/>
    </row>
    <row r="31" spans="2:10" ht="18" customHeight="1" x14ac:dyDescent="0.45">
      <c r="B31" s="13" t="s">
        <v>133</v>
      </c>
    </row>
    <row r="32" spans="2:10" ht="18" customHeight="1" x14ac:dyDescent="0.45">
      <c r="B32" s="23" t="s">
        <v>97</v>
      </c>
      <c r="C32" s="23" t="s">
        <v>98</v>
      </c>
      <c r="D32" s="24" t="s">
        <v>99</v>
      </c>
      <c r="E32" s="23" t="s">
        <v>100</v>
      </c>
      <c r="F32" s="24" t="s">
        <v>101</v>
      </c>
      <c r="G32" s="24" t="s">
        <v>102</v>
      </c>
      <c r="H32" s="24" t="s">
        <v>103</v>
      </c>
      <c r="I32" s="24" t="s">
        <v>104</v>
      </c>
      <c r="J32" s="23" t="s">
        <v>105</v>
      </c>
    </row>
    <row r="33" spans="2:10" ht="23.25" x14ac:dyDescent="0.45">
      <c r="B33" s="25" t="s">
        <v>134</v>
      </c>
      <c r="C33" s="26" t="s">
        <v>107</v>
      </c>
      <c r="D33" s="27" cm="1">
        <f t="array" aca="1" ref="D33" ca="1">_xll.VoseInput(B33,"млн долл.")+_xll.VosePERT(F33,G33,H33,U_Prelims)</f>
        <v>2.9903551199218437</v>
      </c>
      <c r="E33" s="26" t="s">
        <v>108</v>
      </c>
      <c r="F33" s="28">
        <v>2.5</v>
      </c>
      <c r="G33" s="28">
        <v>2.8</v>
      </c>
      <c r="H33" s="28">
        <v>3.6</v>
      </c>
      <c r="I33" s="29" cm="1">
        <f t="array" ref="I33">IF(AND(F33&lt;=G33,G33&lt;=H33,F33&lt;H33),_xll.VoseMean(_xll.VosePERTObject(F33,G33,H33)),"✗ диапазон")</f>
        <v>2.8833333333333333</v>
      </c>
      <c r="J33" s="30" t="s">
        <v>135</v>
      </c>
    </row>
    <row r="34" spans="2:10" x14ac:dyDescent="0.45">
      <c r="B34" s="25" t="s">
        <v>136</v>
      </c>
      <c r="C34" s="26" t="s">
        <v>107</v>
      </c>
      <c r="D34" s="27" cm="1">
        <f t="array" aca="1" ref="D34" ca="1">_xll.VoseInput(B34,"млн долл.")+_xll.VosePERT(F34,G34,H34,U_Fees)</f>
        <v>1.7811588587185154</v>
      </c>
      <c r="E34" s="26" t="s">
        <v>108</v>
      </c>
      <c r="F34" s="28">
        <v>1.6</v>
      </c>
      <c r="G34" s="28">
        <v>1.8</v>
      </c>
      <c r="H34" s="28">
        <v>2.2000000000000002</v>
      </c>
      <c r="I34" s="29" cm="1">
        <f t="array" ref="I34">IF(AND(F34&lt;=G34,G34&lt;=H34,F34&lt;H34),_xll.VoseMean(_xll.VosePERTObject(F34,G34,H34)),"✗ диапазон")</f>
        <v>1.8333333333333333</v>
      </c>
      <c r="J34" s="30" t="s">
        <v>137</v>
      </c>
    </row>
    <row r="35" spans="2:10" ht="8" customHeight="1" x14ac:dyDescent="0.45"/>
    <row r="36" spans="2:10" ht="22.05" customHeight="1" x14ac:dyDescent="0.5">
      <c r="B36" s="7" t="s">
        <v>138</v>
      </c>
      <c r="C36" s="8"/>
      <c r="D36" s="8"/>
      <c r="E36" s="8"/>
      <c r="F36" s="8"/>
      <c r="G36" s="8"/>
      <c r="H36" s="8"/>
      <c r="I36" s="8"/>
      <c r="J36" s="8"/>
    </row>
    <row r="37" spans="2:10" ht="18" customHeight="1" x14ac:dyDescent="0.45">
      <c r="B37" s="13" t="s">
        <v>139</v>
      </c>
    </row>
    <row r="38" spans="2:10" ht="18" customHeight="1" x14ac:dyDescent="0.45">
      <c r="B38" s="23" t="s">
        <v>97</v>
      </c>
      <c r="C38" s="23" t="s">
        <v>98</v>
      </c>
      <c r="D38" s="24" t="s">
        <v>99</v>
      </c>
      <c r="E38" s="23" t="s">
        <v>100</v>
      </c>
      <c r="F38" s="5"/>
      <c r="G38" s="5"/>
      <c r="H38" s="5"/>
      <c r="I38" s="5"/>
      <c r="J38" s="23" t="s">
        <v>105</v>
      </c>
    </row>
    <row r="39" spans="2:10" ht="34.9" x14ac:dyDescent="0.45">
      <c r="B39" s="25" t="s">
        <v>140</v>
      </c>
      <c r="C39" s="26" t="s">
        <v>141</v>
      </c>
      <c r="D39" s="31">
        <v>0</v>
      </c>
      <c r="E39" s="26" t="s">
        <v>142</v>
      </c>
      <c r="F39" s="32"/>
      <c r="G39" s="32"/>
      <c r="H39" s="32"/>
      <c r="I39" s="32"/>
      <c r="J39" s="30" t="s">
        <v>143</v>
      </c>
    </row>
    <row r="40" spans="2:10" ht="8" customHeight="1" x14ac:dyDescent="0.45"/>
  </sheetData>
  <mergeCells count="1">
    <mergeCell ref="B6:J6"/>
  </mergeCells>
  <conditionalFormatting sqref="I11:I13">
    <cfRule type="expression" dxfId="8" priority="1">
      <formula>LEFT($I11,1)="✗"</formula>
    </cfRule>
  </conditionalFormatting>
  <conditionalFormatting sqref="I18:I20">
    <cfRule type="expression" dxfId="7" priority="4">
      <formula>LEFT($I18,1)="✗"</formula>
    </cfRule>
  </conditionalFormatting>
  <conditionalFormatting sqref="I25:I28">
    <cfRule type="expression" dxfId="6" priority="7">
      <formula>LEFT($I25,1)="✗"</formula>
    </cfRule>
  </conditionalFormatting>
  <conditionalFormatting sqref="I33:I34">
    <cfRule type="expression" dxfId="5" priority="11">
      <formula>LEFT($I33,1)="✗"</formula>
    </cfRule>
  </conditionalFormatting>
  <dataValidations count="2">
    <dataValidation type="custom" showErrorMessage="1" errorTitle="Диапазон PERT" error="Мин. должно быть меньше макс., наиболее вероятное — между ними." sqref="F33:H34 F25:H28 F18:H20 F11:H13" xr:uid="{00000000-0002-0000-0100-000000000000}">
      <formula1>AND($F11&lt;=$G11,$G11&lt;=$H11,$F11&lt;$H11)</formula1>
    </dataValidation>
    <dataValidation type="decimal" showErrorMessage="1" errorTitle="Коэффициент" error="Введите значение строго между 0 и 1." sqref="D39" xr:uid="{00000000-0002-0000-0100-00000C000000}">
      <formula1>0.01</formula1>
      <formula2>0.99</formula2>
    </dataValidation>
  </dataValidations>
  <hyperlinks>
    <hyperlink ref="B4" location="'Описание'!A1" display="◂  Описание" xr:uid="{00000000-0004-0000-0100-000000000000}"/>
    <hyperlink ref="J4" location="'Смета'!A1" display="Далее:  Смета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O54"/>
  <sheetViews>
    <sheetView showGridLines="0" workbookViewId="0"/>
  </sheetViews>
  <sheetFormatPr defaultRowHeight="14.25" x14ac:dyDescent="0.45"/>
  <cols>
    <col min="1" max="1" width="2" customWidth="1"/>
    <col min="2" max="2" width="5" customWidth="1"/>
    <col min="3" max="3" width="40" customWidth="1"/>
    <col min="4" max="15" width="9" customWidth="1"/>
  </cols>
  <sheetData>
    <row r="1" spans="1:15" ht="6" customHeight="1" x14ac:dyDescent="0.45"/>
    <row r="2" spans="1:15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</row>
    <row r="3" spans="1:15" ht="20" customHeight="1" x14ac:dyDescent="0.45">
      <c r="A3" s="1"/>
      <c r="B3" s="4" t="s">
        <v>144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" customHeight="1" x14ac:dyDescent="0.45">
      <c r="A4" s="5"/>
      <c r="B4" s="22" t="s">
        <v>145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 t="s">
        <v>146</v>
      </c>
    </row>
    <row r="5" spans="1:15" ht="8" customHeight="1" x14ac:dyDescent="0.45"/>
    <row r="6" spans="1:15" ht="22.05" customHeight="1" x14ac:dyDescent="0.5">
      <c r="B6" s="7" t="s">
        <v>147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18" customHeight="1" x14ac:dyDescent="0.45">
      <c r="B7" s="13" t="s">
        <v>148</v>
      </c>
    </row>
    <row r="8" spans="1:15" ht="28.05" customHeight="1" x14ac:dyDescent="0.45">
      <c r="B8" s="33" t="s">
        <v>149</v>
      </c>
      <c r="C8" s="34" t="s">
        <v>150</v>
      </c>
      <c r="D8" s="33" t="s">
        <v>151</v>
      </c>
      <c r="E8" s="33" t="s">
        <v>104</v>
      </c>
      <c r="F8" s="33" t="s">
        <v>152</v>
      </c>
      <c r="G8" s="33" t="s">
        <v>153</v>
      </c>
      <c r="H8" s="33" t="s">
        <v>154</v>
      </c>
      <c r="I8" s="35"/>
      <c r="J8" s="35"/>
      <c r="K8" s="35"/>
      <c r="L8" s="35"/>
      <c r="M8" s="35"/>
      <c r="N8" s="35"/>
      <c r="O8" s="35"/>
    </row>
    <row r="9" spans="1:15" x14ac:dyDescent="0.45">
      <c r="B9" s="36"/>
      <c r="C9" s="36"/>
      <c r="D9" s="36" t="s">
        <v>155</v>
      </c>
      <c r="E9" s="36" t="s">
        <v>156</v>
      </c>
      <c r="F9" s="36" t="s">
        <v>157</v>
      </c>
      <c r="G9" s="36" t="s">
        <v>158</v>
      </c>
      <c r="H9" s="36" t="s">
        <v>159</v>
      </c>
      <c r="I9" s="36"/>
      <c r="J9" s="36"/>
      <c r="K9" s="36"/>
      <c r="L9" s="36"/>
      <c r="M9" s="36"/>
      <c r="N9" s="36"/>
      <c r="O9" s="36"/>
    </row>
    <row r="10" spans="1:15" x14ac:dyDescent="0.45">
      <c r="B10" s="37">
        <v>1</v>
      </c>
      <c r="C10" s="25" t="str">
        <f>'Исходные данные'!B11</f>
        <v>Подготовка площадки и земляные работы</v>
      </c>
      <c r="D10" s="29">
        <f>Site_ML</f>
        <v>2.2000000000000002</v>
      </c>
      <c r="E10" s="29">
        <f>Site_Mean</f>
        <v>2.3000000000000003</v>
      </c>
      <c r="F10" s="29">
        <f ca="1">Site</f>
        <v>2.2660578242822682</v>
      </c>
      <c r="G10" s="38">
        <f t="shared" ref="G10:G21" si="0">E10-D10</f>
        <v>0.10000000000000009</v>
      </c>
      <c r="H10" s="39">
        <f t="array" aca="1" ref="H10:H21" ca="1">_xll.VoseCopulaMultiNormal(CorrMatrix)</f>
        <v>0.4851270776993149</v>
      </c>
      <c r="I10" s="32"/>
      <c r="J10" s="32"/>
      <c r="K10" s="32"/>
      <c r="L10" s="32"/>
      <c r="M10" s="32"/>
      <c r="N10" s="32"/>
      <c r="O10" s="32"/>
    </row>
    <row r="11" spans="1:15" x14ac:dyDescent="0.45">
      <c r="B11" s="37">
        <v>2</v>
      </c>
      <c r="C11" s="25" t="str">
        <f>'Исходные данные'!B12</f>
        <v>Фундаменты и плита пола</v>
      </c>
      <c r="D11" s="29">
        <f>Foundations_ML</f>
        <v>4.5999999999999996</v>
      </c>
      <c r="E11" s="29">
        <f>Foundations_Mean</f>
        <v>4.7333333333333334</v>
      </c>
      <c r="F11" s="29">
        <f ca="1">Foundations</f>
        <v>4.98026453297462</v>
      </c>
      <c r="G11" s="38">
        <f t="shared" si="0"/>
        <v>0.13333333333333375</v>
      </c>
      <c r="H11" s="39">
        <f ca="1"/>
        <v>0.74547713425475204</v>
      </c>
      <c r="I11" s="32"/>
      <c r="J11" s="32"/>
      <c r="K11" s="32"/>
      <c r="L11" s="32"/>
      <c r="M11" s="32"/>
      <c r="N11" s="32"/>
      <c r="O11" s="32"/>
    </row>
    <row r="12" spans="1:15" x14ac:dyDescent="0.45">
      <c r="B12" s="37">
        <v>3</v>
      </c>
      <c r="C12" s="25" t="str">
        <f>'Исходные данные'!B13</f>
        <v>Водоотведение и благоустройство</v>
      </c>
      <c r="D12" s="29">
        <f>Drainage_ML</f>
        <v>1.5</v>
      </c>
      <c r="E12" s="29">
        <f>Drainage_Mean</f>
        <v>1.55</v>
      </c>
      <c r="F12" s="29">
        <f ca="1">Drainage</f>
        <v>1.748416555082402</v>
      </c>
      <c r="G12" s="38">
        <f t="shared" si="0"/>
        <v>5.0000000000000044E-2</v>
      </c>
      <c r="H12" s="39">
        <f ca="1"/>
        <v>0.8658622251075061</v>
      </c>
      <c r="I12" s="32"/>
      <c r="J12" s="32"/>
      <c r="K12" s="32"/>
      <c r="L12" s="32"/>
      <c r="M12" s="32"/>
      <c r="N12" s="32"/>
      <c r="O12" s="32"/>
    </row>
    <row r="13" spans="1:15" x14ac:dyDescent="0.45">
      <c r="B13" s="37">
        <v>4</v>
      </c>
      <c r="C13" s="25" t="str">
        <f>'Исходные данные'!B18</f>
        <v>Металлокаркас</v>
      </c>
      <c r="D13" s="29">
        <f>Frame_ML</f>
        <v>7.2</v>
      </c>
      <c r="E13" s="29">
        <f>Frame_Mean</f>
        <v>7.3499999999999988</v>
      </c>
      <c r="F13" s="29">
        <f ca="1">Frame</f>
        <v>7.6948372869871804</v>
      </c>
      <c r="G13" s="38">
        <f t="shared" si="0"/>
        <v>0.14999999999999858</v>
      </c>
      <c r="H13" s="39">
        <f ca="1"/>
        <v>0.78283949880008841</v>
      </c>
      <c r="I13" s="32"/>
      <c r="J13" s="32"/>
      <c r="K13" s="32"/>
      <c r="L13" s="32"/>
      <c r="M13" s="32"/>
      <c r="N13" s="32"/>
      <c r="O13" s="32"/>
    </row>
    <row r="14" spans="1:15" x14ac:dyDescent="0.45">
      <c r="B14" s="37">
        <v>5</v>
      </c>
      <c r="C14" s="25" t="str">
        <f>'Исходные данные'!B19</f>
        <v>Ограждающие конструкции и кровля</v>
      </c>
      <c r="D14" s="29">
        <f>Cladding_ML</f>
        <v>4.3</v>
      </c>
      <c r="E14" s="29">
        <f>Cladding_Mean</f>
        <v>4.3999999999999995</v>
      </c>
      <c r="F14" s="29">
        <f ca="1">Cladding</f>
        <v>4.4459863316699026</v>
      </c>
      <c r="G14" s="38">
        <f t="shared" si="0"/>
        <v>9.9999999999999645E-2</v>
      </c>
      <c r="H14" s="39">
        <f ca="1"/>
        <v>0.58306268566185782</v>
      </c>
      <c r="I14" s="32"/>
      <c r="J14" s="32"/>
      <c r="K14" s="32"/>
      <c r="L14" s="32"/>
      <c r="M14" s="32"/>
      <c r="N14" s="32"/>
      <c r="O14" s="32"/>
    </row>
    <row r="15" spans="1:15" x14ac:dyDescent="0.45">
      <c r="B15" s="37">
        <v>6</v>
      </c>
      <c r="C15" s="25" t="str">
        <f>'Исходные данные'!B20</f>
        <v>Доки и ворота</v>
      </c>
      <c r="D15" s="29">
        <f>Doors_ML</f>
        <v>1.3</v>
      </c>
      <c r="E15" s="29">
        <f>Doors_Mean</f>
        <v>1.3333333333333333</v>
      </c>
      <c r="F15" s="29">
        <f ca="1">Doors</f>
        <v>1.3650838794326683</v>
      </c>
      <c r="G15" s="38">
        <f t="shared" si="0"/>
        <v>3.3333333333333215E-2</v>
      </c>
      <c r="H15" s="39">
        <f ca="1"/>
        <v>0.62351383506348512</v>
      </c>
      <c r="I15" s="32"/>
      <c r="J15" s="32"/>
      <c r="K15" s="32"/>
      <c r="L15" s="32"/>
      <c r="M15" s="32"/>
      <c r="N15" s="32"/>
      <c r="O15" s="32"/>
    </row>
    <row r="16" spans="1:15" x14ac:dyDescent="0.45">
      <c r="B16" s="37">
        <v>7</v>
      </c>
      <c r="C16" s="25" t="str">
        <f>'Исходные данные'!B25</f>
        <v>Инженерные системы (ОВиК и электрика)</v>
      </c>
      <c r="D16" s="29">
        <f>MandE_ML</f>
        <v>5.2</v>
      </c>
      <c r="E16" s="29">
        <f>MandE_Mean</f>
        <v>5.3833333333333329</v>
      </c>
      <c r="F16" s="29">
        <f ca="1">MandE</f>
        <v>6.4063701172335392</v>
      </c>
      <c r="G16" s="38">
        <f t="shared" si="0"/>
        <v>0.18333333333333268</v>
      </c>
      <c r="H16" s="39">
        <f ca="1"/>
        <v>0.98308424363339264</v>
      </c>
      <c r="I16" s="32"/>
      <c r="J16" s="32"/>
      <c r="K16" s="32"/>
      <c r="L16" s="32"/>
      <c r="M16" s="32"/>
      <c r="N16" s="32"/>
      <c r="O16" s="32"/>
    </row>
    <row r="17" spans="2:15" x14ac:dyDescent="0.45">
      <c r="B17" s="37">
        <v>8</v>
      </c>
      <c r="C17" s="25" t="str">
        <f>'Исходные данные'!B26</f>
        <v>Спринклеры и противопожарная защита</v>
      </c>
      <c r="D17" s="29">
        <f>Fire_ML</f>
        <v>1.2</v>
      </c>
      <c r="E17" s="29">
        <f>Fire_Mean</f>
        <v>1.2333333333333334</v>
      </c>
      <c r="F17" s="29">
        <f ca="1">Fire</f>
        <v>1.0707137131180142</v>
      </c>
      <c r="G17" s="38">
        <f t="shared" si="0"/>
        <v>3.3333333333333437E-2</v>
      </c>
      <c r="H17" s="39">
        <f ca="1"/>
        <v>5.837879232829335E-2</v>
      </c>
      <c r="I17" s="32"/>
      <c r="J17" s="32"/>
      <c r="K17" s="32"/>
      <c r="L17" s="32"/>
      <c r="M17" s="32"/>
      <c r="N17" s="32"/>
      <c r="O17" s="32"/>
    </row>
    <row r="18" spans="2:15" x14ac:dyDescent="0.45">
      <c r="B18" s="37">
        <v>9</v>
      </c>
      <c r="C18" s="25" t="str">
        <f>'Исходные данные'!B27</f>
        <v>Стеллажи и оснащение склада</v>
      </c>
      <c r="D18" s="29">
        <f>Racking_ML</f>
        <v>3.1</v>
      </c>
      <c r="E18" s="29">
        <f>Racking_Mean</f>
        <v>3.1833333333333331</v>
      </c>
      <c r="F18" s="29">
        <f ca="1">Racking</f>
        <v>3.2290716409533471</v>
      </c>
      <c r="G18" s="38">
        <f t="shared" si="0"/>
        <v>8.3333333333333037E-2</v>
      </c>
      <c r="H18" s="39">
        <f ca="1"/>
        <v>0.61396570144899376</v>
      </c>
      <c r="I18" s="32"/>
      <c r="J18" s="32"/>
      <c r="K18" s="32"/>
      <c r="L18" s="32"/>
      <c r="M18" s="32"/>
      <c r="N18" s="32"/>
      <c r="O18" s="32"/>
    </row>
    <row r="19" spans="2:15" x14ac:dyDescent="0.45">
      <c r="B19" s="37">
        <v>10</v>
      </c>
      <c r="C19" s="25" t="str">
        <f>'Исходные данные'!B28</f>
        <v>Офисы и бытовые помещения</v>
      </c>
      <c r="D19" s="29">
        <f>Offices_ML</f>
        <v>1.6</v>
      </c>
      <c r="E19" s="29">
        <f>Offices_Mean</f>
        <v>1.6500000000000001</v>
      </c>
      <c r="F19" s="29">
        <f ca="1">Offices</f>
        <v>1.5424941288197833</v>
      </c>
      <c r="G19" s="38">
        <f t="shared" si="0"/>
        <v>5.0000000000000044E-2</v>
      </c>
      <c r="H19" s="39">
        <f ca="1"/>
        <v>0.22610513056847259</v>
      </c>
      <c r="I19" s="32"/>
      <c r="J19" s="32"/>
      <c r="K19" s="32"/>
      <c r="L19" s="32"/>
      <c r="M19" s="32"/>
      <c r="N19" s="32"/>
      <c r="O19" s="32"/>
    </row>
    <row r="20" spans="2:15" x14ac:dyDescent="0.45">
      <c r="B20" s="37">
        <v>11</v>
      </c>
      <c r="C20" s="25" t="str">
        <f>'Исходные данные'!B33</f>
        <v>Временные затраты и управление стройкой</v>
      </c>
      <c r="D20" s="29">
        <f>Prelims_ML</f>
        <v>2.8</v>
      </c>
      <c r="E20" s="29">
        <f>Prelims_Mean</f>
        <v>2.8833333333333333</v>
      </c>
      <c r="F20" s="29">
        <f ca="1">Prelims</f>
        <v>2.9903551199218437</v>
      </c>
      <c r="G20" s="38">
        <f t="shared" si="0"/>
        <v>8.3333333333333481E-2</v>
      </c>
      <c r="H20" s="39">
        <f ca="1"/>
        <v>0.70961404184556476</v>
      </c>
      <c r="I20" s="32"/>
      <c r="J20" s="32"/>
      <c r="K20" s="32"/>
      <c r="L20" s="32"/>
      <c r="M20" s="32"/>
      <c r="N20" s="32"/>
      <c r="O20" s="32"/>
    </row>
    <row r="21" spans="2:15" x14ac:dyDescent="0.45">
      <c r="B21" s="37">
        <v>12</v>
      </c>
      <c r="C21" s="25" t="str">
        <f>'Исходные данные'!B34</f>
        <v>Проектирование и услуги консультантов</v>
      </c>
      <c r="D21" s="29">
        <f>Fees_ML</f>
        <v>1.8</v>
      </c>
      <c r="E21" s="29">
        <f>Fees_Mean</f>
        <v>1.8333333333333333</v>
      </c>
      <c r="F21" s="29">
        <f ca="1">Fees</f>
        <v>1.7811588587185154</v>
      </c>
      <c r="G21" s="38">
        <f t="shared" si="0"/>
        <v>3.3333333333333215E-2</v>
      </c>
      <c r="H21" s="39">
        <f ca="1"/>
        <v>0.35514168491093079</v>
      </c>
      <c r="I21" s="32"/>
      <c r="J21" s="32"/>
      <c r="K21" s="32"/>
      <c r="L21" s="32"/>
      <c r="M21" s="32"/>
      <c r="N21" s="32"/>
      <c r="O21" s="32"/>
    </row>
    <row r="22" spans="2:15" x14ac:dyDescent="0.45">
      <c r="B22" s="40"/>
      <c r="C22" s="41" t="s">
        <v>160</v>
      </c>
      <c r="D22" s="42">
        <f>SUM(D10:D21)</f>
        <v>36.799999999999997</v>
      </c>
      <c r="E22" s="42">
        <f>SUM(E10:E21)</f>
        <v>37.833333333333336</v>
      </c>
      <c r="F22" s="42">
        <f ca="1">SUM(F10:F21)</f>
        <v>39.520809989194085</v>
      </c>
      <c r="G22" s="43">
        <f>SUM(G10:G21)</f>
        <v>1.0333333333333312</v>
      </c>
      <c r="H22" s="40"/>
      <c r="I22" s="40"/>
      <c r="J22" s="40"/>
      <c r="K22" s="40"/>
      <c r="L22" s="40"/>
      <c r="M22" s="40"/>
      <c r="N22" s="40"/>
      <c r="O22" s="40"/>
    </row>
    <row r="23" spans="2:15" x14ac:dyDescent="0.45">
      <c r="C23" s="44" t="s">
        <v>161</v>
      </c>
    </row>
    <row r="24" spans="2:15" x14ac:dyDescent="0.45">
      <c r="C24" s="44" t="s">
        <v>162</v>
      </c>
    </row>
    <row r="25" spans="2:15" x14ac:dyDescent="0.45">
      <c r="C25" s="44" t="s">
        <v>163</v>
      </c>
    </row>
    <row r="26" spans="2:15" ht="8" customHeight="1" x14ac:dyDescent="0.45"/>
    <row r="27" spans="2:15" ht="22.05" customHeight="1" x14ac:dyDescent="0.5">
      <c r="B27" s="7" t="s">
        <v>164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2:15" ht="18" customHeight="1" x14ac:dyDescent="0.45">
      <c r="B28" s="13" t="s">
        <v>165</v>
      </c>
    </row>
    <row r="29" spans="2:15" ht="18" customHeight="1" x14ac:dyDescent="0.45">
      <c r="B29" s="24" t="s">
        <v>149</v>
      </c>
      <c r="C29" s="23" t="s">
        <v>150</v>
      </c>
      <c r="D29" s="24">
        <v>1</v>
      </c>
      <c r="E29" s="24">
        <v>2</v>
      </c>
      <c r="F29" s="24">
        <v>3</v>
      </c>
      <c r="G29" s="24">
        <v>4</v>
      </c>
      <c r="H29" s="24">
        <v>5</v>
      </c>
      <c r="I29" s="24">
        <v>6</v>
      </c>
      <c r="J29" s="24">
        <v>7</v>
      </c>
      <c r="K29" s="24">
        <v>8</v>
      </c>
      <c r="L29" s="24">
        <v>9</v>
      </c>
      <c r="M29" s="24">
        <v>10</v>
      </c>
      <c r="N29" s="24">
        <v>11</v>
      </c>
      <c r="O29" s="24">
        <v>12</v>
      </c>
    </row>
    <row r="30" spans="2:15" x14ac:dyDescent="0.45">
      <c r="B30" s="37">
        <v>1</v>
      </c>
      <c r="C30" s="25" t="str">
        <f t="shared" ref="C30:C41" si="1">C10</f>
        <v>Подготовка площадки и земляные работы</v>
      </c>
      <c r="D30" s="45">
        <f t="shared" ref="D30:O41" si="2">IF($B30=D$29,1,Corr)</f>
        <v>1</v>
      </c>
      <c r="E30" s="45">
        <f t="shared" si="2"/>
        <v>0</v>
      </c>
      <c r="F30" s="45">
        <f t="shared" si="2"/>
        <v>0</v>
      </c>
      <c r="G30" s="45">
        <f t="shared" si="2"/>
        <v>0</v>
      </c>
      <c r="H30" s="45">
        <f t="shared" si="2"/>
        <v>0</v>
      </c>
      <c r="I30" s="45">
        <f t="shared" si="2"/>
        <v>0</v>
      </c>
      <c r="J30" s="45">
        <f t="shared" si="2"/>
        <v>0</v>
      </c>
      <c r="K30" s="45">
        <f t="shared" si="2"/>
        <v>0</v>
      </c>
      <c r="L30" s="45">
        <f t="shared" si="2"/>
        <v>0</v>
      </c>
      <c r="M30" s="45">
        <f t="shared" si="2"/>
        <v>0</v>
      </c>
      <c r="N30" s="45">
        <f t="shared" si="2"/>
        <v>0</v>
      </c>
      <c r="O30" s="45">
        <f t="shared" si="2"/>
        <v>0</v>
      </c>
    </row>
    <row r="31" spans="2:15" x14ac:dyDescent="0.45">
      <c r="B31" s="37">
        <v>2</v>
      </c>
      <c r="C31" s="25" t="str">
        <f t="shared" si="1"/>
        <v>Фундаменты и плита пола</v>
      </c>
      <c r="D31" s="45">
        <f t="shared" si="2"/>
        <v>0</v>
      </c>
      <c r="E31" s="45">
        <f t="shared" si="2"/>
        <v>1</v>
      </c>
      <c r="F31" s="45">
        <f t="shared" si="2"/>
        <v>0</v>
      </c>
      <c r="G31" s="45">
        <f t="shared" si="2"/>
        <v>0</v>
      </c>
      <c r="H31" s="45">
        <f t="shared" si="2"/>
        <v>0</v>
      </c>
      <c r="I31" s="45">
        <f t="shared" si="2"/>
        <v>0</v>
      </c>
      <c r="J31" s="45">
        <f t="shared" si="2"/>
        <v>0</v>
      </c>
      <c r="K31" s="45">
        <f t="shared" si="2"/>
        <v>0</v>
      </c>
      <c r="L31" s="45">
        <f t="shared" si="2"/>
        <v>0</v>
      </c>
      <c r="M31" s="45">
        <f t="shared" si="2"/>
        <v>0</v>
      </c>
      <c r="N31" s="45">
        <f t="shared" si="2"/>
        <v>0</v>
      </c>
      <c r="O31" s="45">
        <f t="shared" si="2"/>
        <v>0</v>
      </c>
    </row>
    <row r="32" spans="2:15" x14ac:dyDescent="0.45">
      <c r="B32" s="37">
        <v>3</v>
      </c>
      <c r="C32" s="25" t="str">
        <f t="shared" si="1"/>
        <v>Водоотведение и благоустройство</v>
      </c>
      <c r="D32" s="45">
        <f t="shared" si="2"/>
        <v>0</v>
      </c>
      <c r="E32" s="45">
        <f t="shared" si="2"/>
        <v>0</v>
      </c>
      <c r="F32" s="45">
        <f t="shared" si="2"/>
        <v>1</v>
      </c>
      <c r="G32" s="45">
        <f t="shared" si="2"/>
        <v>0</v>
      </c>
      <c r="H32" s="45">
        <f t="shared" si="2"/>
        <v>0</v>
      </c>
      <c r="I32" s="45">
        <f t="shared" si="2"/>
        <v>0</v>
      </c>
      <c r="J32" s="45">
        <f t="shared" si="2"/>
        <v>0</v>
      </c>
      <c r="K32" s="45">
        <f t="shared" si="2"/>
        <v>0</v>
      </c>
      <c r="L32" s="45">
        <f t="shared" si="2"/>
        <v>0</v>
      </c>
      <c r="M32" s="45">
        <f t="shared" si="2"/>
        <v>0</v>
      </c>
      <c r="N32" s="45">
        <f t="shared" si="2"/>
        <v>0</v>
      </c>
      <c r="O32" s="45">
        <f t="shared" si="2"/>
        <v>0</v>
      </c>
    </row>
    <row r="33" spans="2:15" x14ac:dyDescent="0.45">
      <c r="B33" s="37">
        <v>4</v>
      </c>
      <c r="C33" s="25" t="str">
        <f t="shared" si="1"/>
        <v>Металлокаркас</v>
      </c>
      <c r="D33" s="45">
        <f t="shared" si="2"/>
        <v>0</v>
      </c>
      <c r="E33" s="45">
        <f t="shared" si="2"/>
        <v>0</v>
      </c>
      <c r="F33" s="45">
        <f t="shared" si="2"/>
        <v>0</v>
      </c>
      <c r="G33" s="45">
        <f t="shared" si="2"/>
        <v>1</v>
      </c>
      <c r="H33" s="45">
        <f t="shared" si="2"/>
        <v>0</v>
      </c>
      <c r="I33" s="45">
        <f t="shared" si="2"/>
        <v>0</v>
      </c>
      <c r="J33" s="45">
        <f t="shared" si="2"/>
        <v>0</v>
      </c>
      <c r="K33" s="45">
        <f t="shared" si="2"/>
        <v>0</v>
      </c>
      <c r="L33" s="45">
        <f t="shared" si="2"/>
        <v>0</v>
      </c>
      <c r="M33" s="45">
        <f t="shared" si="2"/>
        <v>0</v>
      </c>
      <c r="N33" s="45">
        <f t="shared" si="2"/>
        <v>0</v>
      </c>
      <c r="O33" s="45">
        <f t="shared" si="2"/>
        <v>0</v>
      </c>
    </row>
    <row r="34" spans="2:15" x14ac:dyDescent="0.45">
      <c r="B34" s="37">
        <v>5</v>
      </c>
      <c r="C34" s="25" t="str">
        <f t="shared" si="1"/>
        <v>Ограждающие конструкции и кровля</v>
      </c>
      <c r="D34" s="45">
        <f t="shared" si="2"/>
        <v>0</v>
      </c>
      <c r="E34" s="45">
        <f t="shared" si="2"/>
        <v>0</v>
      </c>
      <c r="F34" s="45">
        <f t="shared" si="2"/>
        <v>0</v>
      </c>
      <c r="G34" s="45">
        <f t="shared" si="2"/>
        <v>0</v>
      </c>
      <c r="H34" s="45">
        <f t="shared" si="2"/>
        <v>1</v>
      </c>
      <c r="I34" s="45">
        <f t="shared" si="2"/>
        <v>0</v>
      </c>
      <c r="J34" s="45">
        <f t="shared" si="2"/>
        <v>0</v>
      </c>
      <c r="K34" s="45">
        <f t="shared" si="2"/>
        <v>0</v>
      </c>
      <c r="L34" s="45">
        <f t="shared" si="2"/>
        <v>0</v>
      </c>
      <c r="M34" s="45">
        <f t="shared" si="2"/>
        <v>0</v>
      </c>
      <c r="N34" s="45">
        <f t="shared" si="2"/>
        <v>0</v>
      </c>
      <c r="O34" s="45">
        <f t="shared" si="2"/>
        <v>0</v>
      </c>
    </row>
    <row r="35" spans="2:15" x14ac:dyDescent="0.45">
      <c r="B35" s="37">
        <v>6</v>
      </c>
      <c r="C35" s="25" t="str">
        <f t="shared" si="1"/>
        <v>Доки и ворота</v>
      </c>
      <c r="D35" s="45">
        <f t="shared" si="2"/>
        <v>0</v>
      </c>
      <c r="E35" s="45">
        <f t="shared" si="2"/>
        <v>0</v>
      </c>
      <c r="F35" s="45">
        <f t="shared" si="2"/>
        <v>0</v>
      </c>
      <c r="G35" s="45">
        <f t="shared" si="2"/>
        <v>0</v>
      </c>
      <c r="H35" s="45">
        <f t="shared" si="2"/>
        <v>0</v>
      </c>
      <c r="I35" s="45">
        <f t="shared" si="2"/>
        <v>1</v>
      </c>
      <c r="J35" s="45">
        <f t="shared" si="2"/>
        <v>0</v>
      </c>
      <c r="K35" s="45">
        <f t="shared" si="2"/>
        <v>0</v>
      </c>
      <c r="L35" s="45">
        <f t="shared" si="2"/>
        <v>0</v>
      </c>
      <c r="M35" s="45">
        <f t="shared" si="2"/>
        <v>0</v>
      </c>
      <c r="N35" s="45">
        <f t="shared" si="2"/>
        <v>0</v>
      </c>
      <c r="O35" s="45">
        <f t="shared" si="2"/>
        <v>0</v>
      </c>
    </row>
    <row r="36" spans="2:15" x14ac:dyDescent="0.45">
      <c r="B36" s="37">
        <v>7</v>
      </c>
      <c r="C36" s="25" t="str">
        <f t="shared" si="1"/>
        <v>Инженерные системы (ОВиК и электрика)</v>
      </c>
      <c r="D36" s="45">
        <f t="shared" si="2"/>
        <v>0</v>
      </c>
      <c r="E36" s="45">
        <f t="shared" si="2"/>
        <v>0</v>
      </c>
      <c r="F36" s="45">
        <f t="shared" si="2"/>
        <v>0</v>
      </c>
      <c r="G36" s="45">
        <f t="shared" si="2"/>
        <v>0</v>
      </c>
      <c r="H36" s="45">
        <f t="shared" si="2"/>
        <v>0</v>
      </c>
      <c r="I36" s="45">
        <f t="shared" si="2"/>
        <v>0</v>
      </c>
      <c r="J36" s="45">
        <f t="shared" si="2"/>
        <v>1</v>
      </c>
      <c r="K36" s="45">
        <f t="shared" si="2"/>
        <v>0</v>
      </c>
      <c r="L36" s="45">
        <f t="shared" si="2"/>
        <v>0</v>
      </c>
      <c r="M36" s="45">
        <f t="shared" si="2"/>
        <v>0</v>
      </c>
      <c r="N36" s="45">
        <f t="shared" si="2"/>
        <v>0</v>
      </c>
      <c r="O36" s="45">
        <f t="shared" si="2"/>
        <v>0</v>
      </c>
    </row>
    <row r="37" spans="2:15" x14ac:dyDescent="0.45">
      <c r="B37" s="37">
        <v>8</v>
      </c>
      <c r="C37" s="25" t="str">
        <f t="shared" si="1"/>
        <v>Спринклеры и противопожарная защита</v>
      </c>
      <c r="D37" s="45">
        <f t="shared" si="2"/>
        <v>0</v>
      </c>
      <c r="E37" s="45">
        <f t="shared" si="2"/>
        <v>0</v>
      </c>
      <c r="F37" s="45">
        <f t="shared" si="2"/>
        <v>0</v>
      </c>
      <c r="G37" s="45">
        <f t="shared" si="2"/>
        <v>0</v>
      </c>
      <c r="H37" s="45">
        <f t="shared" si="2"/>
        <v>0</v>
      </c>
      <c r="I37" s="45">
        <f t="shared" si="2"/>
        <v>0</v>
      </c>
      <c r="J37" s="45">
        <f t="shared" si="2"/>
        <v>0</v>
      </c>
      <c r="K37" s="45">
        <f t="shared" si="2"/>
        <v>1</v>
      </c>
      <c r="L37" s="45">
        <f t="shared" si="2"/>
        <v>0</v>
      </c>
      <c r="M37" s="45">
        <f t="shared" si="2"/>
        <v>0</v>
      </c>
      <c r="N37" s="45">
        <f t="shared" si="2"/>
        <v>0</v>
      </c>
      <c r="O37" s="45">
        <f t="shared" si="2"/>
        <v>0</v>
      </c>
    </row>
    <row r="38" spans="2:15" x14ac:dyDescent="0.45">
      <c r="B38" s="37">
        <v>9</v>
      </c>
      <c r="C38" s="25" t="str">
        <f t="shared" si="1"/>
        <v>Стеллажи и оснащение склада</v>
      </c>
      <c r="D38" s="45">
        <f t="shared" si="2"/>
        <v>0</v>
      </c>
      <c r="E38" s="45">
        <f t="shared" si="2"/>
        <v>0</v>
      </c>
      <c r="F38" s="45">
        <f t="shared" si="2"/>
        <v>0</v>
      </c>
      <c r="G38" s="45">
        <f t="shared" si="2"/>
        <v>0</v>
      </c>
      <c r="H38" s="45">
        <f t="shared" si="2"/>
        <v>0</v>
      </c>
      <c r="I38" s="45">
        <f t="shared" si="2"/>
        <v>0</v>
      </c>
      <c r="J38" s="45">
        <f t="shared" si="2"/>
        <v>0</v>
      </c>
      <c r="K38" s="45">
        <f t="shared" si="2"/>
        <v>0</v>
      </c>
      <c r="L38" s="45">
        <f t="shared" si="2"/>
        <v>1</v>
      </c>
      <c r="M38" s="45">
        <f t="shared" si="2"/>
        <v>0</v>
      </c>
      <c r="N38" s="45">
        <f t="shared" si="2"/>
        <v>0</v>
      </c>
      <c r="O38" s="45">
        <f t="shared" si="2"/>
        <v>0</v>
      </c>
    </row>
    <row r="39" spans="2:15" x14ac:dyDescent="0.45">
      <c r="B39" s="37">
        <v>10</v>
      </c>
      <c r="C39" s="25" t="str">
        <f t="shared" si="1"/>
        <v>Офисы и бытовые помещения</v>
      </c>
      <c r="D39" s="45">
        <f t="shared" si="2"/>
        <v>0</v>
      </c>
      <c r="E39" s="45">
        <f t="shared" si="2"/>
        <v>0</v>
      </c>
      <c r="F39" s="45">
        <f t="shared" si="2"/>
        <v>0</v>
      </c>
      <c r="G39" s="45">
        <f t="shared" si="2"/>
        <v>0</v>
      </c>
      <c r="H39" s="45">
        <f t="shared" si="2"/>
        <v>0</v>
      </c>
      <c r="I39" s="45">
        <f t="shared" si="2"/>
        <v>0</v>
      </c>
      <c r="J39" s="45">
        <f t="shared" si="2"/>
        <v>0</v>
      </c>
      <c r="K39" s="45">
        <f t="shared" si="2"/>
        <v>0</v>
      </c>
      <c r="L39" s="45">
        <f t="shared" si="2"/>
        <v>0</v>
      </c>
      <c r="M39" s="45">
        <f t="shared" si="2"/>
        <v>1</v>
      </c>
      <c r="N39" s="45">
        <f t="shared" si="2"/>
        <v>0</v>
      </c>
      <c r="O39" s="45">
        <f t="shared" si="2"/>
        <v>0</v>
      </c>
    </row>
    <row r="40" spans="2:15" x14ac:dyDescent="0.45">
      <c r="B40" s="37">
        <v>11</v>
      </c>
      <c r="C40" s="25" t="str">
        <f t="shared" si="1"/>
        <v>Временные затраты и управление стройкой</v>
      </c>
      <c r="D40" s="45">
        <f t="shared" si="2"/>
        <v>0</v>
      </c>
      <c r="E40" s="45">
        <f t="shared" si="2"/>
        <v>0</v>
      </c>
      <c r="F40" s="45">
        <f t="shared" si="2"/>
        <v>0</v>
      </c>
      <c r="G40" s="45">
        <f t="shared" si="2"/>
        <v>0</v>
      </c>
      <c r="H40" s="45">
        <f t="shared" si="2"/>
        <v>0</v>
      </c>
      <c r="I40" s="45">
        <f t="shared" si="2"/>
        <v>0</v>
      </c>
      <c r="J40" s="45">
        <f t="shared" si="2"/>
        <v>0</v>
      </c>
      <c r="K40" s="45">
        <f t="shared" si="2"/>
        <v>0</v>
      </c>
      <c r="L40" s="45">
        <f t="shared" si="2"/>
        <v>0</v>
      </c>
      <c r="M40" s="45">
        <f t="shared" si="2"/>
        <v>0</v>
      </c>
      <c r="N40" s="45">
        <f t="shared" si="2"/>
        <v>1</v>
      </c>
      <c r="O40" s="45">
        <f t="shared" si="2"/>
        <v>0</v>
      </c>
    </row>
    <row r="41" spans="2:15" x14ac:dyDescent="0.45">
      <c r="B41" s="37">
        <v>12</v>
      </c>
      <c r="C41" s="25" t="str">
        <f t="shared" si="1"/>
        <v>Проектирование и услуги консультантов</v>
      </c>
      <c r="D41" s="45">
        <f t="shared" si="2"/>
        <v>0</v>
      </c>
      <c r="E41" s="45">
        <f t="shared" si="2"/>
        <v>0</v>
      </c>
      <c r="F41" s="45">
        <f t="shared" si="2"/>
        <v>0</v>
      </c>
      <c r="G41" s="45">
        <f t="shared" si="2"/>
        <v>0</v>
      </c>
      <c r="H41" s="45">
        <f t="shared" si="2"/>
        <v>0</v>
      </c>
      <c r="I41" s="45">
        <f t="shared" si="2"/>
        <v>0</v>
      </c>
      <c r="J41" s="45">
        <f t="shared" si="2"/>
        <v>0</v>
      </c>
      <c r="K41" s="45">
        <f t="shared" si="2"/>
        <v>0</v>
      </c>
      <c r="L41" s="45">
        <f t="shared" si="2"/>
        <v>0</v>
      </c>
      <c r="M41" s="45">
        <f t="shared" si="2"/>
        <v>0</v>
      </c>
      <c r="N41" s="45">
        <f t="shared" si="2"/>
        <v>0</v>
      </c>
      <c r="O41" s="45">
        <f t="shared" si="2"/>
        <v>1</v>
      </c>
    </row>
    <row r="42" spans="2:15" ht="8" customHeight="1" x14ac:dyDescent="0.45"/>
    <row r="43" spans="2:15" ht="22.05" customHeight="1" x14ac:dyDescent="0.5">
      <c r="B43" s="7" t="s">
        <v>166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2:15" ht="18" customHeight="1" x14ac:dyDescent="0.45">
      <c r="B44" s="13" t="s">
        <v>167</v>
      </c>
    </row>
    <row r="45" spans="2:15" ht="18" customHeight="1" x14ac:dyDescent="0.45">
      <c r="B45" s="5"/>
      <c r="C45" s="46" t="s">
        <v>168</v>
      </c>
      <c r="D45" s="46" t="s">
        <v>98</v>
      </c>
      <c r="E45" s="47" t="s">
        <v>169</v>
      </c>
      <c r="F45" s="5"/>
      <c r="G45" s="46" t="s">
        <v>170</v>
      </c>
      <c r="H45" s="5"/>
      <c r="I45" s="5"/>
      <c r="J45" s="5"/>
      <c r="K45" s="5"/>
      <c r="L45" s="5"/>
      <c r="M45" s="5"/>
      <c r="N45" s="5"/>
      <c r="O45" s="5"/>
    </row>
    <row r="46" spans="2:15" x14ac:dyDescent="0.45">
      <c r="B46" s="32"/>
      <c r="C46" s="25" t="s">
        <v>171</v>
      </c>
      <c r="D46" s="26" t="s">
        <v>107</v>
      </c>
      <c r="E46" s="48" cm="1">
        <f t="array" aca="1" ref="E46" ca="1">_xll.VoseOutput("Общая стоимость","млн долл.")+F22</f>
        <v>39.520809989194085</v>
      </c>
      <c r="F46" s="32"/>
      <c r="G46" s="26" t="s">
        <v>172</v>
      </c>
      <c r="H46" s="32"/>
      <c r="I46" s="32"/>
      <c r="J46" s="32"/>
      <c r="K46" s="32"/>
      <c r="L46" s="32"/>
      <c r="M46" s="32"/>
      <c r="N46" s="32"/>
      <c r="O46" s="32"/>
    </row>
    <row r="47" spans="2:15" x14ac:dyDescent="0.45">
      <c r="B47" s="32"/>
      <c r="C47" s="25" t="s">
        <v>63</v>
      </c>
      <c r="D47" s="26" t="s">
        <v>107</v>
      </c>
      <c r="E47" s="29">
        <f>D22</f>
        <v>36.799999999999997</v>
      </c>
      <c r="F47" s="32"/>
      <c r="G47" s="26" t="s">
        <v>173</v>
      </c>
      <c r="H47" s="32"/>
      <c r="I47" s="32"/>
      <c r="J47" s="32"/>
      <c r="K47" s="32"/>
      <c r="L47" s="32"/>
      <c r="M47" s="32"/>
      <c r="N47" s="32"/>
      <c r="O47" s="32"/>
    </row>
    <row r="48" spans="2:15" x14ac:dyDescent="0.45">
      <c r="B48" s="32"/>
      <c r="C48" s="25" t="s">
        <v>174</v>
      </c>
      <c r="D48" s="26" t="s">
        <v>107</v>
      </c>
      <c r="E48" s="29">
        <f>E22</f>
        <v>37.833333333333336</v>
      </c>
      <c r="F48" s="32"/>
      <c r="G48" s="26" t="s">
        <v>175</v>
      </c>
      <c r="H48" s="32"/>
      <c r="I48" s="32"/>
      <c r="J48" s="32"/>
      <c r="K48" s="32"/>
      <c r="L48" s="32"/>
      <c r="M48" s="32"/>
      <c r="N48" s="32"/>
      <c r="O48" s="32"/>
    </row>
    <row r="49" spans="2:15" ht="8" customHeight="1" x14ac:dyDescent="0.45"/>
    <row r="50" spans="2:15" ht="22.05" customHeight="1" x14ac:dyDescent="0.5">
      <c r="B50" s="7" t="s">
        <v>176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2:15" ht="18" customHeight="1" x14ac:dyDescent="0.45">
      <c r="B51" s="13" t="s">
        <v>177</v>
      </c>
    </row>
    <row r="52" spans="2:15" x14ac:dyDescent="0.45">
      <c r="B52" s="32"/>
      <c r="C52" s="25" t="s">
        <v>178</v>
      </c>
      <c r="D52" s="32"/>
      <c r="E52" s="49" t="str">
        <f>IF(COUNTIF(InputMeans,"✗*")=0,"ОК","ПРОВЕРИТЬ")</f>
        <v>ОК</v>
      </c>
      <c r="F52" s="32"/>
      <c r="G52" s="32"/>
      <c r="H52" s="32"/>
      <c r="I52" s="32"/>
      <c r="J52" s="32"/>
      <c r="K52" s="32"/>
      <c r="L52" s="32"/>
      <c r="M52" s="32"/>
      <c r="N52" s="32"/>
      <c r="O52" s="32"/>
    </row>
    <row r="53" spans="2:15" x14ac:dyDescent="0.45">
      <c r="B53" s="32"/>
      <c r="C53" s="25" t="s">
        <v>179</v>
      </c>
      <c r="D53" s="32"/>
      <c r="E53" s="49" t="str">
        <f>IF(AND(Corr&gt;=0,Corr&lt;1),"ОК","ПРОВЕРИТЬ")</f>
        <v>ОК</v>
      </c>
      <c r="F53" s="32"/>
      <c r="G53" s="32"/>
      <c r="H53" s="32"/>
      <c r="I53" s="32"/>
      <c r="J53" s="32"/>
      <c r="K53" s="32"/>
      <c r="L53" s="32"/>
      <c r="M53" s="32"/>
      <c r="N53" s="32"/>
      <c r="O53" s="32"/>
    </row>
    <row r="54" spans="2:15" ht="14" customHeight="1" x14ac:dyDescent="0.45"/>
  </sheetData>
  <conditionalFormatting sqref="E52:E53">
    <cfRule type="expression" dxfId="4" priority="1">
      <formula>E52="CHECK"</formula>
    </cfRule>
  </conditionalFormatting>
  <hyperlinks>
    <hyperlink ref="B4" location="'Исходные данные'!A1" display="◂  Исходные данные" xr:uid="{00000000-0004-0000-0200-000000000000}"/>
    <hyperlink ref="O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89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16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180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181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0" t="str" cm="1">
        <f t="array" aca="1" ref="B6" ca="1">IF(ISNUMBER(_xll.VoseSimMean(TotalCost)),"✔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1"/>
      <c r="D6" s="51"/>
      <c r="E6" s="51"/>
      <c r="F6" s="51"/>
      <c r="G6" s="51"/>
    </row>
    <row r="7" spans="1:18" x14ac:dyDescent="0.45">
      <c r="B7" s="52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182</v>
      </c>
      <c r="C9" s="8"/>
      <c r="D9" s="8"/>
      <c r="E9" s="8"/>
      <c r="F9" s="8"/>
      <c r="G9" s="8"/>
      <c r="I9" s="53" t="s">
        <v>183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184</v>
      </c>
    </row>
    <row r="11" spans="1:18" ht="18" customHeight="1" x14ac:dyDescent="0.45">
      <c r="B11" s="23" t="s">
        <v>185</v>
      </c>
      <c r="C11" s="23" t="s">
        <v>98</v>
      </c>
      <c r="D11" s="24" t="s">
        <v>169</v>
      </c>
      <c r="E11" s="5"/>
      <c r="F11" s="5"/>
      <c r="G11" s="5"/>
    </row>
    <row r="12" spans="1:18" x14ac:dyDescent="0.45">
      <c r="B12" s="54" t="s">
        <v>186</v>
      </c>
      <c r="C12" s="26" t="s">
        <v>107</v>
      </c>
      <c r="D12" s="29">
        <f>BaseEstimate</f>
        <v>36.799999999999997</v>
      </c>
      <c r="E12" s="32"/>
      <c r="F12" s="32"/>
      <c r="G12" s="32"/>
    </row>
    <row r="13" spans="1:18" ht="22.05" customHeight="1" x14ac:dyDescent="0.45">
      <c r="B13" s="55" t="s">
        <v>187</v>
      </c>
      <c r="C13" s="26" t="s">
        <v>107</v>
      </c>
      <c r="D13" s="56" cm="1">
        <f t="array" aca="1" ref="D13" ca="1">_xll.VoseSimPercentile(TotalCost,0.8)</f>
        <v>38.601963401239033</v>
      </c>
      <c r="E13" s="32"/>
      <c r="F13" s="32"/>
      <c r="G13" s="32"/>
    </row>
    <row r="14" spans="1:18" x14ac:dyDescent="0.45">
      <c r="B14" s="25" t="s">
        <v>188</v>
      </c>
      <c r="C14" s="26" t="s">
        <v>107</v>
      </c>
      <c r="D14" s="57">
        <f ca="1">IFERROR(D13-BaseEstimate,"–")</f>
        <v>1.8019634012390355</v>
      </c>
      <c r="E14" s="32"/>
      <c r="F14" s="32"/>
      <c r="G14" s="32"/>
    </row>
    <row r="15" spans="1:18" x14ac:dyDescent="0.45">
      <c r="B15" s="25" t="s">
        <v>189</v>
      </c>
      <c r="C15" s="26"/>
      <c r="D15" s="58">
        <f ca="1">IFERROR((D13-BaseEstimate)/BaseEstimate,"–")</f>
        <v>4.8966396772799882E-2</v>
      </c>
      <c r="E15" s="32"/>
      <c r="F15" s="32"/>
      <c r="G15" s="32"/>
    </row>
    <row r="16" spans="1:18" x14ac:dyDescent="0.45">
      <c r="B16" s="25" t="s">
        <v>190</v>
      </c>
      <c r="C16" s="26" t="s">
        <v>191</v>
      </c>
      <c r="D16" s="58" cm="1">
        <f t="array" aca="1" ref="D16" ca="1">_xll.VoseSimProbability(TotalCost,BaseEstimate)</f>
        <v>0.12468753124687532</v>
      </c>
      <c r="E16" s="32"/>
      <c r="F16" s="32"/>
      <c r="G16" s="32"/>
    </row>
    <row r="17" spans="2:18" x14ac:dyDescent="0.45">
      <c r="B17" s="25" t="s">
        <v>192</v>
      </c>
      <c r="C17" s="26" t="s">
        <v>107</v>
      </c>
      <c r="D17" s="57" cm="1">
        <f t="array" aca="1" ref="D17" ca="1">_xll.VoseSimMean(TotalCost)</f>
        <v>37.83025614274726</v>
      </c>
      <c r="E17" s="32"/>
      <c r="F17" s="32"/>
      <c r="G17" s="32"/>
    </row>
    <row r="18" spans="2:18" ht="8" customHeight="1" x14ac:dyDescent="0.45"/>
    <row r="19" spans="2:18" ht="22.05" customHeight="1" x14ac:dyDescent="0.5">
      <c r="B19" s="7" t="s">
        <v>193</v>
      </c>
      <c r="C19" s="8"/>
      <c r="D19" s="8"/>
      <c r="E19" s="8"/>
      <c r="F19" s="8"/>
      <c r="G19" s="8"/>
    </row>
    <row r="20" spans="2:18" ht="18" customHeight="1" x14ac:dyDescent="0.45">
      <c r="B20" s="13" t="s">
        <v>194</v>
      </c>
    </row>
    <row r="21" spans="2:18" ht="18" customHeight="1" x14ac:dyDescent="0.45">
      <c r="B21" s="23" t="s">
        <v>185</v>
      </c>
      <c r="C21" s="23" t="s">
        <v>98</v>
      </c>
      <c r="D21" s="24" t="s">
        <v>195</v>
      </c>
      <c r="E21" s="24" t="s">
        <v>196</v>
      </c>
      <c r="F21" s="24" t="s">
        <v>197</v>
      </c>
      <c r="G21" s="24" t="s">
        <v>104</v>
      </c>
    </row>
    <row r="22" spans="2:18" x14ac:dyDescent="0.45">
      <c r="B22" s="25" t="s">
        <v>171</v>
      </c>
      <c r="C22" s="26" t="s">
        <v>107</v>
      </c>
      <c r="D22" s="57" cm="1">
        <f t="array" aca="1" ref="D22" ca="1">_xll.VoseSimPercentile(TotalCost,0.5)</f>
        <v>37.809968466965763</v>
      </c>
      <c r="E22" s="57" cm="1">
        <f t="array" aca="1" ref="E22" ca="1">_xll.VoseSimPercentile(TotalCost,0.8)</f>
        <v>38.601963401239033</v>
      </c>
      <c r="F22" s="57" cm="1">
        <f t="array" aca="1" ref="F22" ca="1">_xll.VoseSimPercentile(TotalCost,0.9)</f>
        <v>38.993704394469091</v>
      </c>
      <c r="G22" s="57" cm="1">
        <f t="array" aca="1" ref="G22" ca="1">_xll.VoseSimMean(TotalCost)</f>
        <v>37.83025614274726</v>
      </c>
    </row>
    <row r="23" spans="2:18" x14ac:dyDescent="0.45">
      <c r="B23" s="25" t="s">
        <v>198</v>
      </c>
      <c r="C23" s="26" t="s">
        <v>107</v>
      </c>
      <c r="D23" s="32"/>
      <c r="E23" s="32"/>
      <c r="F23" s="32"/>
      <c r="G23" s="57">
        <f>ExpectedCost</f>
        <v>37.833333333333336</v>
      </c>
    </row>
    <row r="24" spans="2:18" ht="8" customHeight="1" x14ac:dyDescent="0.45"/>
    <row r="25" spans="2:18" ht="22.05" customHeight="1" x14ac:dyDescent="0.5">
      <c r="B25" s="7" t="s">
        <v>199</v>
      </c>
      <c r="C25" s="8"/>
      <c r="D25" s="8"/>
      <c r="E25" s="8"/>
      <c r="F25" s="8"/>
      <c r="G25" s="8"/>
      <c r="I25" s="53" t="s">
        <v>200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ht="18" customHeight="1" x14ac:dyDescent="0.45">
      <c r="B26" s="13" t="s">
        <v>201</v>
      </c>
    </row>
    <row r="27" spans="2:18" ht="18" customHeight="1" x14ac:dyDescent="0.45">
      <c r="B27" s="23" t="s">
        <v>202</v>
      </c>
      <c r="C27" s="24" t="s">
        <v>203</v>
      </c>
      <c r="D27" s="24" t="s">
        <v>204</v>
      </c>
      <c r="E27" s="59" t="s">
        <v>205</v>
      </c>
      <c r="F27" s="5"/>
      <c r="G27" s="5"/>
    </row>
    <row r="28" spans="2:18" x14ac:dyDescent="0.45">
      <c r="B28" s="25" t="str">
        <f t="array" aca="1" ref="B28:E39" ca="1">_xll.VoseSimSensitivityMean(TotalCost,10,1,FALSE)</f>
        <v>Инженерные системы (ОВиК и электрика)</v>
      </c>
      <c r="C28" s="57">
        <f ca="1"/>
        <v>37.124680168665314</v>
      </c>
      <c r="D28" s="57">
        <f ca="1"/>
        <v>38.664053684237423</v>
      </c>
      <c r="E28" s="60">
        <f ca="1"/>
        <v>1</v>
      </c>
      <c r="F28" s="32"/>
      <c r="G28" s="32"/>
    </row>
    <row r="29" spans="2:18" x14ac:dyDescent="0.45">
      <c r="B29" s="25" t="str">
        <f ca="1"/>
        <v>Металлокаркас</v>
      </c>
      <c r="C29" s="57">
        <f ca="1"/>
        <v>37.232989791062018</v>
      </c>
      <c r="D29" s="57">
        <f ca="1"/>
        <v>38.599847338198678</v>
      </c>
      <c r="E29" s="60">
        <f ca="1"/>
        <v>2</v>
      </c>
      <c r="F29" s="32"/>
      <c r="G29" s="32"/>
    </row>
    <row r="30" spans="2:18" x14ac:dyDescent="0.45">
      <c r="B30" s="25" t="str">
        <f ca="1"/>
        <v>Фундаменты и плита пола</v>
      </c>
      <c r="C30" s="57">
        <f ca="1"/>
        <v>37.310297803227868</v>
      </c>
      <c r="D30" s="57">
        <f ca="1"/>
        <v>38.477433512920584</v>
      </c>
      <c r="E30" s="60">
        <f ca="1"/>
        <v>3</v>
      </c>
      <c r="F30" s="32"/>
      <c r="G30" s="32"/>
    </row>
    <row r="31" spans="2:18" x14ac:dyDescent="0.45">
      <c r="B31" s="25" t="str">
        <f ca="1"/>
        <v>Ограждающие конструкции и кровля</v>
      </c>
      <c r="C31" s="57">
        <f ca="1"/>
        <v>37.387807127106363</v>
      </c>
      <c r="D31" s="57">
        <f ca="1"/>
        <v>38.323282988943973</v>
      </c>
      <c r="E31" s="60">
        <f ca="1"/>
        <v>4</v>
      </c>
      <c r="F31" s="32"/>
      <c r="G31" s="32"/>
    </row>
    <row r="32" spans="2:18" x14ac:dyDescent="0.45">
      <c r="B32" s="25" t="str">
        <f ca="1"/>
        <v>Подготовка площадки и земляные работы</v>
      </c>
      <c r="C32" s="57">
        <f ca="1"/>
        <v>37.418888066243468</v>
      </c>
      <c r="D32" s="57">
        <f ca="1"/>
        <v>38.32020557547569</v>
      </c>
      <c r="E32" s="60">
        <f ca="1"/>
        <v>5</v>
      </c>
      <c r="F32" s="32"/>
      <c r="G32" s="32"/>
    </row>
    <row r="33" spans="2:7" x14ac:dyDescent="0.45">
      <c r="B33" s="25" t="str">
        <f ca="1"/>
        <v>Временные затраты и управление стройкой</v>
      </c>
      <c r="C33" s="57">
        <f ca="1"/>
        <v>37.513342216839014</v>
      </c>
      <c r="D33" s="57">
        <f ca="1"/>
        <v>38.252242567918906</v>
      </c>
      <c r="E33" s="60">
        <f ca="1"/>
        <v>6</v>
      </c>
      <c r="F33" s="32"/>
      <c r="G33" s="32"/>
    </row>
    <row r="34" spans="2:7" x14ac:dyDescent="0.45">
      <c r="B34" s="25" t="str">
        <f ca="1"/>
        <v>Стеллажи и оснащение склада</v>
      </c>
      <c r="C34" s="57">
        <f ca="1"/>
        <v>37.553598550986273</v>
      </c>
      <c r="D34" s="57">
        <f ca="1"/>
        <v>38.200608916532794</v>
      </c>
      <c r="E34" s="60">
        <f ca="1"/>
        <v>7</v>
      </c>
      <c r="F34" s="32"/>
      <c r="G34" s="32"/>
    </row>
    <row r="35" spans="2:7" x14ac:dyDescent="0.45">
      <c r="B35" s="25" t="str">
        <f ca="1"/>
        <v>Водоотведение и благоустройство</v>
      </c>
      <c r="C35" s="57">
        <f ca="1"/>
        <v>37.58470747701265</v>
      </c>
      <c r="D35" s="57">
        <f ca="1"/>
        <v>38.162567050860453</v>
      </c>
      <c r="E35" s="60">
        <f ca="1"/>
        <v>8</v>
      </c>
      <c r="F35" s="32"/>
      <c r="G35" s="32"/>
    </row>
    <row r="36" spans="2:7" x14ac:dyDescent="0.45">
      <c r="B36" s="25" t="str">
        <f ca="1"/>
        <v>Офисы и бытовые помещения</v>
      </c>
      <c r="C36" s="57">
        <f ca="1"/>
        <v>37.643131137602353</v>
      </c>
      <c r="D36" s="57">
        <f ca="1"/>
        <v>38.008529433503668</v>
      </c>
      <c r="E36" s="60">
        <f ca="1"/>
        <v>9</v>
      </c>
      <c r="F36" s="32"/>
      <c r="G36" s="32"/>
    </row>
    <row r="37" spans="2:7" x14ac:dyDescent="0.45">
      <c r="B37" s="25" t="str">
        <f ca="1"/>
        <v>Доки и ворота</v>
      </c>
      <c r="C37" s="57">
        <f ca="1"/>
        <v>37.647216792157124</v>
      </c>
      <c r="D37" s="57">
        <f ca="1"/>
        <v>38.011794908097301</v>
      </c>
      <c r="E37" s="60">
        <f ca="1"/>
        <v>10</v>
      </c>
      <c r="F37" s="32"/>
      <c r="G37" s="32"/>
    </row>
    <row r="38" spans="2:7" x14ac:dyDescent="0.45">
      <c r="B38" s="25" t="str">
        <f ca="1"/>
        <v>Проектирование и услуги консультантов</v>
      </c>
      <c r="C38" s="57">
        <f ca="1"/>
        <v>37.664369695380934</v>
      </c>
      <c r="D38" s="57">
        <f ca="1"/>
        <v>38.00659423500818</v>
      </c>
      <c r="E38" s="60">
        <f ca="1"/>
        <v>11</v>
      </c>
      <c r="F38" s="32"/>
      <c r="G38" s="32"/>
    </row>
    <row r="39" spans="2:7" x14ac:dyDescent="0.45">
      <c r="B39" s="25" t="str">
        <f ca="1"/>
        <v>Спринклеры и противопожарная защита</v>
      </c>
      <c r="C39" s="57">
        <f ca="1"/>
        <v>37.671517379237606</v>
      </c>
      <c r="D39" s="57">
        <f ca="1"/>
        <v>37.965677567178808</v>
      </c>
      <c r="E39" s="60">
        <f ca="1"/>
        <v>12</v>
      </c>
      <c r="F39" s="32"/>
      <c r="G39" s="32"/>
    </row>
    <row r="42" spans="2:7" ht="22.05" customHeight="1" x14ac:dyDescent="0.5">
      <c r="B42" s="7" t="s">
        <v>206</v>
      </c>
      <c r="C42" s="8"/>
      <c r="D42" s="8"/>
      <c r="E42" s="8"/>
      <c r="F42" s="8"/>
      <c r="G42" s="8"/>
    </row>
    <row r="43" spans="2:7" ht="32" customHeight="1" x14ac:dyDescent="0.45">
      <c r="B43" s="67" t="s">
        <v>207</v>
      </c>
      <c r="C43" s="68"/>
      <c r="D43" s="68"/>
      <c r="E43" s="68"/>
      <c r="F43" s="68"/>
      <c r="G43" s="68"/>
    </row>
    <row r="44" spans="2:7" ht="32" customHeight="1" x14ac:dyDescent="0.45">
      <c r="B44" s="67" t="s">
        <v>208</v>
      </c>
      <c r="C44" s="68"/>
      <c r="D44" s="68"/>
      <c r="E44" s="68"/>
      <c r="F44" s="68"/>
      <c r="G44" s="68"/>
    </row>
    <row r="45" spans="2:7" ht="58.05" customHeight="1" x14ac:dyDescent="0.45">
      <c r="B45" s="67" t="s">
        <v>209</v>
      </c>
      <c r="C45" s="68"/>
      <c r="D45" s="68"/>
      <c r="E45" s="68"/>
      <c r="F45" s="68"/>
      <c r="G45" s="68"/>
    </row>
    <row r="46" spans="2:7" ht="32" customHeight="1" x14ac:dyDescent="0.45">
      <c r="B46" s="67" t="s">
        <v>210</v>
      </c>
      <c r="C46" s="68"/>
      <c r="D46" s="68"/>
      <c r="E46" s="68"/>
      <c r="F46" s="68"/>
      <c r="G46" s="68"/>
    </row>
    <row r="47" spans="2:7" ht="14" customHeight="1" x14ac:dyDescent="0.45"/>
    <row r="48" spans="2:7" ht="14" customHeight="1" x14ac:dyDescent="0.45"/>
    <row r="49" spans="2:7" ht="22.05" customHeight="1" x14ac:dyDescent="0.5">
      <c r="B49" s="7" t="s">
        <v>211</v>
      </c>
      <c r="C49" s="8"/>
      <c r="D49" s="8"/>
      <c r="E49" s="8"/>
      <c r="F49" s="8"/>
      <c r="G49" s="8"/>
    </row>
    <row r="50" spans="2:7" ht="18" customHeight="1" x14ac:dyDescent="0.45">
      <c r="B50" s="13" t="s">
        <v>212</v>
      </c>
    </row>
    <row r="51" spans="2:7" ht="28.05" hidden="1" customHeight="1" outlineLevel="1" x14ac:dyDescent="0.45">
      <c r="B51" s="24" t="s">
        <v>213</v>
      </c>
      <c r="C51" s="24" t="s">
        <v>214</v>
      </c>
      <c r="D51" s="24" t="s">
        <v>215</v>
      </c>
      <c r="E51" s="5"/>
      <c r="F51" s="5"/>
      <c r="G51" s="5"/>
    </row>
    <row r="52" spans="2:7" hidden="1" outlineLevel="1" x14ac:dyDescent="0.45">
      <c r="B52" s="61">
        <v>0.01</v>
      </c>
      <c r="C52" s="61">
        <f t="shared" ref="C52:C83" si="0">1-B52</f>
        <v>0.99</v>
      </c>
      <c r="D52" s="62" cm="1">
        <f t="array" aca="1" ref="D52" ca="1">IF(ISNUMBER(_xll.VoseSimPercentile(TotalCost,$B52)),_xll.VoseSimPercentile(TotalCost,$B52),NA())</f>
        <v>35.856972012491305</v>
      </c>
    </row>
    <row r="53" spans="2:7" hidden="1" outlineLevel="1" x14ac:dyDescent="0.45">
      <c r="B53" s="61">
        <v>0.03</v>
      </c>
      <c r="C53" s="61">
        <f t="shared" si="0"/>
        <v>0.97</v>
      </c>
      <c r="D53" s="62" cm="1">
        <f t="array" aca="1" ref="D53" ca="1">IF(ISNUMBER(_xll.VoseSimPercentile(TotalCost,$B53)),_xll.VoseSimPercentile(TotalCost,$B53),NA())</f>
        <v>36.176668120839487</v>
      </c>
    </row>
    <row r="54" spans="2:7" hidden="1" outlineLevel="1" x14ac:dyDescent="0.45">
      <c r="B54" s="61">
        <v>0.05</v>
      </c>
      <c r="C54" s="61">
        <f t="shared" si="0"/>
        <v>0.95</v>
      </c>
      <c r="D54" s="62" cm="1">
        <f t="array" aca="1" ref="D54" ca="1">IF(ISNUMBER(_xll.VoseSimPercentile(TotalCost,$B54)),_xll.VoseSimPercentile(TotalCost,$B54),NA())</f>
        <v>36.380284765591973</v>
      </c>
    </row>
    <row r="55" spans="2:7" hidden="1" outlineLevel="1" x14ac:dyDescent="0.45">
      <c r="B55" s="61">
        <v>7.0000000000000007E-2</v>
      </c>
      <c r="C55" s="61">
        <f t="shared" si="0"/>
        <v>0.92999999999999994</v>
      </c>
      <c r="D55" s="62" cm="1">
        <f t="array" aca="1" ref="D55" ca="1">IF(ISNUMBER(_xll.VoseSimPercentile(TotalCost,$B55)),_xll.VoseSimPercentile(TotalCost,$B55),NA())</f>
        <v>36.513044267701005</v>
      </c>
    </row>
    <row r="56" spans="2:7" hidden="1" outlineLevel="1" x14ac:dyDescent="0.45">
      <c r="B56" s="61">
        <v>0.09</v>
      </c>
      <c r="C56" s="61">
        <f t="shared" si="0"/>
        <v>0.91</v>
      </c>
      <c r="D56" s="62" cm="1">
        <f t="array" aca="1" ref="D56" ca="1">IF(ISNUMBER(_xll.VoseSimPercentile(TotalCost,$B56)),_xll.VoseSimPercentile(TotalCost,$B56),NA())</f>
        <v>36.62846700068917</v>
      </c>
    </row>
    <row r="57" spans="2:7" hidden="1" outlineLevel="1" x14ac:dyDescent="0.45">
      <c r="B57" s="61">
        <v>0.11</v>
      </c>
      <c r="C57" s="61">
        <f t="shared" si="0"/>
        <v>0.89</v>
      </c>
      <c r="D57" s="62" cm="1">
        <f t="array" aca="1" ref="D57" ca="1">IF(ISNUMBER(_xll.VoseSimPercentile(TotalCost,$B57)),_xll.VoseSimPercentile(TotalCost,$B57),NA())</f>
        <v>36.738413674717258</v>
      </c>
    </row>
    <row r="58" spans="2:7" hidden="1" outlineLevel="1" x14ac:dyDescent="0.45">
      <c r="B58" s="61">
        <v>0.13</v>
      </c>
      <c r="C58" s="61">
        <f t="shared" si="0"/>
        <v>0.87</v>
      </c>
      <c r="D58" s="62" cm="1">
        <f t="array" aca="1" ref="D58" ca="1">IF(ISNUMBER(_xll.VoseSimPercentile(TotalCost,$B58)),_xll.VoseSimPercentile(TotalCost,$B58),NA())</f>
        <v>36.819733876917923</v>
      </c>
    </row>
    <row r="59" spans="2:7" hidden="1" outlineLevel="1" x14ac:dyDescent="0.45">
      <c r="B59" s="61">
        <v>0.15</v>
      </c>
      <c r="C59" s="61">
        <f t="shared" si="0"/>
        <v>0.85</v>
      </c>
      <c r="D59" s="62" cm="1">
        <f t="array" aca="1" ref="D59" ca="1">IF(ISNUMBER(_xll.VoseSimPercentile(TotalCost,$B59)),_xll.VoseSimPercentile(TotalCost,$B59),NA())</f>
        <v>36.904799330395136</v>
      </c>
    </row>
    <row r="60" spans="2:7" hidden="1" outlineLevel="1" x14ac:dyDescent="0.45">
      <c r="B60" s="61">
        <v>0.17</v>
      </c>
      <c r="C60" s="61">
        <f t="shared" si="0"/>
        <v>0.83</v>
      </c>
      <c r="D60" s="62" cm="1">
        <f t="array" aca="1" ref="D60" ca="1">IF(ISNUMBER(_xll.VoseSimPercentile(TotalCost,$B60)),_xll.VoseSimPercentile(TotalCost,$B60),NA())</f>
        <v>36.968554112175546</v>
      </c>
    </row>
    <row r="61" spans="2:7" hidden="1" outlineLevel="1" x14ac:dyDescent="0.45">
      <c r="B61" s="61">
        <v>0.19</v>
      </c>
      <c r="C61" s="61">
        <f t="shared" si="0"/>
        <v>0.81</v>
      </c>
      <c r="D61" s="62" cm="1">
        <f t="array" aca="1" ref="D61" ca="1">IF(ISNUMBER(_xll.VoseSimPercentile(TotalCost,$B61)),_xll.VoseSimPercentile(TotalCost,$B61),NA())</f>
        <v>37.026767226526601</v>
      </c>
    </row>
    <row r="62" spans="2:7" hidden="1" outlineLevel="1" x14ac:dyDescent="0.45">
      <c r="B62" s="61">
        <v>0.21</v>
      </c>
      <c r="C62" s="61">
        <f t="shared" si="0"/>
        <v>0.79</v>
      </c>
      <c r="D62" s="62" cm="1">
        <f t="array" aca="1" ref="D62" ca="1">IF(ISNUMBER(_xll.VoseSimPercentile(TotalCost,$B62)),_xll.VoseSimPercentile(TotalCost,$B62),NA())</f>
        <v>37.097777802194564</v>
      </c>
    </row>
    <row r="63" spans="2:7" hidden="1" outlineLevel="1" x14ac:dyDescent="0.45">
      <c r="B63" s="61">
        <v>0.23</v>
      </c>
      <c r="C63" s="61">
        <f t="shared" si="0"/>
        <v>0.77</v>
      </c>
      <c r="D63" s="62" cm="1">
        <f t="array" aca="1" ref="D63" ca="1">IF(ISNUMBER(_xll.VoseSimPercentile(TotalCost,$B63)),_xll.VoseSimPercentile(TotalCost,$B63),NA())</f>
        <v>37.151786642044399</v>
      </c>
    </row>
    <row r="64" spans="2:7" hidden="1" outlineLevel="1" x14ac:dyDescent="0.45">
      <c r="B64" s="61">
        <v>0.25</v>
      </c>
      <c r="C64" s="61">
        <f t="shared" si="0"/>
        <v>0.75</v>
      </c>
      <c r="D64" s="62" cm="1">
        <f t="array" aca="1" ref="D64" ca="1">IF(ISNUMBER(_xll.VoseSimPercentile(TotalCost,$B64)),_xll.VoseSimPercentile(TotalCost,$B64),NA())</f>
        <v>37.211613447523085</v>
      </c>
    </row>
    <row r="65" spans="2:4" hidden="1" outlineLevel="1" x14ac:dyDescent="0.45">
      <c r="B65" s="61">
        <v>0.27</v>
      </c>
      <c r="C65" s="61">
        <f t="shared" si="0"/>
        <v>0.73</v>
      </c>
      <c r="D65" s="62" cm="1">
        <f t="array" aca="1" ref="D65" ca="1">IF(ISNUMBER(_xll.VoseSimPercentile(TotalCost,$B65)),_xll.VoseSimPercentile(TotalCost,$B65),NA())</f>
        <v>37.265125286546777</v>
      </c>
    </row>
    <row r="66" spans="2:4" hidden="1" outlineLevel="1" x14ac:dyDescent="0.45">
      <c r="B66" s="61">
        <v>0.28999999999999998</v>
      </c>
      <c r="C66" s="61">
        <f t="shared" si="0"/>
        <v>0.71</v>
      </c>
      <c r="D66" s="62" cm="1">
        <f t="array" aca="1" ref="D66" ca="1">IF(ISNUMBER(_xll.VoseSimPercentile(TotalCost,$B66)),_xll.VoseSimPercentile(TotalCost,$B66),NA())</f>
        <v>37.320731473376732</v>
      </c>
    </row>
    <row r="67" spans="2:4" hidden="1" outlineLevel="1" x14ac:dyDescent="0.45">
      <c r="B67" s="61">
        <v>0.31</v>
      </c>
      <c r="C67" s="61">
        <f t="shared" si="0"/>
        <v>0.69</v>
      </c>
      <c r="D67" s="62" cm="1">
        <f t="array" aca="1" ref="D67" ca="1">IF(ISNUMBER(_xll.VoseSimPercentile(TotalCost,$B67)),_xll.VoseSimPercentile(TotalCost,$B67),NA())</f>
        <v>37.367613483270702</v>
      </c>
    </row>
    <row r="68" spans="2:4" hidden="1" outlineLevel="1" x14ac:dyDescent="0.45">
      <c r="B68" s="61">
        <v>0.33</v>
      </c>
      <c r="C68" s="61">
        <f t="shared" si="0"/>
        <v>0.66999999999999993</v>
      </c>
      <c r="D68" s="62" cm="1">
        <f t="array" aca="1" ref="D68" ca="1">IF(ISNUMBER(_xll.VoseSimPercentile(TotalCost,$B68)),_xll.VoseSimPercentile(TotalCost,$B68),NA())</f>
        <v>37.412462870019347</v>
      </c>
    </row>
    <row r="69" spans="2:4" hidden="1" outlineLevel="1" x14ac:dyDescent="0.45">
      <c r="B69" s="61">
        <v>0.35</v>
      </c>
      <c r="C69" s="61">
        <f t="shared" si="0"/>
        <v>0.65</v>
      </c>
      <c r="D69" s="62" cm="1">
        <f t="array" aca="1" ref="D69" ca="1">IF(ISNUMBER(_xll.VoseSimPercentile(TotalCost,$B69)),_xll.VoseSimPercentile(TotalCost,$B69),NA())</f>
        <v>37.457395203048598</v>
      </c>
    </row>
    <row r="70" spans="2:4" hidden="1" outlineLevel="1" x14ac:dyDescent="0.45">
      <c r="B70" s="61">
        <v>0.37</v>
      </c>
      <c r="C70" s="61">
        <f t="shared" si="0"/>
        <v>0.63</v>
      </c>
      <c r="D70" s="62" cm="1">
        <f t="array" aca="1" ref="D70" ca="1">IF(ISNUMBER(_xll.VoseSimPercentile(TotalCost,$B70)),_xll.VoseSimPercentile(TotalCost,$B70),NA())</f>
        <v>37.504402064359276</v>
      </c>
    </row>
    <row r="71" spans="2:4" hidden="1" outlineLevel="1" x14ac:dyDescent="0.45">
      <c r="B71" s="61">
        <v>0.39</v>
      </c>
      <c r="C71" s="61">
        <f t="shared" si="0"/>
        <v>0.61</v>
      </c>
      <c r="D71" s="62" cm="1">
        <f t="array" aca="1" ref="D71" ca="1">IF(ISNUMBER(_xll.VoseSimPercentile(TotalCost,$B71)),_xll.VoseSimPercentile(TotalCost,$B71),NA())</f>
        <v>37.549957409081152</v>
      </c>
    </row>
    <row r="72" spans="2:4" hidden="1" outlineLevel="1" x14ac:dyDescent="0.45">
      <c r="B72" s="61">
        <v>0.41</v>
      </c>
      <c r="C72" s="61">
        <f t="shared" si="0"/>
        <v>0.59000000000000008</v>
      </c>
      <c r="D72" s="62" cm="1">
        <f t="array" aca="1" ref="D72" ca="1">IF(ISNUMBER(_xll.VoseSimPercentile(TotalCost,$B72)),_xll.VoseSimPercentile(TotalCost,$B72),NA())</f>
        <v>37.597547580623228</v>
      </c>
    </row>
    <row r="73" spans="2:4" hidden="1" outlineLevel="1" x14ac:dyDescent="0.45">
      <c r="B73" s="61">
        <v>0.43</v>
      </c>
      <c r="C73" s="61">
        <f t="shared" si="0"/>
        <v>0.57000000000000006</v>
      </c>
      <c r="D73" s="62" cm="1">
        <f t="array" aca="1" ref="D73" ca="1">IF(ISNUMBER(_xll.VoseSimPercentile(TotalCost,$B73)),_xll.VoseSimPercentile(TotalCost,$B73),NA())</f>
        <v>37.646745799162524</v>
      </c>
    </row>
    <row r="74" spans="2:4" hidden="1" outlineLevel="1" x14ac:dyDescent="0.45">
      <c r="B74" s="61">
        <v>0.45</v>
      </c>
      <c r="C74" s="61">
        <f t="shared" si="0"/>
        <v>0.55000000000000004</v>
      </c>
      <c r="D74" s="62" cm="1">
        <f t="array" aca="1" ref="D74" ca="1">IF(ISNUMBER(_xll.VoseSimPercentile(TotalCost,$B74)),_xll.VoseSimPercentile(TotalCost,$B74),NA())</f>
        <v>37.690696333873518</v>
      </c>
    </row>
    <row r="75" spans="2:4" hidden="1" outlineLevel="1" x14ac:dyDescent="0.45">
      <c r="B75" s="61">
        <v>0.47</v>
      </c>
      <c r="C75" s="61">
        <f t="shared" si="0"/>
        <v>0.53</v>
      </c>
      <c r="D75" s="62" cm="1">
        <f t="array" aca="1" ref="D75" ca="1">IF(ISNUMBER(_xll.VoseSimPercentile(TotalCost,$B75)),_xll.VoseSimPercentile(TotalCost,$B75),NA())</f>
        <v>37.73931434266489</v>
      </c>
    </row>
    <row r="76" spans="2:4" hidden="1" outlineLevel="1" x14ac:dyDescent="0.45">
      <c r="B76" s="61">
        <v>0.49</v>
      </c>
      <c r="C76" s="61">
        <f t="shared" si="0"/>
        <v>0.51</v>
      </c>
      <c r="D76" s="62" cm="1">
        <f t="array" aca="1" ref="D76" ca="1">IF(ISNUMBER(_xll.VoseSimPercentile(TotalCost,$B76)),_xll.VoseSimPercentile(TotalCost,$B76),NA())</f>
        <v>37.786638349752181</v>
      </c>
    </row>
    <row r="77" spans="2:4" hidden="1" outlineLevel="1" x14ac:dyDescent="0.45">
      <c r="B77" s="61">
        <v>0.51</v>
      </c>
      <c r="C77" s="61">
        <f t="shared" si="0"/>
        <v>0.49</v>
      </c>
      <c r="D77" s="62" cm="1">
        <f t="array" aca="1" ref="D77" ca="1">IF(ISNUMBER(_xll.VoseSimPercentile(TotalCost,$B77)),_xll.VoseSimPercentile(TotalCost,$B77),NA())</f>
        <v>37.832263913591405</v>
      </c>
    </row>
    <row r="78" spans="2:4" hidden="1" outlineLevel="1" x14ac:dyDescent="0.45">
      <c r="B78" s="61">
        <v>0.53</v>
      </c>
      <c r="C78" s="61">
        <f t="shared" si="0"/>
        <v>0.47</v>
      </c>
      <c r="D78" s="62" cm="1">
        <f t="array" aca="1" ref="D78" ca="1">IF(ISNUMBER(_xll.VoseSimPercentile(TotalCost,$B78)),_xll.VoseSimPercentile(TotalCost,$B78),NA())</f>
        <v>37.876407387691501</v>
      </c>
    </row>
    <row r="79" spans="2:4" hidden="1" outlineLevel="1" x14ac:dyDescent="0.45">
      <c r="B79" s="61">
        <v>0.55000000000000004</v>
      </c>
      <c r="C79" s="61">
        <f t="shared" si="0"/>
        <v>0.44999999999999996</v>
      </c>
      <c r="D79" s="62" cm="1">
        <f t="array" aca="1" ref="D79" ca="1">IF(ISNUMBER(_xll.VoseSimPercentile(TotalCost,$B79)),_xll.VoseSimPercentile(TotalCost,$B79),NA())</f>
        <v>37.924086268676056</v>
      </c>
    </row>
    <row r="80" spans="2:4" hidden="1" outlineLevel="1" x14ac:dyDescent="0.45">
      <c r="B80" s="61">
        <v>0.56999999999999995</v>
      </c>
      <c r="C80" s="61">
        <f t="shared" si="0"/>
        <v>0.43000000000000005</v>
      </c>
      <c r="D80" s="62" cm="1">
        <f t="array" aca="1" ref="D80" ca="1">IF(ISNUMBER(_xll.VoseSimPercentile(TotalCost,$B80)),_xll.VoseSimPercentile(TotalCost,$B80),NA())</f>
        <v>37.971938590716682</v>
      </c>
    </row>
    <row r="81" spans="2:4" hidden="1" outlineLevel="1" x14ac:dyDescent="0.45">
      <c r="B81" s="61">
        <v>0.59</v>
      </c>
      <c r="C81" s="61">
        <f t="shared" si="0"/>
        <v>0.41000000000000003</v>
      </c>
      <c r="D81" s="62" cm="1">
        <f t="array" aca="1" ref="D81" ca="1">IF(ISNUMBER(_xll.VoseSimPercentile(TotalCost,$B81)),_xll.VoseSimPercentile(TotalCost,$B81),NA())</f>
        <v>38.017070109715043</v>
      </c>
    </row>
    <row r="82" spans="2:4" hidden="1" outlineLevel="1" x14ac:dyDescent="0.45">
      <c r="B82" s="61">
        <v>0.61</v>
      </c>
      <c r="C82" s="61">
        <f t="shared" si="0"/>
        <v>0.39</v>
      </c>
      <c r="D82" s="62" cm="1">
        <f t="array" aca="1" ref="D82" ca="1">IF(ISNUMBER(_xll.VoseSimPercentile(TotalCost,$B82)),_xll.VoseSimPercentile(TotalCost,$B82),NA())</f>
        <v>38.072778385164114</v>
      </c>
    </row>
    <row r="83" spans="2:4" hidden="1" outlineLevel="1" x14ac:dyDescent="0.45">
      <c r="B83" s="61">
        <v>0.63</v>
      </c>
      <c r="C83" s="61">
        <f t="shared" si="0"/>
        <v>0.37</v>
      </c>
      <c r="D83" s="62" cm="1">
        <f t="array" aca="1" ref="D83" ca="1">IF(ISNUMBER(_xll.VoseSimPercentile(TotalCost,$B83)),_xll.VoseSimPercentile(TotalCost,$B83),NA())</f>
        <v>38.119580048279225</v>
      </c>
    </row>
    <row r="84" spans="2:4" hidden="1" outlineLevel="1" x14ac:dyDescent="0.45">
      <c r="B84" s="61">
        <v>0.65</v>
      </c>
      <c r="C84" s="61">
        <f t="shared" ref="C84:C115" si="1">1-B84</f>
        <v>0.35</v>
      </c>
      <c r="D84" s="62" cm="1">
        <f t="array" aca="1" ref="D84" ca="1">IF(ISNUMBER(_xll.VoseSimPercentile(TotalCost,$B84)),_xll.VoseSimPercentile(TotalCost,$B84),NA())</f>
        <v>38.16581064142337</v>
      </c>
    </row>
    <row r="85" spans="2:4" hidden="1" outlineLevel="1" x14ac:dyDescent="0.45">
      <c r="B85" s="61">
        <v>0.67</v>
      </c>
      <c r="C85" s="61">
        <f t="shared" si="1"/>
        <v>0.32999999999999996</v>
      </c>
      <c r="D85" s="62" cm="1">
        <f t="array" aca="1" ref="D85" ca="1">IF(ISNUMBER(_xll.VoseSimPercentile(TotalCost,$B85)),_xll.VoseSimPercentile(TotalCost,$B85),NA())</f>
        <v>38.221829437068742</v>
      </c>
    </row>
    <row r="86" spans="2:4" hidden="1" outlineLevel="1" x14ac:dyDescent="0.45">
      <c r="B86" s="61">
        <v>0.69</v>
      </c>
      <c r="C86" s="61">
        <f t="shared" si="1"/>
        <v>0.31000000000000005</v>
      </c>
      <c r="D86" s="62" cm="1">
        <f t="array" aca="1" ref="D86" ca="1">IF(ISNUMBER(_xll.VoseSimPercentile(TotalCost,$B86)),_xll.VoseSimPercentile(TotalCost,$B86),NA())</f>
        <v>38.276010136614246</v>
      </c>
    </row>
    <row r="87" spans="2:4" hidden="1" outlineLevel="1" x14ac:dyDescent="0.45">
      <c r="B87" s="61">
        <v>0.71</v>
      </c>
      <c r="C87" s="61">
        <f t="shared" si="1"/>
        <v>0.29000000000000004</v>
      </c>
      <c r="D87" s="62" cm="1">
        <f t="array" aca="1" ref="D87" ca="1">IF(ISNUMBER(_xll.VoseSimPercentile(TotalCost,$B87)),_xll.VoseSimPercentile(TotalCost,$B87),NA())</f>
        <v>38.328299167918054</v>
      </c>
    </row>
    <row r="88" spans="2:4" hidden="1" outlineLevel="1" x14ac:dyDescent="0.45">
      <c r="B88" s="61">
        <v>0.73</v>
      </c>
      <c r="C88" s="61">
        <f t="shared" si="1"/>
        <v>0.27</v>
      </c>
      <c r="D88" s="62" cm="1">
        <f t="array" aca="1" ref="D88" ca="1">IF(ISNUMBER(_xll.VoseSimPercentile(TotalCost,$B88)),_xll.VoseSimPercentile(TotalCost,$B88),NA())</f>
        <v>38.382910364898081</v>
      </c>
    </row>
    <row r="89" spans="2:4" hidden="1" outlineLevel="1" x14ac:dyDescent="0.45">
      <c r="B89" s="61">
        <v>0.75</v>
      </c>
      <c r="C89" s="61">
        <f t="shared" si="1"/>
        <v>0.25</v>
      </c>
      <c r="D89" s="62" cm="1">
        <f t="array" aca="1" ref="D89" ca="1">IF(ISNUMBER(_xll.VoseSimPercentile(TotalCost,$B89)),_xll.VoseSimPercentile(TotalCost,$B89),NA())</f>
        <v>38.444409897478323</v>
      </c>
    </row>
    <row r="90" spans="2:4" hidden="1" outlineLevel="1" x14ac:dyDescent="0.45">
      <c r="B90" s="61">
        <v>0.77</v>
      </c>
      <c r="C90" s="61">
        <f t="shared" si="1"/>
        <v>0.22999999999999998</v>
      </c>
      <c r="D90" s="62" cm="1">
        <f t="array" aca="1" ref="D90" ca="1">IF(ISNUMBER(_xll.VoseSimPercentile(TotalCost,$B90)),_xll.VoseSimPercentile(TotalCost,$B90),NA())</f>
        <v>38.505695373883995</v>
      </c>
    </row>
    <row r="91" spans="2:4" hidden="1" outlineLevel="1" x14ac:dyDescent="0.45">
      <c r="B91" s="61">
        <v>0.79</v>
      </c>
      <c r="C91" s="61">
        <f t="shared" si="1"/>
        <v>0.20999999999999996</v>
      </c>
      <c r="D91" s="62" cm="1">
        <f t="array" aca="1" ref="D91" ca="1">IF(ISNUMBER(_xll.VoseSimPercentile(TotalCost,$B91)),_xll.VoseSimPercentile(TotalCost,$B91),NA())</f>
        <v>38.572027918957282</v>
      </c>
    </row>
    <row r="92" spans="2:4" hidden="1" outlineLevel="1" x14ac:dyDescent="0.45">
      <c r="B92" s="61">
        <v>0.81</v>
      </c>
      <c r="C92" s="61">
        <f t="shared" si="1"/>
        <v>0.18999999999999995</v>
      </c>
      <c r="D92" s="62" cm="1">
        <f t="array" aca="1" ref="D92" ca="1">IF(ISNUMBER(_xll.VoseSimPercentile(TotalCost,$B92)),_xll.VoseSimPercentile(TotalCost,$B92),NA())</f>
        <v>38.637693623849025</v>
      </c>
    </row>
    <row r="93" spans="2:4" hidden="1" outlineLevel="1" x14ac:dyDescent="0.45">
      <c r="B93" s="61">
        <v>0.83</v>
      </c>
      <c r="C93" s="61">
        <f t="shared" si="1"/>
        <v>0.17000000000000004</v>
      </c>
      <c r="D93" s="62" cm="1">
        <f t="array" aca="1" ref="D93" ca="1">IF(ISNUMBER(_xll.VoseSimPercentile(TotalCost,$B93)),_xll.VoseSimPercentile(TotalCost,$B93),NA())</f>
        <v>38.705128088111799</v>
      </c>
    </row>
    <row r="94" spans="2:4" hidden="1" outlineLevel="1" x14ac:dyDescent="0.45">
      <c r="B94" s="61">
        <v>0.85</v>
      </c>
      <c r="C94" s="61">
        <f t="shared" si="1"/>
        <v>0.15000000000000002</v>
      </c>
      <c r="D94" s="62" cm="1">
        <f t="array" aca="1" ref="D94" ca="1">IF(ISNUMBER(_xll.VoseSimPercentile(TotalCost,$B94)),_xll.VoseSimPercentile(TotalCost,$B94),NA())</f>
        <v>38.774847934859487</v>
      </c>
    </row>
    <row r="95" spans="2:4" hidden="1" outlineLevel="1" x14ac:dyDescent="0.45">
      <c r="B95" s="61">
        <v>0.87</v>
      </c>
      <c r="C95" s="61">
        <f t="shared" si="1"/>
        <v>0.13</v>
      </c>
      <c r="D95" s="62" cm="1">
        <f t="array" aca="1" ref="D95" ca="1">IF(ISNUMBER(_xll.VoseSimPercentile(TotalCost,$B95)),_xll.VoseSimPercentile(TotalCost,$B95),NA())</f>
        <v>38.856002380748556</v>
      </c>
    </row>
    <row r="96" spans="2:4" hidden="1" outlineLevel="1" x14ac:dyDescent="0.45">
      <c r="B96" s="61">
        <v>0.89</v>
      </c>
      <c r="C96" s="61">
        <f t="shared" si="1"/>
        <v>0.10999999999999999</v>
      </c>
      <c r="D96" s="62" cm="1">
        <f t="array" aca="1" ref="D96" ca="1">IF(ISNUMBER(_xll.VoseSimPercentile(TotalCost,$B96)),_xll.VoseSimPercentile(TotalCost,$B96),NA())</f>
        <v>38.939049496650448</v>
      </c>
    </row>
    <row r="97" spans="2:7" hidden="1" outlineLevel="1" x14ac:dyDescent="0.45">
      <c r="B97" s="61">
        <v>0.91</v>
      </c>
      <c r="C97" s="61">
        <f t="shared" si="1"/>
        <v>8.9999999999999969E-2</v>
      </c>
      <c r="D97" s="62" cm="1">
        <f t="array" aca="1" ref="D97" ca="1">IF(ISNUMBER(_xll.VoseSimPercentile(TotalCost,$B97)),_xll.VoseSimPercentile(TotalCost,$B97),NA())</f>
        <v>39.045911191918144</v>
      </c>
    </row>
    <row r="98" spans="2:7" hidden="1" outlineLevel="1" x14ac:dyDescent="0.45">
      <c r="B98" s="61">
        <v>0.93</v>
      </c>
      <c r="C98" s="61">
        <f t="shared" si="1"/>
        <v>6.9999999999999951E-2</v>
      </c>
      <c r="D98" s="62" cm="1">
        <f t="array" aca="1" ref="D98" ca="1">IF(ISNUMBER(_xll.VoseSimPercentile(TotalCost,$B98)),_xll.VoseSimPercentile(TotalCost,$B98),NA())</f>
        <v>39.170627897942943</v>
      </c>
    </row>
    <row r="99" spans="2:7" hidden="1" outlineLevel="1" x14ac:dyDescent="0.45">
      <c r="B99" s="61">
        <v>0.95</v>
      </c>
      <c r="C99" s="61">
        <f t="shared" si="1"/>
        <v>5.0000000000000044E-2</v>
      </c>
      <c r="D99" s="62" cm="1">
        <f t="array" aca="1" ref="D99" ca="1">IF(ISNUMBER(_xll.VoseSimPercentile(TotalCost,$B99)),_xll.VoseSimPercentile(TotalCost,$B99),NA())</f>
        <v>39.334970546150352</v>
      </c>
    </row>
    <row r="100" spans="2:7" hidden="1" outlineLevel="1" x14ac:dyDescent="0.45">
      <c r="B100" s="61">
        <v>0.97</v>
      </c>
      <c r="C100" s="61">
        <f t="shared" si="1"/>
        <v>3.0000000000000027E-2</v>
      </c>
      <c r="D100" s="62" cm="1">
        <f t="array" aca="1" ref="D100" ca="1">IF(ISNUMBER(_xll.VoseSimPercentile(TotalCost,$B100)),_xll.VoseSimPercentile(TotalCost,$B100),NA())</f>
        <v>39.549028046814811</v>
      </c>
    </row>
    <row r="101" spans="2:7" hidden="1" outlineLevel="1" x14ac:dyDescent="0.45">
      <c r="B101" s="61">
        <v>0.99</v>
      </c>
      <c r="C101" s="61">
        <f t="shared" si="1"/>
        <v>1.0000000000000009E-2</v>
      </c>
      <c r="D101" s="62" cm="1">
        <f t="array" aca="1" ref="D101" ca="1">IF(ISNUMBER(_xll.VoseSimPercentile(TotalCost,$B101)),_xll.VoseSimPercentile(TotalCost,$B101),NA())</f>
        <v>39.955683170801215</v>
      </c>
    </row>
    <row r="102" spans="2:7" hidden="1" outlineLevel="1" x14ac:dyDescent="0.45"/>
    <row r="103" spans="2:7" hidden="1" outlineLevel="1" x14ac:dyDescent="0.45">
      <c r="B103" s="63" t="s">
        <v>216</v>
      </c>
      <c r="D103" s="64" cm="1">
        <f t="array" aca="1" ref="D103" ca="1">_xll.VoseSimMean(TotalCost)</f>
        <v>37.83025614274726</v>
      </c>
    </row>
    <row r="104" spans="2:7" ht="18" hidden="1" customHeight="1" outlineLevel="1" x14ac:dyDescent="0.45">
      <c r="B104" s="23" t="s">
        <v>217</v>
      </c>
      <c r="C104" s="5"/>
      <c r="D104" s="5"/>
      <c r="E104" s="5"/>
      <c r="F104" s="24" t="s">
        <v>218</v>
      </c>
      <c r="G104" s="24" t="s">
        <v>219</v>
      </c>
    </row>
    <row r="105" spans="2:7" hidden="1" outlineLevel="1" x14ac:dyDescent="0.45">
      <c r="B105" s="65" t="str">
        <f t="shared" ref="B105:B116" ca="1" si="2">B28</f>
        <v>Инженерные системы (ОВиК и электрика)</v>
      </c>
      <c r="F105" s="66">
        <f t="shared" ref="F105:F116" ca="1" si="3">IFERROR(D28-$D$103,NA())</f>
        <v>0.8337975414901635</v>
      </c>
      <c r="G105" s="66">
        <f t="shared" ref="G105:G116" ca="1" si="4">IFERROR(C28-$D$103,NA())</f>
        <v>-0.70557597408194539</v>
      </c>
    </row>
    <row r="106" spans="2:7" hidden="1" outlineLevel="1" x14ac:dyDescent="0.45">
      <c r="B106" s="65" t="str">
        <f t="shared" ca="1" si="2"/>
        <v>Металлокаркас</v>
      </c>
      <c r="F106" s="66">
        <f t="shared" ca="1" si="3"/>
        <v>0.76959119545141874</v>
      </c>
      <c r="G106" s="66">
        <f t="shared" ca="1" si="4"/>
        <v>-0.59726635168524211</v>
      </c>
    </row>
    <row r="107" spans="2:7" hidden="1" outlineLevel="1" x14ac:dyDescent="0.45">
      <c r="B107" s="65" t="str">
        <f t="shared" ca="1" si="2"/>
        <v>Фундаменты и плита пола</v>
      </c>
      <c r="F107" s="66">
        <f t="shared" ca="1" si="3"/>
        <v>0.64717737017332411</v>
      </c>
      <c r="G107" s="66">
        <f t="shared" ca="1" si="4"/>
        <v>-0.51995833951939119</v>
      </c>
    </row>
    <row r="108" spans="2:7" hidden="1" outlineLevel="1" x14ac:dyDescent="0.45">
      <c r="B108" s="65" t="str">
        <f t="shared" ca="1" si="2"/>
        <v>Ограждающие конструкции и кровля</v>
      </c>
      <c r="F108" s="66">
        <f t="shared" ca="1" si="3"/>
        <v>0.49302684619671311</v>
      </c>
      <c r="G108" s="66">
        <f t="shared" ca="1" si="4"/>
        <v>-0.44244901564089645</v>
      </c>
    </row>
    <row r="109" spans="2:7" hidden="1" outlineLevel="1" x14ac:dyDescent="0.45">
      <c r="B109" s="65" t="str">
        <f t="shared" ca="1" si="2"/>
        <v>Подготовка площадки и земляные работы</v>
      </c>
      <c r="F109" s="66">
        <f t="shared" ca="1" si="3"/>
        <v>0.48994943272843017</v>
      </c>
      <c r="G109" s="66">
        <f t="shared" ca="1" si="4"/>
        <v>-0.41136807650379126</v>
      </c>
    </row>
    <row r="110" spans="2:7" hidden="1" outlineLevel="1" x14ac:dyDescent="0.45">
      <c r="B110" s="65" t="str">
        <f t="shared" ca="1" si="2"/>
        <v>Временные затраты и управление стройкой</v>
      </c>
      <c r="F110" s="66">
        <f t="shared" ca="1" si="3"/>
        <v>0.42198642517164586</v>
      </c>
      <c r="G110" s="66">
        <f t="shared" ca="1" si="4"/>
        <v>-0.31691392590824563</v>
      </c>
    </row>
    <row r="111" spans="2:7" hidden="1" outlineLevel="1" x14ac:dyDescent="0.45">
      <c r="B111" s="65" t="str">
        <f t="shared" ca="1" si="2"/>
        <v>Стеллажи и оснащение склада</v>
      </c>
      <c r="F111" s="66">
        <f t="shared" ca="1" si="3"/>
        <v>0.37035277378553388</v>
      </c>
      <c r="G111" s="66">
        <f t="shared" ca="1" si="4"/>
        <v>-0.27665759176098703</v>
      </c>
    </row>
    <row r="112" spans="2:7" hidden="1" outlineLevel="1" x14ac:dyDescent="0.45">
      <c r="B112" s="65" t="str">
        <f t="shared" ca="1" si="2"/>
        <v>Водоотведение и благоустройство</v>
      </c>
      <c r="F112" s="66">
        <f t="shared" ca="1" si="3"/>
        <v>0.33231090811319319</v>
      </c>
      <c r="G112" s="66">
        <f t="shared" ca="1" si="4"/>
        <v>-0.24554866573460998</v>
      </c>
    </row>
    <row r="113" spans="2:7" hidden="1" outlineLevel="1" x14ac:dyDescent="0.45">
      <c r="B113" s="65" t="str">
        <f t="shared" ca="1" si="2"/>
        <v>Офисы и бытовые помещения</v>
      </c>
      <c r="F113" s="66">
        <f t="shared" ca="1" si="3"/>
        <v>0.17827329075640819</v>
      </c>
      <c r="G113" s="66">
        <f t="shared" ca="1" si="4"/>
        <v>-0.18712500514490671</v>
      </c>
    </row>
    <row r="114" spans="2:7" hidden="1" outlineLevel="1" x14ac:dyDescent="0.45">
      <c r="B114" s="65" t="str">
        <f t="shared" ca="1" si="2"/>
        <v>Доки и ворота</v>
      </c>
      <c r="F114" s="66">
        <f t="shared" ca="1" si="3"/>
        <v>0.18153876535004088</v>
      </c>
      <c r="G114" s="66">
        <f t="shared" ca="1" si="4"/>
        <v>-0.18303935059013554</v>
      </c>
    </row>
    <row r="115" spans="2:7" hidden="1" outlineLevel="1" x14ac:dyDescent="0.45">
      <c r="B115" s="65" t="str">
        <f t="shared" ca="1" si="2"/>
        <v>Проектирование и услуги консультантов</v>
      </c>
      <c r="F115" s="66">
        <f t="shared" ca="1" si="3"/>
        <v>0.17633809226092012</v>
      </c>
      <c r="G115" s="66">
        <f t="shared" ca="1" si="4"/>
        <v>-0.16588644736632574</v>
      </c>
    </row>
    <row r="116" spans="2:7" hidden="1" outlineLevel="1" x14ac:dyDescent="0.45">
      <c r="B116" s="65" t="str">
        <f t="shared" ca="1" si="2"/>
        <v>Спринклеры и противопожарная защита</v>
      </c>
      <c r="F116" s="66">
        <f t="shared" ca="1" si="3"/>
        <v>0.13542142443154859</v>
      </c>
      <c r="G116" s="66">
        <f t="shared" ca="1" si="4"/>
        <v>-0.15873876350965332</v>
      </c>
    </row>
  </sheetData>
  <mergeCells count="4">
    <mergeCell ref="B44:G44"/>
    <mergeCell ref="B43:G43"/>
    <mergeCell ref="B46:G46"/>
    <mergeCell ref="B45:G45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D52:D101">
    <cfRule type="expression" dxfId="1" priority="3">
      <formula>ISNA(D52)</formula>
    </cfRule>
  </conditionalFormatting>
  <conditionalFormatting sqref="F105:G116">
    <cfRule type="expression" dxfId="0" priority="4">
      <formula>ISNA(F105)</formula>
    </cfRule>
  </conditionalFormatting>
  <hyperlinks>
    <hyperlink ref="B4" location="'Смета'!A1" display="◂  Смета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5272C-58B6-43C1-A294-20A3E00326C6}">
  <dimension ref="A1:B1"/>
  <sheetViews>
    <sheetView workbookViewId="0"/>
  </sheetViews>
  <sheetFormatPr defaultRowHeight="14.25" x14ac:dyDescent="0.45"/>
  <sheetData>
    <row r="1" spans="1:2" x14ac:dyDescent="0.45">
      <c r="A1" s="71" t="s">
        <v>220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B6AEC-2713-425C-B96C-22F88034D2C5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86FE1-353A-4C1E-8577-2B820CF9F959}">
  <dimension ref="B3:B132"/>
  <sheetViews>
    <sheetView workbookViewId="0"/>
  </sheetViews>
  <sheetFormatPr defaultRowHeight="14.25" x14ac:dyDescent="0.45"/>
  <sheetData>
    <row r="3" spans="2:2" x14ac:dyDescent="0.45">
      <c r="B3">
        <v>4</v>
      </c>
    </row>
    <row r="4" spans="2:2" x14ac:dyDescent="0.45">
      <c r="B4">
        <v>23</v>
      </c>
    </row>
    <row r="5" spans="2:2" x14ac:dyDescent="0.45">
      <c r="B5">
        <v>132</v>
      </c>
    </row>
    <row r="6" spans="2:2" x14ac:dyDescent="0.45">
      <c r="B6">
        <v>322</v>
      </c>
    </row>
    <row r="7" spans="2:2" x14ac:dyDescent="0.45">
      <c r="B7">
        <v>491</v>
      </c>
    </row>
    <row r="8" spans="2:2" x14ac:dyDescent="0.45">
      <c r="B8">
        <v>485</v>
      </c>
    </row>
    <row r="9" spans="2:2" x14ac:dyDescent="0.45">
      <c r="B9">
        <v>333</v>
      </c>
    </row>
    <row r="10" spans="2:2" x14ac:dyDescent="0.45">
      <c r="B10">
        <v>164</v>
      </c>
    </row>
    <row r="11" spans="2:2" x14ac:dyDescent="0.45">
      <c r="B11">
        <v>39</v>
      </c>
    </row>
    <row r="12" spans="2:2" x14ac:dyDescent="0.45">
      <c r="B12">
        <v>7</v>
      </c>
    </row>
    <row r="13" spans="2:2" x14ac:dyDescent="0.45">
      <c r="B13">
        <v>102</v>
      </c>
    </row>
    <row r="14" spans="2:2" x14ac:dyDescent="0.45">
      <c r="B14">
        <v>240</v>
      </c>
    </row>
    <row r="15" spans="2:2" x14ac:dyDescent="0.45">
      <c r="B15">
        <v>310</v>
      </c>
    </row>
    <row r="16" spans="2:2" x14ac:dyDescent="0.45">
      <c r="B16">
        <v>355</v>
      </c>
    </row>
    <row r="17" spans="2:2" x14ac:dyDescent="0.45">
      <c r="B17">
        <v>307</v>
      </c>
    </row>
    <row r="18" spans="2:2" x14ac:dyDescent="0.45">
      <c r="B18">
        <v>271</v>
      </c>
    </row>
    <row r="19" spans="2:2" x14ac:dyDescent="0.45">
      <c r="B19">
        <v>205</v>
      </c>
    </row>
    <row r="20" spans="2:2" x14ac:dyDescent="0.45">
      <c r="B20">
        <v>115</v>
      </c>
    </row>
    <row r="21" spans="2:2" x14ac:dyDescent="0.45">
      <c r="B21">
        <v>64</v>
      </c>
    </row>
    <row r="22" spans="2:2" x14ac:dyDescent="0.45">
      <c r="B22">
        <v>31</v>
      </c>
    </row>
    <row r="23" spans="2:2" x14ac:dyDescent="0.45">
      <c r="B23">
        <v>126</v>
      </c>
    </row>
    <row r="24" spans="2:2" x14ac:dyDescent="0.45">
      <c r="B24">
        <v>278</v>
      </c>
    </row>
    <row r="25" spans="2:2" x14ac:dyDescent="0.45">
      <c r="B25">
        <v>366</v>
      </c>
    </row>
    <row r="26" spans="2:2" x14ac:dyDescent="0.45">
      <c r="B26">
        <v>368</v>
      </c>
    </row>
    <row r="27" spans="2:2" x14ac:dyDescent="0.45">
      <c r="B27">
        <v>330</v>
      </c>
    </row>
    <row r="28" spans="2:2" x14ac:dyDescent="0.45">
      <c r="B28">
        <v>219</v>
      </c>
    </row>
    <row r="29" spans="2:2" x14ac:dyDescent="0.45">
      <c r="B29">
        <v>176</v>
      </c>
    </row>
    <row r="30" spans="2:2" x14ac:dyDescent="0.45">
      <c r="B30">
        <v>96</v>
      </c>
    </row>
    <row r="31" spans="2:2" x14ac:dyDescent="0.45">
      <c r="B31">
        <v>27</v>
      </c>
    </row>
    <row r="32" spans="2:2" x14ac:dyDescent="0.45">
      <c r="B32">
        <v>14</v>
      </c>
    </row>
    <row r="33" spans="2:2" x14ac:dyDescent="0.45">
      <c r="B33">
        <v>92</v>
      </c>
    </row>
    <row r="34" spans="2:2" x14ac:dyDescent="0.45">
      <c r="B34">
        <v>240</v>
      </c>
    </row>
    <row r="35" spans="2:2" x14ac:dyDescent="0.45">
      <c r="B35">
        <v>374</v>
      </c>
    </row>
    <row r="36" spans="2:2" x14ac:dyDescent="0.45">
      <c r="B36">
        <v>355</v>
      </c>
    </row>
    <row r="37" spans="2:2" x14ac:dyDescent="0.45">
      <c r="B37">
        <v>346</v>
      </c>
    </row>
    <row r="38" spans="2:2" x14ac:dyDescent="0.45">
      <c r="B38">
        <v>239</v>
      </c>
    </row>
    <row r="39" spans="2:2" x14ac:dyDescent="0.45">
      <c r="B39">
        <v>192</v>
      </c>
    </row>
    <row r="40" spans="2:2" x14ac:dyDescent="0.45">
      <c r="B40">
        <v>103</v>
      </c>
    </row>
    <row r="41" spans="2:2" x14ac:dyDescent="0.45">
      <c r="B41">
        <v>46</v>
      </c>
    </row>
    <row r="42" spans="2:2" x14ac:dyDescent="0.45">
      <c r="B42">
        <v>13</v>
      </c>
    </row>
    <row r="43" spans="2:2" x14ac:dyDescent="0.45">
      <c r="B43">
        <v>91</v>
      </c>
    </row>
    <row r="44" spans="2:2" x14ac:dyDescent="0.45">
      <c r="B44">
        <v>280</v>
      </c>
    </row>
    <row r="45" spans="2:2" x14ac:dyDescent="0.45">
      <c r="B45">
        <v>342</v>
      </c>
    </row>
    <row r="46" spans="2:2" x14ac:dyDescent="0.45">
      <c r="B46">
        <v>359</v>
      </c>
    </row>
    <row r="47" spans="2:2" x14ac:dyDescent="0.45">
      <c r="B47">
        <v>328</v>
      </c>
    </row>
    <row r="48" spans="2:2" x14ac:dyDescent="0.45">
      <c r="B48">
        <v>257</v>
      </c>
    </row>
    <row r="49" spans="2:2" x14ac:dyDescent="0.45">
      <c r="B49">
        <v>182</v>
      </c>
    </row>
    <row r="50" spans="2:2" x14ac:dyDescent="0.45">
      <c r="B50">
        <v>92</v>
      </c>
    </row>
    <row r="51" spans="2:2" x14ac:dyDescent="0.45">
      <c r="B51">
        <v>49</v>
      </c>
    </row>
    <row r="52" spans="2:2" x14ac:dyDescent="0.45">
      <c r="B52">
        <v>20</v>
      </c>
    </row>
    <row r="53" spans="2:2" x14ac:dyDescent="0.45">
      <c r="B53">
        <v>103</v>
      </c>
    </row>
    <row r="54" spans="2:2" x14ac:dyDescent="0.45">
      <c r="B54">
        <v>208</v>
      </c>
    </row>
    <row r="55" spans="2:2" x14ac:dyDescent="0.45">
      <c r="B55">
        <v>353</v>
      </c>
    </row>
    <row r="56" spans="2:2" x14ac:dyDescent="0.45">
      <c r="B56">
        <v>390</v>
      </c>
    </row>
    <row r="57" spans="2:2" x14ac:dyDescent="0.45">
      <c r="B57">
        <v>309</v>
      </c>
    </row>
    <row r="58" spans="2:2" x14ac:dyDescent="0.45">
      <c r="B58">
        <v>260</v>
      </c>
    </row>
    <row r="59" spans="2:2" x14ac:dyDescent="0.45">
      <c r="B59">
        <v>184</v>
      </c>
    </row>
    <row r="60" spans="2:2" x14ac:dyDescent="0.45">
      <c r="B60">
        <v>128</v>
      </c>
    </row>
    <row r="61" spans="2:2" x14ac:dyDescent="0.45">
      <c r="B61">
        <v>46</v>
      </c>
    </row>
    <row r="62" spans="2:2" x14ac:dyDescent="0.45">
      <c r="B62">
        <v>19</v>
      </c>
    </row>
    <row r="63" spans="2:2" x14ac:dyDescent="0.45">
      <c r="B63">
        <v>90</v>
      </c>
    </row>
    <row r="64" spans="2:2" x14ac:dyDescent="0.45">
      <c r="B64">
        <v>241</v>
      </c>
    </row>
    <row r="65" spans="2:2" x14ac:dyDescent="0.45">
      <c r="B65">
        <v>329</v>
      </c>
    </row>
    <row r="66" spans="2:2" x14ac:dyDescent="0.45">
      <c r="B66">
        <v>365</v>
      </c>
    </row>
    <row r="67" spans="2:2" x14ac:dyDescent="0.45">
      <c r="B67">
        <v>343</v>
      </c>
    </row>
    <row r="68" spans="2:2" x14ac:dyDescent="0.45">
      <c r="B68">
        <v>267</v>
      </c>
    </row>
    <row r="69" spans="2:2" x14ac:dyDescent="0.45">
      <c r="B69">
        <v>194</v>
      </c>
    </row>
    <row r="70" spans="2:2" x14ac:dyDescent="0.45">
      <c r="B70">
        <v>98</v>
      </c>
    </row>
    <row r="71" spans="2:2" x14ac:dyDescent="0.45">
      <c r="B71">
        <v>52</v>
      </c>
    </row>
    <row r="72" spans="2:2" x14ac:dyDescent="0.45">
      <c r="B72">
        <v>21</v>
      </c>
    </row>
    <row r="73" spans="2:2" x14ac:dyDescent="0.45">
      <c r="B73">
        <v>125</v>
      </c>
    </row>
    <row r="74" spans="2:2" x14ac:dyDescent="0.45">
      <c r="B74">
        <v>304</v>
      </c>
    </row>
    <row r="75" spans="2:2" x14ac:dyDescent="0.45">
      <c r="B75">
        <v>343</v>
      </c>
    </row>
    <row r="76" spans="2:2" x14ac:dyDescent="0.45">
      <c r="B76">
        <v>367</v>
      </c>
    </row>
    <row r="77" spans="2:2" x14ac:dyDescent="0.45">
      <c r="B77">
        <v>286</v>
      </c>
    </row>
    <row r="78" spans="2:2" x14ac:dyDescent="0.45">
      <c r="B78">
        <v>233</v>
      </c>
    </row>
    <row r="79" spans="2:2" x14ac:dyDescent="0.45">
      <c r="B79">
        <v>184</v>
      </c>
    </row>
    <row r="80" spans="2:2" x14ac:dyDescent="0.45">
      <c r="B80">
        <v>96</v>
      </c>
    </row>
    <row r="81" spans="2:2" x14ac:dyDescent="0.45">
      <c r="B81">
        <v>47</v>
      </c>
    </row>
    <row r="82" spans="2:2" x14ac:dyDescent="0.45">
      <c r="B82">
        <v>15</v>
      </c>
    </row>
    <row r="83" spans="2:2" x14ac:dyDescent="0.45">
      <c r="B83">
        <v>91</v>
      </c>
    </row>
    <row r="84" spans="2:2" x14ac:dyDescent="0.45">
      <c r="B84">
        <v>237</v>
      </c>
    </row>
    <row r="85" spans="2:2" x14ac:dyDescent="0.45">
      <c r="B85">
        <v>318</v>
      </c>
    </row>
    <row r="86" spans="2:2" x14ac:dyDescent="0.45">
      <c r="B86">
        <v>353</v>
      </c>
    </row>
    <row r="87" spans="2:2" x14ac:dyDescent="0.45">
      <c r="B87">
        <v>328</v>
      </c>
    </row>
    <row r="88" spans="2:2" x14ac:dyDescent="0.45">
      <c r="B88">
        <v>300</v>
      </c>
    </row>
    <row r="89" spans="2:2" x14ac:dyDescent="0.45">
      <c r="B89">
        <v>197</v>
      </c>
    </row>
    <row r="90" spans="2:2" x14ac:dyDescent="0.45">
      <c r="B90">
        <v>100</v>
      </c>
    </row>
    <row r="91" spans="2:2" x14ac:dyDescent="0.45">
      <c r="B91">
        <v>62</v>
      </c>
    </row>
    <row r="92" spans="2:2" x14ac:dyDescent="0.45">
      <c r="B92">
        <v>14</v>
      </c>
    </row>
    <row r="93" spans="2:2" x14ac:dyDescent="0.45">
      <c r="B93">
        <v>131</v>
      </c>
    </row>
    <row r="94" spans="2:2" x14ac:dyDescent="0.45">
      <c r="B94">
        <v>287</v>
      </c>
    </row>
    <row r="95" spans="2:2" x14ac:dyDescent="0.45">
      <c r="B95">
        <v>371</v>
      </c>
    </row>
    <row r="96" spans="2:2" x14ac:dyDescent="0.45">
      <c r="B96">
        <v>365</v>
      </c>
    </row>
    <row r="97" spans="2:2" x14ac:dyDescent="0.45">
      <c r="B97">
        <v>335</v>
      </c>
    </row>
    <row r="98" spans="2:2" x14ac:dyDescent="0.45">
      <c r="B98">
        <v>219</v>
      </c>
    </row>
    <row r="99" spans="2:2" x14ac:dyDescent="0.45">
      <c r="B99">
        <v>148</v>
      </c>
    </row>
    <row r="100" spans="2:2" x14ac:dyDescent="0.45">
      <c r="B100">
        <v>89</v>
      </c>
    </row>
    <row r="101" spans="2:2" x14ac:dyDescent="0.45">
      <c r="B101">
        <v>44</v>
      </c>
    </row>
    <row r="102" spans="2:2" x14ac:dyDescent="0.45">
      <c r="B102">
        <v>11</v>
      </c>
    </row>
    <row r="103" spans="2:2" x14ac:dyDescent="0.45">
      <c r="B103">
        <v>112</v>
      </c>
    </row>
    <row r="104" spans="2:2" x14ac:dyDescent="0.45">
      <c r="B104">
        <v>308</v>
      </c>
    </row>
    <row r="105" spans="2:2" x14ac:dyDescent="0.45">
      <c r="B105">
        <v>371</v>
      </c>
    </row>
    <row r="106" spans="2:2" x14ac:dyDescent="0.45">
      <c r="B106">
        <v>365</v>
      </c>
    </row>
    <row r="107" spans="2:2" x14ac:dyDescent="0.45">
      <c r="B107">
        <v>341</v>
      </c>
    </row>
    <row r="108" spans="2:2" x14ac:dyDescent="0.45">
      <c r="B108">
        <v>235</v>
      </c>
    </row>
    <row r="109" spans="2:2" x14ac:dyDescent="0.45">
      <c r="B109">
        <v>153</v>
      </c>
    </row>
    <row r="110" spans="2:2" x14ac:dyDescent="0.45">
      <c r="B110">
        <v>80</v>
      </c>
    </row>
    <row r="111" spans="2:2" x14ac:dyDescent="0.45">
      <c r="B111">
        <v>31</v>
      </c>
    </row>
    <row r="112" spans="2:2" x14ac:dyDescent="0.45">
      <c r="B112">
        <v>4</v>
      </c>
    </row>
    <row r="113" spans="2:2" x14ac:dyDescent="0.45">
      <c r="B113">
        <v>125</v>
      </c>
    </row>
    <row r="114" spans="2:2" x14ac:dyDescent="0.45">
      <c r="B114">
        <v>332</v>
      </c>
    </row>
    <row r="115" spans="2:2" x14ac:dyDescent="0.45">
      <c r="B115">
        <v>384</v>
      </c>
    </row>
    <row r="116" spans="2:2" x14ac:dyDescent="0.45">
      <c r="B116">
        <v>380</v>
      </c>
    </row>
    <row r="117" spans="2:2" x14ac:dyDescent="0.45">
      <c r="B117">
        <v>319</v>
      </c>
    </row>
    <row r="118" spans="2:2" x14ac:dyDescent="0.45">
      <c r="B118">
        <v>202</v>
      </c>
    </row>
    <row r="119" spans="2:2" x14ac:dyDescent="0.45">
      <c r="B119">
        <v>145</v>
      </c>
    </row>
    <row r="120" spans="2:2" x14ac:dyDescent="0.45">
      <c r="B120">
        <v>75</v>
      </c>
    </row>
    <row r="121" spans="2:2" x14ac:dyDescent="0.45">
      <c r="B121">
        <v>34</v>
      </c>
    </row>
    <row r="122" spans="2:2" x14ac:dyDescent="0.45">
      <c r="B122">
        <v>4</v>
      </c>
    </row>
    <row r="123" spans="2:2" x14ac:dyDescent="0.45">
      <c r="B123">
        <v>84</v>
      </c>
    </row>
    <row r="124" spans="2:2" x14ac:dyDescent="0.45">
      <c r="B124">
        <v>232</v>
      </c>
    </row>
    <row r="125" spans="2:2" x14ac:dyDescent="0.45">
      <c r="B125">
        <v>282</v>
      </c>
    </row>
    <row r="126" spans="2:2" x14ac:dyDescent="0.45">
      <c r="B126">
        <v>342</v>
      </c>
    </row>
    <row r="127" spans="2:2" x14ac:dyDescent="0.45">
      <c r="B127">
        <v>344</v>
      </c>
    </row>
    <row r="128" spans="2:2" x14ac:dyDescent="0.45">
      <c r="B128">
        <v>285</v>
      </c>
    </row>
    <row r="129" spans="2:2" x14ac:dyDescent="0.45">
      <c r="B129">
        <v>210</v>
      </c>
    </row>
    <row r="130" spans="2:2" x14ac:dyDescent="0.45">
      <c r="B130">
        <v>135</v>
      </c>
    </row>
    <row r="131" spans="2:2" x14ac:dyDescent="0.45">
      <c r="B131">
        <v>65</v>
      </c>
    </row>
    <row r="132" spans="2:2" x14ac:dyDescent="0.45">
      <c r="B132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716">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E07E70E9-856C-46F6-AD57-5CC53339815B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82</vt:i4>
      </vt:variant>
    </vt:vector>
  </HeadingPairs>
  <TitlesOfParts>
    <vt:vector size="89" baseType="lpstr">
      <vt:lpstr>Описание</vt:lpstr>
      <vt:lpstr>Исходные данные</vt:lpstr>
      <vt:lpstr>Смета</vt:lpstr>
      <vt:lpstr>Результаты</vt:lpstr>
      <vt:lpstr>ModelRiskDSN</vt:lpstr>
      <vt:lpstr>ModelRiskSYS1</vt:lpstr>
      <vt:lpstr>ModelRiskCharts</vt:lpstr>
      <vt:lpstr>BaseEstimate</vt:lpstr>
      <vt:lpstr>Checks</vt:lpstr>
      <vt:lpstr>Cladding</vt:lpstr>
      <vt:lpstr>Cladding_Hi</vt:lpstr>
      <vt:lpstr>Cladding_Lo</vt:lpstr>
      <vt:lpstr>Cladding_Mean</vt:lpstr>
      <vt:lpstr>Cladding_ML</vt:lpstr>
      <vt:lpstr>Corr</vt:lpstr>
      <vt:lpstr>CorrMatrix</vt:lpstr>
      <vt:lpstr>Doors</vt:lpstr>
      <vt:lpstr>Doors_Hi</vt:lpstr>
      <vt:lpstr>Doors_Lo</vt:lpstr>
      <vt:lpstr>Doors_Mean</vt:lpstr>
      <vt:lpstr>Doors_ML</vt:lpstr>
      <vt:lpstr>Drainage</vt:lpstr>
      <vt:lpstr>Drainage_Hi</vt:lpstr>
      <vt:lpstr>Drainage_Lo</vt:lpstr>
      <vt:lpstr>Drainage_Mean</vt:lpstr>
      <vt:lpstr>Drainage_ML</vt:lpstr>
      <vt:lpstr>ExpectedCost</vt:lpstr>
      <vt:lpstr>Fees</vt:lpstr>
      <vt:lpstr>Fees_Hi</vt:lpstr>
      <vt:lpstr>Fees_Lo</vt:lpstr>
      <vt:lpstr>Fees_Mean</vt:lpstr>
      <vt:lpstr>Fees_ML</vt:lpstr>
      <vt:lpstr>Fire</vt:lpstr>
      <vt:lpstr>Fire_Hi</vt:lpstr>
      <vt:lpstr>Fire_Lo</vt:lpstr>
      <vt:lpstr>Fire_Mean</vt:lpstr>
      <vt:lpstr>Fire_ML</vt:lpstr>
      <vt:lpstr>Foundations</vt:lpstr>
      <vt:lpstr>Foundations_Hi</vt:lpstr>
      <vt:lpstr>Foundations_Lo</vt:lpstr>
      <vt:lpstr>Foundations_Mean</vt:lpstr>
      <vt:lpstr>Foundations_ML</vt:lpstr>
      <vt:lpstr>Frame</vt:lpstr>
      <vt:lpstr>Frame_Hi</vt:lpstr>
      <vt:lpstr>Frame_Lo</vt:lpstr>
      <vt:lpstr>Frame_Mean</vt:lpstr>
      <vt:lpstr>Frame_ML</vt:lpstr>
      <vt:lpstr>InputMeans</vt:lpstr>
      <vt:lpstr>MandE</vt:lpstr>
      <vt:lpstr>MandE_Hi</vt:lpstr>
      <vt:lpstr>MandE_Lo</vt:lpstr>
      <vt:lpstr>MandE_Mean</vt:lpstr>
      <vt:lpstr>MandE_ML</vt:lpstr>
      <vt:lpstr>Offices</vt:lpstr>
      <vt:lpstr>Offices_Hi</vt:lpstr>
      <vt:lpstr>Offices_Lo</vt:lpstr>
      <vt:lpstr>Offices_Mean</vt:lpstr>
      <vt:lpstr>Offices_ML</vt:lpstr>
      <vt:lpstr>Prelims</vt:lpstr>
      <vt:lpstr>Prelims_Hi</vt:lpstr>
      <vt:lpstr>Prelims_Lo</vt:lpstr>
      <vt:lpstr>Prelims_Mean</vt:lpstr>
      <vt:lpstr>Prelims_ML</vt:lpstr>
      <vt:lpstr>Results!Print_Area</vt:lpstr>
      <vt:lpstr>Inputs!Print_Titles</vt:lpstr>
      <vt:lpstr>Results!Print_Titles</vt:lpstr>
      <vt:lpstr>Racking</vt:lpstr>
      <vt:lpstr>Racking_Hi</vt:lpstr>
      <vt:lpstr>Racking_Lo</vt:lpstr>
      <vt:lpstr>Racking_Mean</vt:lpstr>
      <vt:lpstr>Racking_ML</vt:lpstr>
      <vt:lpstr>Site</vt:lpstr>
      <vt:lpstr>Site_Hi</vt:lpstr>
      <vt:lpstr>Site_Lo</vt:lpstr>
      <vt:lpstr>Site_Mean</vt:lpstr>
      <vt:lpstr>Site_ML</vt:lpstr>
      <vt:lpstr>TotalCost</vt:lpstr>
      <vt:lpstr>U_Cladding</vt:lpstr>
      <vt:lpstr>U_Doors</vt:lpstr>
      <vt:lpstr>U_Drainage</vt:lpstr>
      <vt:lpstr>U_Fees</vt:lpstr>
      <vt:lpstr>U_Fire</vt:lpstr>
      <vt:lpstr>U_Foundations</vt:lpstr>
      <vt:lpstr>U_Frame</vt:lpstr>
      <vt:lpstr>U_MandE</vt:lpstr>
      <vt:lpstr>U_Offices</vt:lpstr>
      <vt:lpstr>U_Prelims</vt:lpstr>
      <vt:lpstr>U_Racking</vt:lpstr>
      <vt:lpstr>U_Site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PC-01 Смета с резервом на риски</dc:title>
  <dc:subject>Отраслевые примеры моделей МоделРиск — Проекты и строительство</dc:subject>
  <dc:creator>ООО «Стратегия Риска»</dc:creator>
  <cp:keywords>МоделРиск; Монте-Карло; проекты и строительство</cp:keywords>
  <dc:description>Двенадцать трехточечных оценок стоимости склада складываются методом Монте-Карло, чтобы задать бюджет P80 и резерв.</dc:description>
  <cp:lastModifiedBy>ООО «Стратегия Риска»</cp:lastModifiedBy>
  <cp:lastPrinted>2026-10-07T08:36:10Z</cp:lastPrinted>
  <dcterms:created xsi:type="dcterms:W3CDTF">2026-10-07T08:35:09Z</dcterms:created>
  <dcterms:modified xsi:type="dcterms:W3CDTF">2026-10-07T08:36:12Z</dcterms:modified>
</cp:coreProperties>
</file>