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CF65488F-4D84-4DB1-B672-19C701229BA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Хеджи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vgPrice">'Хеджи'!$D$50</definedName>
    <definedName name="BudgetPrice">'Исходные данные'!$D$35</definedName>
    <definedName name="BudgetRevenue">'Хеджи'!$D$19</definedName>
    <definedName name="BudgetUptime">'Исходные данные'!$D$36</definedName>
    <definedName name="CallStrike">'Исходные данные'!$D$29</definedName>
    <definedName name="Checks">'Хеджи'!$D$54:$D$56</definedName>
    <definedName name="FirstYear">'Исходные данные'!$D$25</definedName>
    <definedName name="HedgeRatio">'Исходные данные'!$D$26</definedName>
    <definedName name="InputMeans">'Исходные данные'!$I$12:$I$12</definedName>
    <definedName name="MonthsHedged">'Хеджи'!$D$13</definedName>
    <definedName name="Mu_m">'Хеджи'!$D$17</definedName>
    <definedName name="Outage">'Хеджи'!$D$14</definedName>
    <definedName name="OutageMonths">'Исходные данные'!$D$14</definedName>
    <definedName name="OutageStart">'Хеджи'!$D$15</definedName>
    <definedName name="Pay_C">'Хеджи'!$D$48</definedName>
    <definedName name="Pay_P">'Хеджи'!$D$49</definedName>
    <definedName name="Pay_S">'Хеджи'!$D$47</definedName>
    <definedName name="PlanRevenue">'Хеджи'!$D$18</definedName>
    <definedName name="PlanVolume">'Исходные данные'!$D$11</definedName>
    <definedName name="PriceNow">'Исходные данные'!$D$19</definedName>
    <definedName name="_xlnm.Print_Area" localSheetId="3">'Результаты'!$A$1:$R$36</definedName>
    <definedName name="_xlnm.Print_Titles" localSheetId="2">'Хеджи'!$6:$7,'Хеджи'!$A:$D</definedName>
    <definedName name="_xlnm.Print_Titles" localSheetId="1">'Исходные данные'!$1:$4</definedName>
    <definedName name="_xlnm.Print_Titles" localSheetId="3">'Результаты'!$1:$4</definedName>
    <definedName name="Prob_Outage">'Исходные данные'!$D$13</definedName>
    <definedName name="PutPremium">'Исходные данные'!$D$30</definedName>
    <definedName name="PutStrike">'Исходные данные'!$D$28</definedName>
    <definedName name="Rev_C">'Хеджи'!$D$41</definedName>
    <definedName name="Rev_P">'Хеджи'!$D$42</definedName>
    <definedName name="Rev_S">'Хеджи'!$D$40</definedName>
    <definedName name="Rev_U">'Хеджи'!$D$39</definedName>
    <definedName name="Short_C">'Хеджи'!$D$45</definedName>
    <definedName name="Short_P">'Хеджи'!$D$46</definedName>
    <definedName name="Short_S">'Хеджи'!$D$44</definedName>
    <definedName name="Short_U">'Хеджи'!$D$43</definedName>
    <definedName name="Sigma_m">'Хеджи'!$D$16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tartMonth">'Хеджи'!$D$12</definedName>
    <definedName name="SwapPrice">'Исходные данные'!$D$27</definedName>
    <definedName name="Uptime_Hi">'Исходные данные'!$H$12</definedName>
    <definedName name="Uptime_Lo">'Исходные данные'!$F$12</definedName>
    <definedName name="Uptime_Mean">'Исходные данные'!$I$12</definedName>
    <definedName name="Uptime_ML">'Исходные данные'!$G$12</definedName>
    <definedName name="Volatility">'Исходные данные'!$D$20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1" i="4" l="1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D55" i="3"/>
  <c r="D54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D31" i="3" s="1"/>
  <c r="I31" i="3"/>
  <c r="H31" i="3"/>
  <c r="G31" i="3"/>
  <c r="F31" i="3"/>
  <c r="D16" i="3"/>
  <c r="D17" i="3"/>
  <c r="F23" i="3" a="1"/>
  <c r="Y23" i="3" s="1"/>
  <c r="D12" i="3"/>
  <c r="Z7" i="3" s="1"/>
  <c r="G6" i="3"/>
  <c r="D36" i="2"/>
  <c r="H6" i="3"/>
  <c r="I6" i="3" s="1"/>
  <c r="J24" i="3" a="1"/>
  <c r="AB24" i="3" a="1"/>
  <c r="U24" i="3" a="1"/>
  <c r="AA24" i="3" a="1"/>
  <c r="D14" i="3" a="1"/>
  <c r="W24" i="3" a="1"/>
  <c r="AC24" i="3" a="1"/>
  <c r="X24" i="3" a="1"/>
  <c r="V24" i="3" a="1"/>
  <c r="Z24" i="3" a="1"/>
  <c r="K24" i="3" a="1"/>
  <c r="T24" i="3" a="1"/>
  <c r="O24" i="3" a="1"/>
  <c r="N24" i="3" a="1"/>
  <c r="Y24" i="3" a="1"/>
  <c r="R24" i="3" a="1"/>
  <c r="M24" i="3" a="1"/>
  <c r="G24" i="3" a="1"/>
  <c r="S24" i="3" a="1"/>
  <c r="P24" i="3" a="1"/>
  <c r="F24" i="3" a="1"/>
  <c r="I24" i="3" a="1"/>
  <c r="L24" i="3" a="1"/>
  <c r="Q24" i="3" a="1"/>
  <c r="H24" i="3" a="1"/>
  <c r="I12" i="2" a="1"/>
  <c r="H24" i="3" l="1"/>
  <c r="Q24" i="3"/>
  <c r="L24" i="3"/>
  <c r="I24" i="3"/>
  <c r="F24" i="3"/>
  <c r="P24" i="3"/>
  <c r="S24" i="3"/>
  <c r="G24" i="3"/>
  <c r="M24" i="3"/>
  <c r="R24" i="3"/>
  <c r="Y24" i="3"/>
  <c r="N24" i="3"/>
  <c r="O24" i="3"/>
  <c r="T24" i="3"/>
  <c r="K24" i="3"/>
  <c r="Z24" i="3"/>
  <c r="V24" i="3"/>
  <c r="X24" i="3"/>
  <c r="AC24" i="3"/>
  <c r="W24" i="3"/>
  <c r="D14" i="3"/>
  <c r="AA24" i="3"/>
  <c r="U24" i="3"/>
  <c r="AB24" i="3"/>
  <c r="J24" i="3"/>
  <c r="Y33" i="3"/>
  <c r="Y32" i="3"/>
  <c r="Y34" i="3"/>
  <c r="J6" i="3"/>
  <c r="K6" i="3" s="1"/>
  <c r="L6" i="3" s="1"/>
  <c r="M6" i="3" s="1"/>
  <c r="N6" i="3" s="1"/>
  <c r="O6" i="3" s="1"/>
  <c r="P6" i="3" s="1"/>
  <c r="Q6" i="3" s="1"/>
  <c r="R6" i="3" s="1"/>
  <c r="S6" i="3" s="1"/>
  <c r="T6" i="3" s="1"/>
  <c r="U6" i="3" s="1"/>
  <c r="V6" i="3" s="1"/>
  <c r="W6" i="3" s="1"/>
  <c r="X6" i="3" s="1"/>
  <c r="Y6" i="3" s="1"/>
  <c r="Z6" i="3" s="1"/>
  <c r="AA6" i="3" s="1"/>
  <c r="AB6" i="3" s="1"/>
  <c r="AC6" i="3" s="1"/>
  <c r="J23" i="3"/>
  <c r="Q7" i="3"/>
  <c r="W7" i="3"/>
  <c r="P23" i="3"/>
  <c r="S23" i="3"/>
  <c r="AC23" i="3"/>
  <c r="X23" i="3"/>
  <c r="P7" i="3"/>
  <c r="AB23" i="3"/>
  <c r="F23" i="3"/>
  <c r="W23" i="3"/>
  <c r="AA7" i="3"/>
  <c r="R7" i="3"/>
  <c r="AA23" i="3"/>
  <c r="N23" i="3"/>
  <c r="I23" i="3"/>
  <c r="X7" i="3"/>
  <c r="AC7" i="3"/>
  <c r="N7" i="3"/>
  <c r="R23" i="3"/>
  <c r="O23" i="3"/>
  <c r="I7" i="3"/>
  <c r="F7" i="3"/>
  <c r="G7" i="3"/>
  <c r="O7" i="3"/>
  <c r="T7" i="3"/>
  <c r="K23" i="3"/>
  <c r="J7" i="3"/>
  <c r="L23" i="3"/>
  <c r="V23" i="3"/>
  <c r="Q23" i="3"/>
  <c r="AB7" i="3"/>
  <c r="M7" i="3"/>
  <c r="V7" i="3"/>
  <c r="Y7" i="3"/>
  <c r="M23" i="3"/>
  <c r="H23" i="3"/>
  <c r="U23" i="3"/>
  <c r="H7" i="3"/>
  <c r="L7" i="3"/>
  <c r="Z23" i="3"/>
  <c r="T23" i="3"/>
  <c r="G23" i="3"/>
  <c r="S7" i="3"/>
  <c r="K7" i="3"/>
  <c r="U7" i="3"/>
  <c r="I12" i="2"/>
  <c r="F32" i="3" l="1"/>
  <c r="F34" i="3"/>
  <c r="F33" i="3"/>
  <c r="D50" i="3" a="1"/>
  <c r="D50" i="3" s="1"/>
  <c r="Z32" i="3"/>
  <c r="Z34" i="3"/>
  <c r="Z33" i="3"/>
  <c r="U32" i="3"/>
  <c r="U33" i="3"/>
  <c r="U34" i="3"/>
  <c r="V34" i="3"/>
  <c r="V33" i="3"/>
  <c r="V32" i="3"/>
  <c r="AA32" i="3"/>
  <c r="AA34" i="3"/>
  <c r="AA33" i="3"/>
  <c r="AC32" i="3"/>
  <c r="AC34" i="3"/>
  <c r="AC33" i="3"/>
  <c r="J32" i="3"/>
  <c r="J34" i="3"/>
  <c r="J33" i="3"/>
  <c r="X33" i="3"/>
  <c r="X32" i="3"/>
  <c r="X34" i="3"/>
  <c r="H32" i="3"/>
  <c r="H33" i="3"/>
  <c r="H34" i="3"/>
  <c r="L33" i="3"/>
  <c r="L32" i="3"/>
  <c r="L34" i="3"/>
  <c r="O34" i="3"/>
  <c r="O33" i="3"/>
  <c r="O32" i="3"/>
  <c r="S34" i="3"/>
  <c r="S32" i="3"/>
  <c r="S33" i="3"/>
  <c r="I34" i="3"/>
  <c r="I33" i="3"/>
  <c r="I32" i="3"/>
  <c r="Q32" i="3"/>
  <c r="Q34" i="3"/>
  <c r="Q33" i="3"/>
  <c r="N34" i="3"/>
  <c r="N33" i="3"/>
  <c r="N32" i="3"/>
  <c r="R34" i="3"/>
  <c r="R33" i="3"/>
  <c r="R32" i="3"/>
  <c r="P34" i="3"/>
  <c r="P33" i="3"/>
  <c r="P32" i="3"/>
  <c r="T33" i="3"/>
  <c r="T32" i="3"/>
  <c r="T34" i="3"/>
  <c r="AB34" i="3"/>
  <c r="AB33" i="3"/>
  <c r="AB32" i="3"/>
  <c r="D13" i="3"/>
  <c r="D28" i="4" s="1"/>
  <c r="M34" i="3"/>
  <c r="M33" i="3"/>
  <c r="M32" i="3"/>
  <c r="G34" i="3"/>
  <c r="G32" i="3"/>
  <c r="G33" i="3"/>
  <c r="K34" i="3"/>
  <c r="K32" i="3"/>
  <c r="K33" i="3"/>
  <c r="W34" i="3"/>
  <c r="W32" i="3"/>
  <c r="W33" i="3"/>
  <c r="D29" i="4" a="1"/>
  <c r="D29" i="4" l="1"/>
  <c r="D33" i="3"/>
  <c r="D48" i="3" s="1" a="1"/>
  <c r="D48" i="3" s="1"/>
  <c r="D18" i="3"/>
  <c r="D20" i="4" s="1"/>
  <c r="D19" i="3"/>
  <c r="D19" i="4" s="1"/>
  <c r="D34" i="3"/>
  <c r="D49" i="3" s="1" a="1"/>
  <c r="D49" i="3" s="1"/>
  <c r="D56" i="3"/>
  <c r="B7" i="4" s="1"/>
  <c r="D32" i="3"/>
  <c r="D47" i="3" s="1" a="1"/>
  <c r="D47" i="3" s="1"/>
  <c r="D26" i="4" a="1"/>
  <c r="D27" i="4" a="1"/>
  <c r="D25" i="4" a="1"/>
  <c r="D15" i="3" a="1"/>
  <c r="D25" i="4" l="1"/>
  <c r="D27" i="4"/>
  <c r="D26" i="4"/>
  <c r="D15" i="3"/>
  <c r="R25" i="3" l="1"/>
  <c r="R26" i="3" s="1"/>
  <c r="R27" i="3" s="1"/>
  <c r="K25" i="3"/>
  <c r="K26" i="3" s="1"/>
  <c r="K27" i="3" s="1"/>
  <c r="Q25" i="3"/>
  <c r="Q26" i="3" s="1"/>
  <c r="Q27" i="3" s="1"/>
  <c r="X25" i="3"/>
  <c r="X26" i="3" s="1"/>
  <c r="X27" i="3" s="1"/>
  <c r="L25" i="3"/>
  <c r="L26" i="3" s="1"/>
  <c r="L27" i="3" s="1"/>
  <c r="P25" i="3"/>
  <c r="P26" i="3" s="1"/>
  <c r="P27" i="3" s="1"/>
  <c r="O25" i="3"/>
  <c r="O26" i="3" s="1"/>
  <c r="O27" i="3" s="1"/>
  <c r="S25" i="3"/>
  <c r="S26" i="3" s="1"/>
  <c r="S27" i="3" s="1"/>
  <c r="G25" i="3"/>
  <c r="G26" i="3" s="1"/>
  <c r="G27" i="3" s="1"/>
  <c r="H25" i="3"/>
  <c r="H26" i="3" s="1"/>
  <c r="H27" i="3" s="1"/>
  <c r="AB25" i="3"/>
  <c r="AB26" i="3" s="1"/>
  <c r="AB27" i="3" s="1"/>
  <c r="J25" i="3"/>
  <c r="J26" i="3" s="1"/>
  <c r="J27" i="3" s="1"/>
  <c r="N25" i="3"/>
  <c r="N26" i="3" s="1"/>
  <c r="N27" i="3" s="1"/>
  <c r="Y25" i="3"/>
  <c r="Y26" i="3" s="1"/>
  <c r="Y27" i="3" s="1"/>
  <c r="F25" i="3"/>
  <c r="F26" i="3" s="1"/>
  <c r="I25" i="3"/>
  <c r="I26" i="3" s="1"/>
  <c r="I27" i="3" s="1"/>
  <c r="M25" i="3"/>
  <c r="M26" i="3" s="1"/>
  <c r="M27" i="3" s="1"/>
  <c r="Z25" i="3"/>
  <c r="Z26" i="3" s="1"/>
  <c r="Z27" i="3" s="1"/>
  <c r="AA25" i="3"/>
  <c r="AA26" i="3" s="1"/>
  <c r="AA27" i="3" s="1"/>
  <c r="V25" i="3"/>
  <c r="V26" i="3" s="1"/>
  <c r="V27" i="3" s="1"/>
  <c r="U25" i="3"/>
  <c r="U26" i="3" s="1"/>
  <c r="U27" i="3" s="1"/>
  <c r="W25" i="3"/>
  <c r="W26" i="3" s="1"/>
  <c r="W27" i="3" s="1"/>
  <c r="AC25" i="3"/>
  <c r="AC26" i="3" s="1"/>
  <c r="AC27" i="3" s="1"/>
  <c r="T25" i="3"/>
  <c r="T26" i="3" s="1"/>
  <c r="T27" i="3" s="1"/>
  <c r="D26" i="3" l="1"/>
  <c r="F27" i="3"/>
  <c r="D27" i="3" s="1"/>
  <c r="D41" i="3" l="1" a="1"/>
  <c r="D41" i="3" s="1"/>
  <c r="D39" i="3" a="1"/>
  <c r="D39" i="3" s="1"/>
  <c r="D42" i="3" a="1"/>
  <c r="D42" i="3" s="1"/>
  <c r="D40" i="3" a="1"/>
  <c r="D40" i="3" s="1"/>
  <c r="F63" i="4" a="1"/>
  <c r="F48" i="4" a="1"/>
  <c r="F62" i="4" a="1"/>
  <c r="F55" i="4" a="1"/>
  <c r="F54" i="4" a="1"/>
  <c r="F79" i="4" a="1"/>
  <c r="F46" i="4" a="1"/>
  <c r="F87" i="4" a="1"/>
  <c r="F86" i="4" a="1"/>
  <c r="F78" i="4" a="1"/>
  <c r="F45" i="4" a="1"/>
  <c r="F71" i="4" a="1"/>
  <c r="D15" i="4" a="1"/>
  <c r="F70" i="4" a="1"/>
  <c r="F84" i="4" a="1"/>
  <c r="F91" i="4" a="1"/>
  <c r="F83" i="4" a="1"/>
  <c r="F75" i="4" a="1"/>
  <c r="F67" i="4" a="1"/>
  <c r="F59" i="4" a="1"/>
  <c r="F51" i="4" a="1"/>
  <c r="F42" i="4" a="1"/>
  <c r="F77" i="4" a="1"/>
  <c r="F53" i="4" a="1"/>
  <c r="C15" i="4" a="1"/>
  <c r="F60" i="4" a="1"/>
  <c r="F90" i="4" a="1"/>
  <c r="F82" i="4" a="1"/>
  <c r="F74" i="4" a="1"/>
  <c r="F66" i="4" a="1"/>
  <c r="F58" i="4" a="1"/>
  <c r="F50" i="4" a="1"/>
  <c r="E15" i="4" a="1"/>
  <c r="G15" i="4" a="1"/>
  <c r="F69" i="4" a="1"/>
  <c r="F68" i="4" a="1"/>
  <c r="F52" i="4" a="1"/>
  <c r="F89" i="4" a="1"/>
  <c r="F81" i="4" a="1"/>
  <c r="F73" i="4" a="1"/>
  <c r="F65" i="4" a="1"/>
  <c r="F57" i="4" a="1"/>
  <c r="F49" i="4" a="1"/>
  <c r="F85" i="4" a="1"/>
  <c r="F61" i="4" a="1"/>
  <c r="F44" i="4" a="1"/>
  <c r="F76" i="4" a="1"/>
  <c r="F43" i="4" a="1"/>
  <c r="F88" i="4" a="1"/>
  <c r="F80" i="4" a="1"/>
  <c r="F72" i="4" a="1"/>
  <c r="F64" i="4" a="1"/>
  <c r="F56" i="4" a="1"/>
  <c r="F47" i="4" a="1"/>
  <c r="D60" i="4" a="1"/>
  <c r="D81" i="4" a="1"/>
  <c r="D61" i="4" a="1"/>
  <c r="D70" i="4" a="1"/>
  <c r="D69" i="4" a="1"/>
  <c r="D57" i="4" a="1"/>
  <c r="D13" i="4" a="1"/>
  <c r="D90" i="4" a="1"/>
  <c r="D89" i="4" a="1"/>
  <c r="D58" i="4" a="1"/>
  <c r="D44" i="4" a="1"/>
  <c r="D68" i="4" a="1"/>
  <c r="D42" i="4" a="1"/>
  <c r="D63" i="4" a="1"/>
  <c r="D83" i="4" a="1"/>
  <c r="B6" i="4" a="1"/>
  <c r="D75" i="4" a="1"/>
  <c r="D80" i="4" a="1"/>
  <c r="D50" i="4" a="1"/>
  <c r="D45" i="4" a="1"/>
  <c r="D66" i="4" a="1"/>
  <c r="D51" i="4" a="1"/>
  <c r="C13" i="4" a="1"/>
  <c r="D53" i="4" a="1"/>
  <c r="D59" i="4" a="1"/>
  <c r="D88" i="4" a="1"/>
  <c r="D74" i="4" a="1"/>
  <c r="E13" i="4" a="1"/>
  <c r="D67" i="4" a="1"/>
  <c r="D72" i="4" a="1"/>
  <c r="D46" i="4" a="1"/>
  <c r="D73" i="4" a="1"/>
  <c r="D87" i="4" a="1"/>
  <c r="D47" i="4" a="1"/>
  <c r="D52" i="4" a="1"/>
  <c r="D86" i="4" a="1"/>
  <c r="D54" i="4" a="1"/>
  <c r="D64" i="4" a="1"/>
  <c r="D79" i="4" a="1"/>
  <c r="D85" i="4" a="1"/>
  <c r="D84" i="4" a="1"/>
  <c r="D43" i="4" a="1"/>
  <c r="D91" i="4" a="1"/>
  <c r="D56" i="4" a="1"/>
  <c r="D82" i="4" a="1"/>
  <c r="D65" i="4" a="1"/>
  <c r="D49" i="4" a="1"/>
  <c r="D55" i="4" a="1"/>
  <c r="D78" i="4" a="1"/>
  <c r="D48" i="4" a="1"/>
  <c r="D62" i="4" a="1"/>
  <c r="D71" i="4" a="1"/>
  <c r="D77" i="4" a="1"/>
  <c r="D76" i="4" a="1"/>
  <c r="G13" i="4" a="1"/>
  <c r="G48" i="4" a="1"/>
  <c r="G65" i="4" a="1"/>
  <c r="G64" i="4" a="1"/>
  <c r="G81" i="4" a="1"/>
  <c r="G16" i="4" a="1"/>
  <c r="G72" i="4" a="1"/>
  <c r="G89" i="4" a="1"/>
  <c r="G57" i="4" a="1"/>
  <c r="G49" i="4" a="1"/>
  <c r="G80" i="4" a="1"/>
  <c r="G73" i="4" a="1"/>
  <c r="C16" i="4" a="1"/>
  <c r="G88" i="4" a="1"/>
  <c r="G56" i="4" a="1"/>
  <c r="G78" i="4" a="1"/>
  <c r="G85" i="4" a="1"/>
  <c r="G77" i="4" a="1"/>
  <c r="G69" i="4" a="1"/>
  <c r="G61" i="4" a="1"/>
  <c r="G53" i="4" a="1"/>
  <c r="G45" i="4" a="1"/>
  <c r="G79" i="4" a="1"/>
  <c r="G63" i="4" a="1"/>
  <c r="E16" i="4" a="1"/>
  <c r="G86" i="4" a="1"/>
  <c r="G54" i="4" a="1"/>
  <c r="G84" i="4" a="1"/>
  <c r="G76" i="4" a="1"/>
  <c r="G68" i="4" a="1"/>
  <c r="G60" i="4" a="1"/>
  <c r="G52" i="4" a="1"/>
  <c r="G44" i="4" a="1"/>
  <c r="G87" i="4" a="1"/>
  <c r="G47" i="4" a="1"/>
  <c r="G70" i="4" a="1"/>
  <c r="G46" i="4" a="1"/>
  <c r="G91" i="4" a="1"/>
  <c r="G83" i="4" a="1"/>
  <c r="G75" i="4" a="1"/>
  <c r="G67" i="4" a="1"/>
  <c r="G59" i="4" a="1"/>
  <c r="G51" i="4" a="1"/>
  <c r="G43" i="4" a="1"/>
  <c r="G71" i="4" a="1"/>
  <c r="G55" i="4" a="1"/>
  <c r="G62" i="4" a="1"/>
  <c r="D16" i="4" a="1"/>
  <c r="G90" i="4" a="1"/>
  <c r="G82" i="4" a="1"/>
  <c r="G74" i="4" a="1"/>
  <c r="G66" i="4" a="1"/>
  <c r="G58" i="4" a="1"/>
  <c r="G50" i="4" a="1"/>
  <c r="G42" i="4" a="1"/>
  <c r="E87" i="4" a="1"/>
  <c r="E80" i="4" a="1"/>
  <c r="E61" i="4" a="1"/>
  <c r="E79" i="4" a="1"/>
  <c r="E59" i="4" a="1"/>
  <c r="E88" i="4" a="1"/>
  <c r="E46" i="4" a="1"/>
  <c r="E72" i="4" a="1"/>
  <c r="E45" i="4" a="1"/>
  <c r="E64" i="4" a="1"/>
  <c r="E62" i="4" a="1"/>
  <c r="E48" i="4" a="1"/>
  <c r="E71" i="4" a="1"/>
  <c r="E69" i="4" a="1"/>
  <c r="D14" i="4" a="1"/>
  <c r="E84" i="4" a="1"/>
  <c r="E76" i="4" a="1"/>
  <c r="E68" i="4" a="1"/>
  <c r="E56" i="4" a="1"/>
  <c r="G14" i="4" a="1"/>
  <c r="E53" i="4" a="1"/>
  <c r="E78" i="4" a="1"/>
  <c r="E60" i="4" a="1"/>
  <c r="E44" i="4" a="1"/>
  <c r="E85" i="4" a="1"/>
  <c r="E42" i="4" a="1"/>
  <c r="E91" i="4" a="1"/>
  <c r="E83" i="4" a="1"/>
  <c r="E75" i="4" a="1"/>
  <c r="E67" i="4" a="1"/>
  <c r="E54" i="4" a="1"/>
  <c r="E43" i="4" a="1"/>
  <c r="E51" i="4" a="1"/>
  <c r="E86" i="4" a="1"/>
  <c r="E57" i="4" a="1"/>
  <c r="E58" i="4" a="1"/>
  <c r="E90" i="4" a="1"/>
  <c r="E82" i="4" a="1"/>
  <c r="E74" i="4" a="1"/>
  <c r="E66" i="4" a="1"/>
  <c r="E52" i="4" a="1"/>
  <c r="C14" i="4" a="1"/>
  <c r="E49" i="4" a="1"/>
  <c r="E70" i="4" a="1"/>
  <c r="E14" i="4" a="1"/>
  <c r="E77" i="4" a="1"/>
  <c r="E55" i="4" a="1"/>
  <c r="E89" i="4" a="1"/>
  <c r="E81" i="4" a="1"/>
  <c r="E73" i="4" a="1"/>
  <c r="E65" i="4" a="1"/>
  <c r="E50" i="4" a="1"/>
  <c r="E63" i="4" a="1"/>
  <c r="E47" i="4" a="1"/>
  <c r="E47" i="4" l="1"/>
  <c r="E63" i="4"/>
  <c r="E50" i="4"/>
  <c r="E65" i="4"/>
  <c r="E73" i="4"/>
  <c r="E81" i="4"/>
  <c r="E89" i="4"/>
  <c r="E55" i="4"/>
  <c r="E77" i="4"/>
  <c r="E14" i="4"/>
  <c r="E70" i="4"/>
  <c r="E49" i="4"/>
  <c r="C14" i="4"/>
  <c r="E52" i="4"/>
  <c r="E66" i="4"/>
  <c r="E74" i="4"/>
  <c r="E82" i="4"/>
  <c r="E90" i="4"/>
  <c r="E58" i="4"/>
  <c r="E57" i="4"/>
  <c r="E86" i="4"/>
  <c r="E51" i="4"/>
  <c r="E43" i="4"/>
  <c r="E54" i="4"/>
  <c r="E67" i="4"/>
  <c r="E75" i="4"/>
  <c r="E83" i="4"/>
  <c r="E91" i="4"/>
  <c r="E42" i="4"/>
  <c r="E85" i="4"/>
  <c r="E44" i="4"/>
  <c r="E60" i="4"/>
  <c r="E78" i="4"/>
  <c r="E53" i="4"/>
  <c r="G14" i="4"/>
  <c r="E56" i="4"/>
  <c r="E68" i="4"/>
  <c r="E76" i="4"/>
  <c r="E84" i="4"/>
  <c r="D14" i="4"/>
  <c r="E69" i="4"/>
  <c r="E71" i="4"/>
  <c r="E48" i="4"/>
  <c r="E62" i="4"/>
  <c r="E64" i="4"/>
  <c r="E45" i="4"/>
  <c r="E72" i="4"/>
  <c r="E46" i="4"/>
  <c r="E88" i="4"/>
  <c r="E59" i="4"/>
  <c r="E79" i="4"/>
  <c r="E61" i="4"/>
  <c r="E80" i="4"/>
  <c r="E87" i="4"/>
  <c r="G42" i="4"/>
  <c r="G50" i="4"/>
  <c r="G58" i="4"/>
  <c r="G66" i="4"/>
  <c r="G74" i="4"/>
  <c r="G82" i="4"/>
  <c r="G90" i="4"/>
  <c r="D16" i="4"/>
  <c r="G62" i="4"/>
  <c r="G55" i="4"/>
  <c r="G71" i="4"/>
  <c r="G43" i="4"/>
  <c r="G51" i="4"/>
  <c r="G59" i="4"/>
  <c r="G67" i="4"/>
  <c r="G75" i="4"/>
  <c r="G83" i="4"/>
  <c r="G91" i="4"/>
  <c r="G46" i="4"/>
  <c r="G70" i="4"/>
  <c r="G47" i="4"/>
  <c r="G87" i="4"/>
  <c r="G44" i="4"/>
  <c r="G52" i="4"/>
  <c r="G60" i="4"/>
  <c r="G68" i="4"/>
  <c r="G76" i="4"/>
  <c r="G84" i="4"/>
  <c r="G54" i="4"/>
  <c r="G86" i="4"/>
  <c r="E16" i="4"/>
  <c r="G63" i="4"/>
  <c r="G79" i="4"/>
  <c r="G45" i="4"/>
  <c r="G53" i="4"/>
  <c r="G61" i="4"/>
  <c r="G69" i="4"/>
  <c r="G77" i="4"/>
  <c r="G85" i="4"/>
  <c r="G78" i="4"/>
  <c r="G56" i="4"/>
  <c r="G88" i="4"/>
  <c r="C16" i="4"/>
  <c r="G73" i="4"/>
  <c r="G80" i="4"/>
  <c r="G49" i="4"/>
  <c r="G57" i="4"/>
  <c r="G89" i="4"/>
  <c r="G72" i="4"/>
  <c r="G16" i="4"/>
  <c r="G81" i="4"/>
  <c r="G64" i="4"/>
  <c r="G65" i="4"/>
  <c r="G48" i="4"/>
  <c r="G13" i="4"/>
  <c r="D76" i="4"/>
  <c r="D77" i="4"/>
  <c r="D71" i="4"/>
  <c r="D62" i="4"/>
  <c r="D48" i="4"/>
  <c r="D78" i="4"/>
  <c r="D55" i="4"/>
  <c r="D49" i="4"/>
  <c r="D65" i="4"/>
  <c r="D82" i="4"/>
  <c r="D56" i="4"/>
  <c r="D91" i="4"/>
  <c r="D43" i="4"/>
  <c r="D84" i="4"/>
  <c r="D85" i="4"/>
  <c r="D79" i="4"/>
  <c r="D64" i="4"/>
  <c r="D54" i="4"/>
  <c r="D86" i="4"/>
  <c r="D52" i="4"/>
  <c r="D47" i="4"/>
  <c r="D87" i="4"/>
  <c r="D73" i="4"/>
  <c r="D46" i="4"/>
  <c r="D72" i="4"/>
  <c r="D67" i="4"/>
  <c r="E13" i="4"/>
  <c r="D74" i="4"/>
  <c r="D88" i="4"/>
  <c r="D59" i="4"/>
  <c r="D53" i="4"/>
  <c r="C13" i="4"/>
  <c r="D51" i="4"/>
  <c r="D66" i="4"/>
  <c r="D45" i="4"/>
  <c r="D50" i="4"/>
  <c r="D80" i="4"/>
  <c r="D75" i="4"/>
  <c r="B6" i="4"/>
  <c r="D83" i="4"/>
  <c r="D63" i="4"/>
  <c r="D42" i="4"/>
  <c r="D68" i="4"/>
  <c r="D44" i="4"/>
  <c r="D58" i="4"/>
  <c r="D89" i="4"/>
  <c r="D90" i="4"/>
  <c r="D13" i="4"/>
  <c r="D57" i="4"/>
  <c r="D69" i="4"/>
  <c r="D70" i="4"/>
  <c r="D61" i="4"/>
  <c r="D81" i="4"/>
  <c r="D60" i="4"/>
  <c r="F47" i="4"/>
  <c r="F56" i="4"/>
  <c r="F64" i="4"/>
  <c r="F72" i="4"/>
  <c r="F80" i="4"/>
  <c r="F88" i="4"/>
  <c r="F43" i="4"/>
  <c r="F76" i="4"/>
  <c r="F44" i="4"/>
  <c r="F61" i="4"/>
  <c r="F85" i="4"/>
  <c r="F49" i="4"/>
  <c r="F57" i="4"/>
  <c r="F65" i="4"/>
  <c r="F73" i="4"/>
  <c r="F81" i="4"/>
  <c r="F89" i="4"/>
  <c r="F52" i="4"/>
  <c r="F68" i="4"/>
  <c r="F69" i="4"/>
  <c r="G15" i="4"/>
  <c r="E15" i="4"/>
  <c r="F50" i="4"/>
  <c r="F58" i="4"/>
  <c r="F66" i="4"/>
  <c r="F74" i="4"/>
  <c r="F82" i="4"/>
  <c r="F90" i="4"/>
  <c r="F60" i="4"/>
  <c r="C15" i="4"/>
  <c r="F53" i="4"/>
  <c r="F77" i="4"/>
  <c r="F42" i="4"/>
  <c r="F51" i="4"/>
  <c r="F59" i="4"/>
  <c r="F67" i="4"/>
  <c r="F75" i="4"/>
  <c r="F83" i="4"/>
  <c r="F91" i="4"/>
  <c r="F84" i="4"/>
  <c r="F70" i="4"/>
  <c r="D15" i="4"/>
  <c r="F71" i="4"/>
  <c r="F45" i="4"/>
  <c r="F78" i="4"/>
  <c r="F86" i="4"/>
  <c r="F87" i="4"/>
  <c r="F46" i="4"/>
  <c r="F79" i="4"/>
  <c r="F54" i="4"/>
  <c r="F55" i="4"/>
  <c r="F62" i="4"/>
  <c r="F48" i="4"/>
  <c r="F63" i="4"/>
  <c r="D44" i="3" a="1"/>
  <c r="D44" i="3" s="1"/>
  <c r="D46" i="3" a="1"/>
  <c r="D46" i="3" s="1"/>
  <c r="D43" i="3" a="1"/>
  <c r="D43" i="3" s="1"/>
  <c r="D45" i="3" a="1"/>
  <c r="D45" i="3" s="1"/>
  <c r="F15" i="4" a="1"/>
  <c r="F14" i="4" a="1"/>
  <c r="F16" i="4" a="1"/>
  <c r="F13" i="4" a="1"/>
  <c r="F13" i="4" l="1"/>
  <c r="F16" i="4"/>
  <c r="F14" i="4"/>
  <c r="F1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<sst xmlns="http://schemas.openxmlformats.org/spreadsheetml/2006/main" count="340" uniqueCount="253">
  <si>
    <t xml:space="preserve">Хеджирование добычи свопами и колларами</t>
  </si>
  <si>
    <t xml:space="preserve">Пример МоделРиск  ·  Нефть и газ  ·  OG-09</t>
  </si>
  <si>
    <t xml:space="preserve">Своп, коллар или путы?  Как четыре стратегии хеджирования меняют диапазон выручки от нефти за два года.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</si>
  <si>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</si>
  <si>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</si>
  <si>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</si>
  <si>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Нефть и газ</t>
  </si>
  <si>
    <t xml:space="preserve">Сложность</t>
  </si>
  <si>
    <t xml:space="preserve">★★★☆☆   Помесячные траектории цены и добыча с авариями; четыре стратегии хеджирования в сравнении на одних и тех же траекториях.</t>
  </si>
  <si>
    <t xml:space="preserve">Вопрос бизнеса</t>
  </si>
  <si>
    <t xml:space="preserve">Компания будет продавать около 150 тыс. баррелей в месяц в ближайшие два года. Какая часть выручки под риском и как своп, беззатратный коллар и купленные путы на 60% планового объема меняют нижнюю и верхнюю части диапазона и вероятность не выполнить бюджет?</t>
  </si>
  <si>
    <t xml:space="preserve">Для кого</t>
  </si>
  <si>
    <t xml:space="preserve">Казначеям, коммерческим директорам и риск-менеджерам, финансовым директорам и советам директоров, принимающим решение о программе хеджирования.</t>
  </si>
  <si>
    <t xml:space="preserve">Основные результаты</t>
  </si>
  <si>
    <t xml:space="preserve">Выручка за 24 месяца при каждой стратегии: среднее, 5-й и 95-й процентили, среднее худших 5% исходов (CVaR) · вероятность оказаться ниже бюджета · ожидаемая выплата по каждому хеджу, то есть стоимость защиты.</t>
  </si>
  <si>
    <t xml:space="preserve">Приемы МоделРиск</t>
  </si>
  <si>
    <t xml:space="preserve">Помесячная траектория цены по геометрическому броуновскому движению (VoseTimeGBM) · помесячный коэффициент эксплуатации (PERT) и рисковое событие аварии · выплаты по опционам внутри моделирования · стратегии на одних и тех же траекториях цен · условная стоимость под риском (VoseSimCVARp) недостачи выручки.</t>
  </si>
  <si>
    <t xml:space="preserve">Файл</t>
  </si>
  <si>
    <t xml:space="preserve">OG-09 Хеджирование добычи свопами и колларами  ·  Версия 1.0  ·  Ноябрь 2026  ·  создано в МоделРиск</t>
  </si>
  <si>
    <t xml:space="preserve">Вопрос бизнеса</t>
  </si>
  <si>
    <t xml:space="preserve">Средняя добывающая компания продает около 150 тыс. баррелей нефти в месяц, и кредиторы пристально следят за ее выручкой. За два года цена нефти может сильно упасть, но может и вырасти. Казначей может зафиксировать сегодняшнюю форвардную цену свопом, купить опционы пут, которые задают нижнюю границу и сохраняют выгоду от роста, или объединить купленный пут с проданным коллом в беззатратный коллар. Каждая стратегия по-своему меняет форму диапазона выручки, и ни одна не бесплатна во всех смыслах: своп отказывается от выгоды роста, за путы платится премия, коллар ограничивает цену сверху. Добыча тоже неопределенна, а авария оставляет компанию с хеджем на нефть, которую она не добывает. Модель разыгрывает помесячные цены и объемы на два года и применяет четыре стратегии к одним и тем же траекториям, чтобы их влияние на нижнюю и верхнюю части диапазона и на бюджет можно было сравнить напрямую.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</si>
  <si>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</si>
  <si>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</si>
  <si>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</si>
  <si>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Плановый объем в месяц, диапазон месячного коэффициента эксплуатации, вероятность и длительность аварийной остановки; текущая цена и ее волатильность; коэффициент хеджирования и условия свопа, коллара и путов; бюджетная цена.</t>
  </si>
  <si>
    <t xml:space="preserve">2  Хеджи</t>
  </si>
  <si>
    <t xml:space="preserve">Геометрическое броуновское движение с нулевым ожидаемым сносом (форвардная кривая плоская) дает 24 месячные цены. Объем — план × коэффициент эксплуатации месяца или ноль во время аварийной остановки. Каждый хедж платит на хеджируемый объем независимо от фактической добычи: своп платит цену свопа минус рыночную цену, пут платит, когда цена ниже страйка, коллар — это купленный пут и проданный колл. Выручка стратегии — физическая выручка плюс выплата по ее хеджу.</t>
  </si>
  <si>
    <t xml:space="preserve">3  Результаты</t>
  </si>
  <si>
    <t xml:space="preserve">Для каждой стратегии — выручка за 24 месяца: среднее, 5-й и 95-й процентили, среднее худших 5% исходов и вероятность оказаться ниже бюджета; затем ожидаемая выплата по каждому хеджу — его стоимость.</t>
  </si>
  <si>
    <t xml:space="preserve">Как пользоваться моделью</t>
  </si>
  <si>
    <t xml:space="preserve">Шаг 1</t>
  </si>
  <si>
    <t xml:space="preserve">Введите план добычи, цену и волатильность на листе «Исходные данные», а также имеющиеся котировки свопа, коллара и путов.</t>
  </si>
  <si>
    <t xml:space="preserve">Шаг 2</t>
  </si>
  <si>
    <t xml:space="preserve">Нажмите F9 на листе «Хеджи», чтобы увидеть траекторию цены и выплаты по каждому хеджу.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</si>
  <si>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</si>
  <si>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</si>
  <si>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</si>
  <si>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Попробуйте другие коэффициенты хеджирования и страйки и запустите моделирование снова: лист «Результаты» покажет компромисс между нижней и верхней частями диапазона.</t>
  </si>
  <si>
    <t xml:space="preserve">Структура модели</t>
  </si>
  <si>
    <t xml:space="preserve">Исходные данные</t>
  </si>
  <si>
    <t xml:space="preserve">Добыча, цена, первый год, условия хеджей и бюджет.</t>
  </si>
  <si>
    <t xml:space="preserve">Хеджи</t>
  </si>
  <si>
    <t xml:space="preserve">Выборки этой итерации, затем 24 месяца цен, объемов, физической выручки и выплат по хеджам; выходы и проверки.</t>
  </si>
  <si>
    <t xml:space="preserve">Результаты</t>
  </si>
  <si>
    <t xml:space="preserve">Сравнение четырех стратегий, S-кривые выручки и стоимость защиты.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</si>
  <si>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</si>
  <si>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</si>
  <si>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</si>
  <si>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</si>
  <si>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</si>
  <si>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</si>
  <si>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</si>
  <si>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</si>
  <si>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</si>
  <si>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</si>
  <si>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</si>
  <si>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</si>
  <si>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</si>
  <si>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цены в долларах США за баррель.</t>
  </si>
  <si>
    <t xml:space="preserve">Объемы</t>
  </si>
  <si>
    <t xml:space="preserve">тыс. барр. — тысячи баррелей в месяц.</t>
  </si>
  <si>
    <t xml:space="preserve">Процентили</t>
  </si>
  <si>
    <t xml:space="preserve">5-й процентиль: вероятность 5% получить меньшую выручку. CVaR 5%: средняя недостача в худших 5% исходов.</t>
  </si>
  <si>
    <t xml:space="preserve">Коэффициент хеджирования</t>
  </si>
  <si>
    <t xml:space="preserve">Доля планового (а не фактического) объема, которая хеджируется в каждом месяце.</t>
  </si>
  <si>
    <t xml:space="preserve">Основные допущения и ограничения</t>
  </si>
  <si>
    <t xml:space="preserve">Цена</t>
  </si>
  <si>
    <t xml:space="preserve">Геометрическое броуновское движение с постоянной волатильностью и плоской форвардной кривой: ожидаемая цена в каждом месяце равна сегодняшней форвардной цене. Без скачков и возврата к среднему на горизонте двух лет.</t>
  </si>
  <si>
    <t xml:space="preserve">Ежемесячные расчеты по средней цене месяца; без кредитного риска, маржинальных требований и базисного риска. Премия за путы платится вместе с хеджем, без дисконтирования.</t>
  </si>
  <si>
    <t xml:space="preserve">Добыча</t>
  </si>
  <si>
    <t xml:space="preserve">Коэффициент эксплуатации меняется от месяца к месяцу; авария останавливает добычу на три месяца. Цены и объемы независимы.</t>
  </si>
  <si>
    <t xml:space="preserve">Данные</t>
  </si>
  <si>
    <t xml:space="preserve">Объемы, цены и котировки придуманы для этого примера.</t>
  </si>
  <si>
    <t xml:space="preserve">Функции МоделРиск в модели</t>
  </si>
  <si>
    <t>VoseTimeGBM</t>
  </si>
  <si>
    <t xml:space="preserve">24 месячные цены геометрического броуновского движения одной формулой массива.</t>
  </si>
  <si>
    <t>VosePERT, VoseBernoulli, VoseStepUniform</t>
  </si>
  <si>
    <t xml:space="preserve">Месячный коэффициент эксплуатации, произойдет ли авария и в каком месяце она начнется.</t>
  </si>
  <si>
    <t>VoseInput, VoseOutput</t>
  </si>
  <si>
    <t xml:space="preserve">Обозначить неопределенные величины и выходы по выручке и выплатам.</t>
  </si>
  <si>
    <t>VoseSimMean, VoseSimPercentile, VoseSimProbability, VoseSimCVARp</t>
  </si>
  <si>
    <t xml:space="preserve">Статистика моделирования для таблиц и графиков на листе «Результаты»; VoseSimCVARp усредняет худшие 5% недостач.</t>
  </si>
  <si>
    <t xml:space="preserve">Что почитать</t>
  </si>
  <si>
    <t xml:space="preserve">Хеджирование</t>
  </si>
  <si>
    <t>Hull, J. C. (2022). Options, Futures, and Other Derivatives, 11th edition. Pearson — chapters on hedging strategies.</t>
  </si>
  <si>
    <t xml:space="preserve">Меры риска</t>
  </si>
  <si>
    <t xml:space="preserve">Cash Flow at Risk: денежный поток под риском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</si>
  <si>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</si>
  <si>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</si>
  <si>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</si>
  <si>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Хеджи  ▸</t>
  </si>
  <si>
    <t xml:space="preserve">Как читать этот лист:  желтые ячейки — исходные данные.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</si>
  <si>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Добыча</t>
  </si>
  <si>
    <t xml:space="preserve">Что компания рассчитывает продать и что может пойти не так.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</si>
  <si>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</si>
  <si>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</si>
  <si>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</si>
  <si>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</si>
  <si>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</si>
  <si>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</si>
  <si>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</si>
  <si>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</si>
  <si>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Обоснование / источник (условно)</t>
  </si>
  <si>
    <t xml:space="preserve">Плановая добыча</t>
  </si>
  <si>
    <t xml:space="preserve">тыс. барр. в месяц</t>
  </si>
  <si>
    <t xml:space="preserve">Константа</t>
  </si>
  <si>
    <t xml:space="preserve">Около 4900 баррелей в сутки.</t>
  </si>
  <si>
    <t xml:space="preserve">Коэффициент эксплуатации за месяц</t>
  </si>
  <si>
    <t xml:space="preserve">от плана</t>
  </si>
  <si>
    <t>–</t>
  </si>
  <si>
    <t xml:space="preserve">PERT  · выборка на другом листе</t>
  </si>
  <si>
    <t xml:space="preserve">Короткие остановки и погода. Показано среднее; на листе «Хеджи» для каждого месяца разыгрывается свой коэффициент эксплуатации.</t>
  </si>
  <si>
    <t xml:space="preserve">Вероятность крупной аварии за два года</t>
  </si>
  <si>
    <t xml:space="preserve">вероятность</t>
  </si>
  <si>
    <t xml:space="preserve">Отказ компрессора или повреждение трубопровода: одно такое событие за последние 20 промысло-лет.</t>
  </si>
  <si>
    <t xml:space="preserve">Длительность аварийной остановки</t>
  </si>
  <si>
    <t xml:space="preserve">мес.</t>
  </si>
  <si>
    <t xml:space="preserve">Пока длится, добычи нет совсем.</t>
  </si>
  <si>
    <t xml:space="preserve">2   Цена нефти</t>
  </si>
  <si>
    <t xml:space="preserve">Геометрическое броуновское движение, у которого ожидаемое значение в каждом месяце равно сегодняшней форвардной цене.</t>
  </si>
  <si>
    <t xml:space="preserve">Форвардная цена  (плоская кривая)</t>
  </si>
  <si>
    <t xml:space="preserve">долл./барр.</t>
  </si>
  <si>
    <t xml:space="preserve">Сегодняшняя котировка на следующие 24 месяца.</t>
  </si>
  <si>
    <t xml:space="preserve">Годовая волатильность цены</t>
  </si>
  <si>
    <t xml:space="preserve">Подразумеваемая волатильность 12-месячных опционов.</t>
  </si>
  <si>
    <t xml:space="preserve">3   Хеджи</t>
  </si>
  <si>
    <t xml:space="preserve">Все хеджи покрывают одну и ту же долю планового объема в каждом месяце.</t>
  </si>
  <si>
    <t xml:space="preserve">Первый хеджируемый год</t>
  </si>
  <si>
    <t xml:space="preserve">год</t>
  </si>
  <si>
    <t xml:space="preserve">24 хеджируемых месяца начинаются с января этого года.</t>
  </si>
  <si>
    <t xml:space="preserve">от планового объема</t>
  </si>
  <si>
    <t xml:space="preserve">Политика совета директоров: от 40% до 70% планового объема.</t>
  </si>
  <si>
    <t xml:space="preserve">Цена свопа</t>
  </si>
  <si>
    <t xml:space="preserve">Компания получает эту цену и платит рыночную.</t>
  </si>
  <si>
    <t xml:space="preserve">Страйк пута  (нижняя граница коллара и купленные путы)</t>
  </si>
  <si>
    <t xml:space="preserve">Нижняя граница.</t>
  </si>
  <si>
    <t xml:space="preserve">Страйк колла  (верхняя граница коллара)</t>
  </si>
  <si>
    <t xml:space="preserve">Подобран так, чтобы проданный колл оплачивал купленный пут: коллар заранее ничего не стоит.</t>
  </si>
  <si>
    <t xml:space="preserve">Премия за пут</t>
  </si>
  <si>
    <t xml:space="preserve">Котировка банка на путы со страйком 62, примерно на 10% выше их справедливой стоимости.</t>
  </si>
  <si>
    <t xml:space="preserve">4   Бюджет</t>
  </si>
  <si>
    <t xml:space="preserve">Выручка, которую компания обещала кредиторам.</t>
  </si>
  <si>
    <t xml:space="preserve">Бюджетная цена нефти</t>
  </si>
  <si>
    <t xml:space="preserve">Консервативная плановая цена.</t>
  </si>
  <si>
    <t xml:space="preserve">Бюджетный коэффициент эксплуатации</t>
  </si>
  <si>
    <t xml:space="preserve">Расчетное</t>
  </si>
  <si>
    <t xml:space="preserve">Наиболее вероятный коэффициент эксплуатации выше.</t>
  </si>
  <si>
    <t xml:space="preserve">ХЕДЖИ   ·   24 месяца: траектория цены, объемы, физическая выручка и выплата по каждому хеджу (млн долл.).</t>
  </si>
  <si>
    <t xml:space="preserve">◂  Исходные данные</t>
  </si>
  <si>
    <t xml:space="preserve">Далее:  Результаты  ▸</t>
  </si>
  <si>
    <t xml:space="preserve">Месяц</t>
  </si>
  <si>
    <t xml:space="preserve">Итого</t>
  </si>
  <si>
    <t xml:space="preserve">Начало</t>
  </si>
  <si>
    <t xml:space="preserve">Начало месяца</t>
  </si>
  <si>
    <t xml:space="preserve">1   Единичные значения этой итерации</t>
  </si>
  <si>
    <t xml:space="preserve">Разыгрывается один раз за итерацию.</t>
  </si>
  <si>
    <t xml:space="preserve">Величина</t>
  </si>
  <si>
    <t xml:space="preserve">Значение</t>
  </si>
  <si>
    <t xml:space="preserve">Как рассчитывается</t>
  </si>
  <si>
    <t xml:space="preserve">Первый хеджируемый месяц</t>
  </si>
  <si>
    <t xml:space="preserve">дата</t>
  </si>
  <si>
    <t xml:space="preserve">Январь первого хеджируемого года (лист «Исходные данные»)</t>
  </si>
  <si>
    <t xml:space="preserve">Хеджируемых месяцев</t>
  </si>
  <si>
    <t xml:space="preserve">Считается по столбцам месяцев ниже</t>
  </si>
  <si>
    <t xml:space="preserve">Крупная авария за два года?  (1 — да)</t>
  </si>
  <si>
    <t>1 / 0</t>
  </si>
  <si>
    <t xml:space="preserve">Бернулли с вероятностью с листа «Исходные данные»</t>
  </si>
  <si>
    <t xml:space="preserve">Авария начинается в месяце</t>
  </si>
  <si>
    <t xml:space="preserve">месяц</t>
  </si>
  <si>
    <t xml:space="preserve">Равновероятно любой месяц, в который помещается вся остановка</t>
  </si>
  <si>
    <t xml:space="preserve">Месячная волатильность</t>
  </si>
  <si>
    <t xml:space="preserve">Годовая волатильность ÷ √12</t>
  </si>
  <si>
    <t xml:space="preserve">Месячный снос логарифма цены</t>
  </si>
  <si>
    <t xml:space="preserve">−σ²/2: сохраняет ожидаемую цену равной форвардной</t>
  </si>
  <si>
    <t xml:space="preserve">Плановая выручка по форвардной цене</t>
  </si>
  <si>
    <t xml:space="preserve">млн долл.</t>
  </si>
  <si>
    <t xml:space="preserve">База для недостачи: плановый объем × форвардная цена</t>
  </si>
  <si>
    <t xml:space="preserve">Бюджетная выручка</t>
  </si>
  <si>
    <t xml:space="preserve">Бюджетная цена × плановый объем × бюджетный коэффициент эксплуатации</t>
  </si>
  <si>
    <t xml:space="preserve">2   Цена, объем и физическая выручка</t>
  </si>
  <si>
    <t xml:space="preserve">Цена: VoseTimeGBM на 24 месяца. Объем: план × коэффициент эксплуатации, ноль во время аварии.</t>
  </si>
  <si>
    <t xml:space="preserve">Цена нефти</t>
  </si>
  <si>
    <t xml:space="preserve">Коэффициент эксплуатации</t>
  </si>
  <si>
    <t xml:space="preserve">Авария  (1 — да)</t>
  </si>
  <si>
    <t xml:space="preserve">тыс. барр.</t>
  </si>
  <si>
    <t xml:space="preserve">Физическая выручка</t>
  </si>
  <si>
    <t xml:space="preserve">3   Выплаты по хеджам</t>
  </si>
  <si>
    <t xml:space="preserve">Платятся на хеджируемый объем (коэффициент хеджирования × плановый объем) независимо от фактической добычи. Положительное значение — получено.</t>
  </si>
  <si>
    <t xml:space="preserve">Хеджируемый объем</t>
  </si>
  <si>
    <t xml:space="preserve">Своп</t>
  </si>
  <si>
    <t xml:space="preserve">Беззатратный коллар  (купленный пут, проданный колл)</t>
  </si>
  <si>
    <t xml:space="preserve">Купленные путы после премии</t>
  </si>
  <si>
    <t xml:space="preserve">4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</si>
  <si>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</si>
  <si>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</si>
  <si>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</si>
  <si>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Выручка за 24 месяца: без хеджирования</t>
  </si>
  <si>
    <t xml:space="preserve">Физическая выручка плюс выплата по хеджу: итоги разделов 2 и 3.</t>
  </si>
  <si>
    <t xml:space="preserve">Выручка за 24 месяца: своп</t>
  </si>
  <si>
    <t xml:space="preserve">Выручка за 24 месяца: беззатратный коллар</t>
  </si>
  <si>
    <t xml:space="preserve">Выручка за 24 месяца: купленные путы</t>
  </si>
  <si>
    <t xml:space="preserve">Недостача к плану: без хеджирования</t>
  </si>
  <si>
    <t xml:space="preserve">Плановая выручка минус выручка: величина потерь для CVaR.</t>
  </si>
  <si>
    <t xml:space="preserve">Недостача к плану: своп</t>
  </si>
  <si>
    <t xml:space="preserve">Недостача к плану: беззатратный коллар</t>
  </si>
  <si>
    <t xml:space="preserve">Недостача к плану: купленные путы</t>
  </si>
  <si>
    <t xml:space="preserve">Выплата по хеджу: своп</t>
  </si>
  <si>
    <t xml:space="preserve">Ее среднее по моделированию — то, сколько хедж в среднем приносит или стоит.</t>
  </si>
  <si>
    <t xml:space="preserve">Выплата по хеджу: коллар</t>
  </si>
  <si>
    <t xml:space="preserve">Выплата по хеджу: путы после премии</t>
  </si>
  <si>
    <t xml:space="preserve">Средняя цена за 24 месяца</t>
  </si>
  <si>
    <t xml:space="preserve">5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</si>
  <si>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</si>
  <si>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Страйк пута ниже страйка колла</t>
  </si>
  <si>
    <t xml:space="preserve">Хеджируемый объем в пределах планового</t>
  </si>
  <si>
    <t xml:space="preserve">У каждого месяца есть цена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</si>
  <si>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</si>
  <si>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Хеджи</t>
  </si>
  <si>
    <t xml:space="preserve">1   Какая стратегия?</t>
  </si>
  <si>
    <t xml:space="preserve">Выручка за 24 месяца — накопленная вероятность</t>
  </si>
  <si>
    <t xml:space="preserve">Выручка за 24 месяца при каждой стратегии на одних и тех же смоделированных ценах и объемах (млн долл.).</t>
  </si>
  <si>
    <t xml:space="preserve">Стратегия</t>
  </si>
  <si>
    <t xml:space="preserve">5-й проц.</t>
  </si>
  <si>
    <t xml:space="preserve">95-й проц.</t>
  </si>
  <si>
    <t xml:space="preserve">Худшие 5%</t>
  </si>
  <si>
    <t xml:space="preserve">Ниже бюджета</t>
  </si>
  <si>
    <t xml:space="preserve">среднее</t>
  </si>
  <si>
    <t xml:space="preserve">вероятность</t>
  </si>
  <si>
    <t xml:space="preserve">Без хеджирования</t>
  </si>
  <si>
    <t xml:space="preserve">Беззатратный коллар</t>
  </si>
  <si>
    <t xml:space="preserve">Купленные путы</t>
  </si>
  <si>
    <t xml:space="preserve">Худшие 5%: средняя выручка в худших 5% исходов (плановая выручка минус VoseSimCVARp недостачи).</t>
  </si>
  <si>
    <t xml:space="preserve">Показатель</t>
  </si>
  <si>
    <t xml:space="preserve">Бюджетная выручка  (лист «Исходные данные»)</t>
  </si>
  <si>
    <t xml:space="preserve">2   Сколько стоит защита</t>
  </si>
  <si>
    <t xml:space="preserve">Средняя выплата по каждому хеджу: сколько он в среднем приносит или стоит по всем смоделированным сценариям.</t>
  </si>
  <si>
    <t xml:space="preserve">Премия, уплаченная за путы</t>
  </si>
  <si>
    <t xml:space="preserve">Средняя цена за 24 месяца</t>
  </si>
  <si>
    <t xml:space="preserve">3   Как читать результаты</t>
  </si>
  <si>
    <t xml:space="preserve">•  Своп сильнее всего сужает диапазон: поднимает плохие исходы, отказывается от хороших и вдвое снижает вероятность не выполнить бюджет. В среднем он ничего не стоит, потому что цена свопа равна форвардной цене.</t>
  </si>
  <si>
    <t xml:space="preserve">•  Купленные путы сохраняют почти всю выгоду роста и срезают худшие исходы, но премия платится в каждом сценарии: их средняя выплата слегка отрицательна (маржа банка), а поскольку премия платится и при умеренных ценах, путы немного повышают вероятность не выполнить бюджет.</t>
  </si>
  <si>
    <t xml:space="preserve">•  Беззатратный коллар находится посередине: проданный колл оплачивает пут, поэтому заранее он ничего не стоит, но отдает выгоду роста выше страйка колла.</t>
  </si>
  <si>
    <t xml:space="preserve">•  Ни одна стратегия сильно не меняет ожидаемую выручку; хеджирование меняет форму диапазона, а не его центр. Выбор зависит от того, какие исходы компания не может себе позволить: именно это измеряют худшие 5% и вероятность не выполнить бюджет.</t>
  </si>
  <si>
    <t xml:space="preserve">•  Хеджи платят на плановый объем. Если авария останавливает добычу, хедж у компании остается: по свопу она платит, когда цены растут, за нефть, которой у нее нет. Коэффициент хеджирования ниже ожидаемого коэффициента эксплуатации ограничивает этот риск.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</si>
  <si>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</si>
  <si>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</si>
  <si>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</si>
  <si>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</si>
  <si>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Rev_U</t>
  </si>
  <si>
    <t>Rev_S</t>
  </si>
  <si>
    <t>Rev_C</t>
  </si>
  <si>
    <t>Rev_P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</si>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</sst>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);\(#,##0\);&quot;–&quot;_)"/>
    <numFmt numFmtId="165" formatCode="#,##0.00_);\(#,##0.00\);&quot;–&quot;_)"/>
    <numFmt numFmtId="166" formatCode="mmm\ yy"/>
    <numFmt numFmtId="167" formatCode="mmm\ yyyy"/>
    <numFmt numFmtId="168" formatCode="0.000%"/>
    <numFmt numFmtId="169" formatCode="#,##0.0_);\(#,##0.0\);&quot;–&quot;_)"/>
    <numFmt numFmtId="170" formatCode="#,##0.0_);\(#,##0.0\);&quot;–&quot;_);&quot;–&quot;"/>
    <numFmt numFmtId="171" formatCode="0.0%;\-0.0%;0.0%;&quot;–&quot;"/>
    <numFmt numFmtId="172" formatCode="#,##0.00_);\(#,##0.00\);&quot;–&quot;_);&quot;–&quot;"/>
  </numFmts>
  <fonts count="26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9"/>
      <color rgb="FF8B8E95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b/>
      <sz val="10"/>
      <color rgb="FF15803D"/>
      <name val="Calibri"/>
    </font>
    <font>
      <sz val="8"/>
      <color rgb="FF55585F"/>
      <name val="Calibri"/>
    </font>
    <font>
      <sz val="10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7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0" fontId="19" fillId="0" borderId="6" xfId="0" applyFont="1" applyBorder="1" applyAlignment="1">
      <alignment horizontal="center" vertical="center"/>
    </xf>
    <xf numFmtId="9" fontId="1" fillId="2" borderId="7" xfId="1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1" fillId="7" borderId="0" xfId="0" applyFont="1" applyFill="1" applyAlignment="1">
      <alignment horizontal="right" vertical="center"/>
    </xf>
    <xf numFmtId="1" fontId="20" fillId="7" borderId="0" xfId="0" applyNumberFormat="1" applyFont="1" applyFill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166" fontId="18" fillId="7" borderId="4" xfId="0" applyNumberFormat="1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right" vertical="center"/>
    </xf>
    <xf numFmtId="167" fontId="3" fillId="0" borderId="8" xfId="3" applyNumberFormat="1" applyBorder="1">
      <alignment horizontal="right" vertical="center"/>
    </xf>
    <xf numFmtId="1" fontId="3" fillId="0" borderId="8" xfId="3" applyNumberFormat="1" applyBorder="1">
      <alignment horizontal="right" vertical="center"/>
    </xf>
    <xf numFmtId="1" fontId="2" fillId="3" borderId="7" xfId="2" applyNumberFormat="1" applyBorder="1">
      <alignment horizontal="right" vertical="center"/>
    </xf>
    <xf numFmtId="10" fontId="3" fillId="0" borderId="8" xfId="3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169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9" fontId="2" fillId="3" borderId="7" xfId="2" applyNumberFormat="1" applyBorder="1">
      <alignment horizontal="right" vertical="center"/>
    </xf>
    <xf numFmtId="169" fontId="12" fillId="0" borderId="8" xfId="3" applyNumberFormat="1" applyFon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5" fontId="12" fillId="0" borderId="8" xfId="3" applyNumberFormat="1" applyFon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9" fontId="4" fillId="4" borderId="9" xfId="4" applyNumberFormat="1" applyBorder="1">
      <alignment horizontal="right" vertical="center"/>
    </xf>
    <xf numFmtId="165" fontId="4" fillId="4" borderId="9" xfId="4" applyNumberFormat="1" applyBorder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5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23" fillId="7" borderId="4" xfId="0" applyFont="1" applyFill="1" applyBorder="1" applyAlignment="1">
      <alignment horizontal="right" vertical="center"/>
    </xf>
    <xf numFmtId="170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0" fontId="13" fillId="0" borderId="0" xfId="0" applyFont="1" applyAlignment="1">
      <alignment horizontal="left" vertical="center" indent="1"/>
    </xf>
    <xf numFmtId="0" fontId="24" fillId="0" borderId="6" xfId="0" applyFont="1" applyBorder="1" applyAlignment="1">
      <alignment horizontal="left" vertical="center" indent="1"/>
    </xf>
    <xf numFmtId="172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Без хеджирования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'Результаты'!$D$42:$D$91</c:f>
              <c:numCache>
                <c:formatCode>#,##0.00</c:formatCode>
                <c:ptCount val="50"/>
                <c:pt idx="0">
                  <c:v>135.76718418531129</c:v>
                </c:pt>
                <c:pt idx="1">
                  <c:v>150.44094874340982</c:v>
                </c:pt>
                <c:pt idx="2">
                  <c:v>159.17778838416689</c:v>
                </c:pt>
                <c:pt idx="3">
                  <c:v>165.99142879668463</c:v>
                </c:pt>
                <c:pt idx="4">
                  <c:v>171.5388708618035</c:v>
                </c:pt>
                <c:pt idx="5">
                  <c:v>176.44063977452851</c:v>
                </c:pt>
                <c:pt idx="6">
                  <c:v>180.51447985595189</c:v>
                </c:pt>
                <c:pt idx="7">
                  <c:v>184.57158726193475</c:v>
                </c:pt>
                <c:pt idx="8">
                  <c:v>187.97488682260536</c:v>
                </c:pt>
                <c:pt idx="9">
                  <c:v>191.10528440704715</c:v>
                </c:pt>
                <c:pt idx="10">
                  <c:v>194.38374208172738</c:v>
                </c:pt>
                <c:pt idx="11">
                  <c:v>197.61474840311101</c:v>
                </c:pt>
                <c:pt idx="12">
                  <c:v>200.87060564926475</c:v>
                </c:pt>
                <c:pt idx="13">
                  <c:v>204.11335808595348</c:v>
                </c:pt>
                <c:pt idx="14">
                  <c:v>206.91684242696843</c:v>
                </c:pt>
                <c:pt idx="15">
                  <c:v>209.98860399844583</c:v>
                </c:pt>
                <c:pt idx="16">
                  <c:v>213.00337728850383</c:v>
                </c:pt>
                <c:pt idx="17">
                  <c:v>215.90145093648005</c:v>
                </c:pt>
                <c:pt idx="18">
                  <c:v>218.90655479429878</c:v>
                </c:pt>
                <c:pt idx="19">
                  <c:v>221.91925461169447</c:v>
                </c:pt>
                <c:pt idx="20">
                  <c:v>225.03982621193748</c:v>
                </c:pt>
                <c:pt idx="21">
                  <c:v>227.93919141601813</c:v>
                </c:pt>
                <c:pt idx="22">
                  <c:v>231.0110080531833</c:v>
                </c:pt>
                <c:pt idx="23">
                  <c:v>234.09066869395934</c:v>
                </c:pt>
                <c:pt idx="24">
                  <c:v>237.24685169150612</c:v>
                </c:pt>
                <c:pt idx="25">
                  <c:v>240.41364452023717</c:v>
                </c:pt>
                <c:pt idx="26">
                  <c:v>243.18186385234219</c:v>
                </c:pt>
                <c:pt idx="27">
                  <c:v>246.20865272142143</c:v>
                </c:pt>
                <c:pt idx="28">
                  <c:v>249.49906483958125</c:v>
                </c:pt>
                <c:pt idx="29">
                  <c:v>252.24493075708813</c:v>
                </c:pt>
                <c:pt idx="30">
                  <c:v>255.19742946380541</c:v>
                </c:pt>
                <c:pt idx="31">
                  <c:v>258.60098942883707</c:v>
                </c:pt>
                <c:pt idx="32">
                  <c:v>262.34153136382957</c:v>
                </c:pt>
                <c:pt idx="33">
                  <c:v>265.79189048475666</c:v>
                </c:pt>
                <c:pt idx="34">
                  <c:v>269.53997255250397</c:v>
                </c:pt>
                <c:pt idx="35">
                  <c:v>273.07823642053575</c:v>
                </c:pt>
                <c:pt idx="36">
                  <c:v>277.02172801917646</c:v>
                </c:pt>
                <c:pt idx="37">
                  <c:v>281.00984029116654</c:v>
                </c:pt>
                <c:pt idx="38">
                  <c:v>285.95272692917672</c:v>
                </c:pt>
                <c:pt idx="39">
                  <c:v>290.85723620912466</c:v>
                </c:pt>
                <c:pt idx="40">
                  <c:v>296.7059607237191</c:v>
                </c:pt>
                <c:pt idx="41">
                  <c:v>302.67869166578413</c:v>
                </c:pt>
                <c:pt idx="42">
                  <c:v>308.52364360301817</c:v>
                </c:pt>
                <c:pt idx="43">
                  <c:v>315.55332080259359</c:v>
                </c:pt>
                <c:pt idx="44">
                  <c:v>323.84172052187301</c:v>
                </c:pt>
                <c:pt idx="45">
                  <c:v>333.17215072816475</c:v>
                </c:pt>
                <c:pt idx="46">
                  <c:v>345.48670616574702</c:v>
                </c:pt>
                <c:pt idx="47">
                  <c:v>361.7304469403565</c:v>
                </c:pt>
                <c:pt idx="48">
                  <c:v>387.26919764123124</c:v>
                </c:pt>
                <c:pt idx="49">
                  <c:v>433.39839434866172</c:v>
                </c:pt>
              </c:numCache>
            </c:numRef>
          </c:xVal>
          <c:yVal>
            <c:numRef>
              <c:f>'Результаты'!$B$42:$B$91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392-48C6-B0AB-045ECABEB0A0}"/>
            </c:ext>
          </c:extLst>
        </c:ser>
        <c:ser>
          <c:idx val="1"/>
          <c:order val="1"/>
          <c:tx>
            <c:v>Своп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'Результаты'!$E$42:$E$91</c:f>
              <c:numCache>
                <c:formatCode>#,##0.00</c:formatCode>
                <c:ptCount val="50"/>
                <c:pt idx="0">
                  <c:v>200.94352926979411</c:v>
                </c:pt>
                <c:pt idx="1">
                  <c:v>208.03974966180112</c:v>
                </c:pt>
                <c:pt idx="2">
                  <c:v>211.9655195427444</c:v>
                </c:pt>
                <c:pt idx="3">
                  <c:v>214.82646591516948</c:v>
                </c:pt>
                <c:pt idx="4">
                  <c:v>217.29232053993445</c:v>
                </c:pt>
                <c:pt idx="5">
                  <c:v>219.37547052143333</c:v>
                </c:pt>
                <c:pt idx="6">
                  <c:v>221.0472464575879</c:v>
                </c:pt>
                <c:pt idx="7">
                  <c:v>222.67226284439943</c:v>
                </c:pt>
                <c:pt idx="8">
                  <c:v>224.09853327611776</c:v>
                </c:pt>
                <c:pt idx="9">
                  <c:v>225.52456205058854</c:v>
                </c:pt>
                <c:pt idx="10">
                  <c:v>226.62875432163554</c:v>
                </c:pt>
                <c:pt idx="11">
                  <c:v>227.84493661680852</c:v>
                </c:pt>
                <c:pt idx="12">
                  <c:v>229.14887233429715</c:v>
                </c:pt>
                <c:pt idx="13">
                  <c:v>230.26884216700068</c:v>
                </c:pt>
                <c:pt idx="14">
                  <c:v>231.43761316142562</c:v>
                </c:pt>
                <c:pt idx="15">
                  <c:v>232.61284987049527</c:v>
                </c:pt>
                <c:pt idx="16">
                  <c:v>233.72398677011557</c:v>
                </c:pt>
                <c:pt idx="17">
                  <c:v>234.82141674072847</c:v>
                </c:pt>
                <c:pt idx="18">
                  <c:v>236.08680878425054</c:v>
                </c:pt>
                <c:pt idx="19">
                  <c:v>237.2045284977566</c:v>
                </c:pt>
                <c:pt idx="20">
                  <c:v>238.3544480551534</c:v>
                </c:pt>
                <c:pt idx="21">
                  <c:v>239.59337682366123</c:v>
                </c:pt>
                <c:pt idx="22">
                  <c:v>240.723201551648</c:v>
                </c:pt>
                <c:pt idx="23">
                  <c:v>241.82341260988568</c:v>
                </c:pt>
                <c:pt idx="24">
                  <c:v>243.04569055915985</c:v>
                </c:pt>
                <c:pt idx="25">
                  <c:v>244.26923407161431</c:v>
                </c:pt>
                <c:pt idx="26">
                  <c:v>245.38196972694723</c:v>
                </c:pt>
                <c:pt idx="27">
                  <c:v>246.44987882443351</c:v>
                </c:pt>
                <c:pt idx="28">
                  <c:v>247.52403224128759</c:v>
                </c:pt>
                <c:pt idx="29">
                  <c:v>248.73508464682249</c:v>
                </c:pt>
                <c:pt idx="30">
                  <c:v>249.95538117101492</c:v>
                </c:pt>
                <c:pt idx="31">
                  <c:v>251.0635534919621</c:v>
                </c:pt>
                <c:pt idx="32">
                  <c:v>252.52666343458972</c:v>
                </c:pt>
                <c:pt idx="33">
                  <c:v>253.9544959132169</c:v>
                </c:pt>
                <c:pt idx="34">
                  <c:v>255.34030386094429</c:v>
                </c:pt>
                <c:pt idx="35">
                  <c:v>256.60181886469479</c:v>
                </c:pt>
                <c:pt idx="36">
                  <c:v>257.91326444322067</c:v>
                </c:pt>
                <c:pt idx="37">
                  <c:v>259.54892609969596</c:v>
                </c:pt>
                <c:pt idx="38">
                  <c:v>261.47498021037876</c:v>
                </c:pt>
                <c:pt idx="39">
                  <c:v>263.36529658977958</c:v>
                </c:pt>
                <c:pt idx="40">
                  <c:v>265.36257487523136</c:v>
                </c:pt>
                <c:pt idx="41">
                  <c:v>267.65988609574856</c:v>
                </c:pt>
                <c:pt idx="42">
                  <c:v>269.8491368453594</c:v>
                </c:pt>
                <c:pt idx="43">
                  <c:v>272.503587466635</c:v>
                </c:pt>
                <c:pt idx="44">
                  <c:v>275.51598378576449</c:v>
                </c:pt>
                <c:pt idx="45">
                  <c:v>279.37079128869038</c:v>
                </c:pt>
                <c:pt idx="46">
                  <c:v>283.86171541784796</c:v>
                </c:pt>
                <c:pt idx="47">
                  <c:v>289.99555447154648</c:v>
                </c:pt>
                <c:pt idx="48">
                  <c:v>299.12625169057964</c:v>
                </c:pt>
                <c:pt idx="49">
                  <c:v>317.11286223190291</c:v>
                </c:pt>
              </c:numCache>
            </c:numRef>
          </c:xVal>
          <c:yVal>
            <c:numRef>
              <c:f>'Результаты'!$B$42:$B$91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392-48C6-B0AB-045ECABEB0A0}"/>
            </c:ext>
          </c:extLst>
        </c:ser>
        <c:ser>
          <c:idx val="2"/>
          <c:order val="2"/>
          <c:tx>
            <c:v>Беззатратный коллар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'Результаты'!$F$42:$F$91</c:f>
              <c:numCache>
                <c:formatCode>#,##0.00</c:formatCode>
                <c:ptCount val="50"/>
                <c:pt idx="0">
                  <c:v>181.0433520635012</c:v>
                </c:pt>
                <c:pt idx="1">
                  <c:v>188.60192276579807</c:v>
                </c:pt>
                <c:pt idx="2">
                  <c:v>192.7098063048997</c:v>
                </c:pt>
                <c:pt idx="3">
                  <c:v>196.00773748806762</c:v>
                </c:pt>
                <c:pt idx="4">
                  <c:v>198.62299545212809</c:v>
                </c:pt>
                <c:pt idx="5">
                  <c:v>200.99035979409086</c:v>
                </c:pt>
                <c:pt idx="6">
                  <c:v>202.93277522640793</c:v>
                </c:pt>
                <c:pt idx="7">
                  <c:v>204.655249039105</c:v>
                </c:pt>
                <c:pt idx="8">
                  <c:v>206.40074113818221</c:v>
                </c:pt>
                <c:pt idx="9">
                  <c:v>208.2664989994795</c:v>
                </c:pt>
                <c:pt idx="10">
                  <c:v>209.89353728635484</c:v>
                </c:pt>
                <c:pt idx="11">
                  <c:v>211.63564478920358</c:v>
                </c:pt>
                <c:pt idx="12">
                  <c:v>213.48150254516963</c:v>
                </c:pt>
                <c:pt idx="13">
                  <c:v>215.27525914599289</c:v>
                </c:pt>
                <c:pt idx="14">
                  <c:v>217.05474167986173</c:v>
                </c:pt>
                <c:pt idx="15">
                  <c:v>218.85357812372655</c:v>
                </c:pt>
                <c:pt idx="16">
                  <c:v>220.95630713721152</c:v>
                </c:pt>
                <c:pt idx="17">
                  <c:v>223.04887148106405</c:v>
                </c:pt>
                <c:pt idx="18">
                  <c:v>225.20736046230797</c:v>
                </c:pt>
                <c:pt idx="19">
                  <c:v>227.4100721634029</c:v>
                </c:pt>
                <c:pt idx="20">
                  <c:v>229.65672676396233</c:v>
                </c:pt>
                <c:pt idx="21">
                  <c:v>232.17538254880265</c:v>
                </c:pt>
                <c:pt idx="22">
                  <c:v>234.47914262960953</c:v>
                </c:pt>
                <c:pt idx="23">
                  <c:v>237.09626990300043</c:v>
                </c:pt>
                <c:pt idx="24">
                  <c:v>239.77257679491714</c:v>
                </c:pt>
                <c:pt idx="25">
                  <c:v>242.30499682943636</c:v>
                </c:pt>
                <c:pt idx="26">
                  <c:v>244.48172729777536</c:v>
                </c:pt>
                <c:pt idx="27">
                  <c:v>246.99495791757266</c:v>
                </c:pt>
                <c:pt idx="28">
                  <c:v>249.58431941443877</c:v>
                </c:pt>
                <c:pt idx="29">
                  <c:v>251.99894343285703</c:v>
                </c:pt>
                <c:pt idx="30">
                  <c:v>254.64505611557857</c:v>
                </c:pt>
                <c:pt idx="31">
                  <c:v>257.43240736047437</c:v>
                </c:pt>
                <c:pt idx="32">
                  <c:v>260.41724517659463</c:v>
                </c:pt>
                <c:pt idx="33">
                  <c:v>263.09815539293891</c:v>
                </c:pt>
                <c:pt idx="34">
                  <c:v>265.96538504039853</c:v>
                </c:pt>
                <c:pt idx="35">
                  <c:v>268.90180889367821</c:v>
                </c:pt>
                <c:pt idx="36">
                  <c:v>272.08352995442505</c:v>
                </c:pt>
                <c:pt idx="37">
                  <c:v>275.14226415545505</c:v>
                </c:pt>
                <c:pt idx="38">
                  <c:v>278.42770871867106</c:v>
                </c:pt>
                <c:pt idx="39">
                  <c:v>281.6564742862804</c:v>
                </c:pt>
                <c:pt idx="40">
                  <c:v>285.40805544475506</c:v>
                </c:pt>
                <c:pt idx="41">
                  <c:v>289.34910621193296</c:v>
                </c:pt>
                <c:pt idx="42">
                  <c:v>293.02131875886386</c:v>
                </c:pt>
                <c:pt idx="43">
                  <c:v>296.70110372021446</c:v>
                </c:pt>
                <c:pt idx="44">
                  <c:v>301.1207279195724</c:v>
                </c:pt>
                <c:pt idx="45">
                  <c:v>306.14688610344268</c:v>
                </c:pt>
                <c:pt idx="46">
                  <c:v>311.35880760909538</c:v>
                </c:pt>
                <c:pt idx="47">
                  <c:v>318.28696431692862</c:v>
                </c:pt>
                <c:pt idx="48">
                  <c:v>328.41986556893721</c:v>
                </c:pt>
                <c:pt idx="49">
                  <c:v>346.56109534238459</c:v>
                </c:pt>
              </c:numCache>
            </c:numRef>
          </c:xVal>
          <c:yVal>
            <c:numRef>
              <c:f>'Результаты'!$B$42:$B$91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392-48C6-B0AB-045ECABEB0A0}"/>
            </c:ext>
          </c:extLst>
        </c:ser>
        <c:ser>
          <c:idx val="3"/>
          <c:order val="3"/>
          <c:tx>
            <c:v>Купленные путы</c:v>
          </c:tx>
          <c:spPr>
            <a:ln w="25400">
              <a:solidFill>
                <a:srgbClr val="E85F2E"/>
              </a:solidFill>
              <a:prstDash val="solid"/>
            </a:ln>
          </c:spPr>
          <c:marker>
            <c:symbol val="none"/>
          </c:marker>
          <c:xVal>
            <c:numRef>
              <c:f>'Результаты'!$G$42:$G$91</c:f>
              <c:numCache>
                <c:formatCode>#,##0.00</c:formatCode>
                <c:ptCount val="50"/>
                <c:pt idx="0">
                  <c:v>171.8633520635012</c:v>
                </c:pt>
                <c:pt idx="1">
                  <c:v>179.42192276579806</c:v>
                </c:pt>
                <c:pt idx="2">
                  <c:v>183.52980630489969</c:v>
                </c:pt>
                <c:pt idx="3">
                  <c:v>186.82773748806761</c:v>
                </c:pt>
                <c:pt idx="4">
                  <c:v>189.45115195146212</c:v>
                </c:pt>
                <c:pt idx="5">
                  <c:v>191.81035979409089</c:v>
                </c:pt>
                <c:pt idx="6">
                  <c:v>193.75468796705783</c:v>
                </c:pt>
                <c:pt idx="7">
                  <c:v>195.48064183565756</c:v>
                </c:pt>
                <c:pt idx="8">
                  <c:v>197.25175506676197</c:v>
                </c:pt>
                <c:pt idx="9">
                  <c:v>199.10694960241315</c:v>
                </c:pt>
                <c:pt idx="10">
                  <c:v>200.72513718629901</c:v>
                </c:pt>
                <c:pt idx="11">
                  <c:v>202.48431827544024</c:v>
                </c:pt>
                <c:pt idx="12">
                  <c:v>204.32097295941207</c:v>
                </c:pt>
                <c:pt idx="13">
                  <c:v>206.15847942955415</c:v>
                </c:pt>
                <c:pt idx="14">
                  <c:v>207.89209363011693</c:v>
                </c:pt>
                <c:pt idx="15">
                  <c:v>209.82148555751874</c:v>
                </c:pt>
                <c:pt idx="16">
                  <c:v>211.85202374589841</c:v>
                </c:pt>
                <c:pt idx="17">
                  <c:v>213.98413179585469</c:v>
                </c:pt>
                <c:pt idx="18">
                  <c:v>216.17283121564628</c:v>
                </c:pt>
                <c:pt idx="19">
                  <c:v>218.41773378722462</c:v>
                </c:pt>
                <c:pt idx="20">
                  <c:v>220.71232713208485</c:v>
                </c:pt>
                <c:pt idx="21">
                  <c:v>223.21259324421422</c:v>
                </c:pt>
                <c:pt idx="22">
                  <c:v>225.6972837163205</c:v>
                </c:pt>
                <c:pt idx="23">
                  <c:v>228.35500565696523</c:v>
                </c:pt>
                <c:pt idx="24">
                  <c:v>231.04954507379071</c:v>
                </c:pt>
                <c:pt idx="25">
                  <c:v>233.66205100253276</c:v>
                </c:pt>
                <c:pt idx="26">
                  <c:v>236.19019400071895</c:v>
                </c:pt>
                <c:pt idx="27">
                  <c:v>238.76320856638989</c:v>
                </c:pt>
                <c:pt idx="28">
                  <c:v>241.68968590885513</c:v>
                </c:pt>
                <c:pt idx="29">
                  <c:v>244.28668181088238</c:v>
                </c:pt>
                <c:pt idx="30">
                  <c:v>247.36375135484846</c:v>
                </c:pt>
                <c:pt idx="31">
                  <c:v>250.50036634957345</c:v>
                </c:pt>
                <c:pt idx="32">
                  <c:v>253.87581841169447</c:v>
                </c:pt>
                <c:pt idx="33">
                  <c:v>257.2361026137628</c:v>
                </c:pt>
                <c:pt idx="34">
                  <c:v>260.77720252681422</c:v>
                </c:pt>
                <c:pt idx="35">
                  <c:v>264.32772052068663</c:v>
                </c:pt>
                <c:pt idx="36">
                  <c:v>268.18112975961338</c:v>
                </c:pt>
                <c:pt idx="37">
                  <c:v>272.08185102914325</c:v>
                </c:pt>
                <c:pt idx="38">
                  <c:v>276.92060229816218</c:v>
                </c:pt>
                <c:pt idx="39">
                  <c:v>281.72371816574616</c:v>
                </c:pt>
                <c:pt idx="40">
                  <c:v>287.54418757517703</c:v>
                </c:pt>
                <c:pt idx="41">
                  <c:v>293.51048270143741</c:v>
                </c:pt>
                <c:pt idx="42">
                  <c:v>299.41678121396893</c:v>
                </c:pt>
                <c:pt idx="43">
                  <c:v>306.7488877538388</c:v>
                </c:pt>
                <c:pt idx="44">
                  <c:v>314.77744362488556</c:v>
                </c:pt>
                <c:pt idx="45">
                  <c:v>323.99215072816475</c:v>
                </c:pt>
                <c:pt idx="46">
                  <c:v>336.30670616574702</c:v>
                </c:pt>
                <c:pt idx="47">
                  <c:v>352.55044694035649</c:v>
                </c:pt>
                <c:pt idx="48">
                  <c:v>378.08919764123124</c:v>
                </c:pt>
                <c:pt idx="49">
                  <c:v>424.21839434866172</c:v>
                </c:pt>
              </c:numCache>
            </c:numRef>
          </c:xVal>
          <c:yVal>
            <c:numRef>
              <c:f>'Результаты'!$B$42:$B$91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392-48C6-B0AB-045ECABEB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Выручка (млн долл.)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2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74" t="s">
        <v>20</v>
      </c>
      <c r="C16" s="73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52.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ht="26.25" x14ac:dyDescent="0.45">
      <c r="B57" s="9" t="s">
        <v>66</v>
      </c>
      <c r="C57" s="10" t="s">
        <v>67</v>
      </c>
    </row>
    <row r="58" spans="2:3" ht="26.25" x14ac:dyDescent="0.45">
      <c r="B58" s="9" t="s">
        <v>41</v>
      </c>
      <c r="C58" s="10" t="s">
        <v>68</v>
      </c>
    </row>
    <row r="59" spans="2:3" x14ac:dyDescent="0.45">
      <c r="B59" s="9" t="s">
        <v>69</v>
      </c>
      <c r="C59" s="10" t="s">
        <v>70</v>
      </c>
    </row>
    <row r="60" spans="2:3" x14ac:dyDescent="0.45">
      <c r="B60" s="9" t="s">
        <v>71</v>
      </c>
      <c r="C60" s="10" t="s">
        <v>72</v>
      </c>
    </row>
    <row r="61" spans="2:3" ht="12" customHeight="1" x14ac:dyDescent="0.45"/>
    <row r="62" spans="2:3" ht="22.05" customHeight="1" x14ac:dyDescent="0.5">
      <c r="B62" s="7" t="s">
        <v>73</v>
      </c>
      <c r="C62" s="8"/>
    </row>
    <row r="63" spans="2:3" x14ac:dyDescent="0.45">
      <c r="B63" s="20" t="s">
        <v>74</v>
      </c>
      <c r="C63" s="10" t="s">
        <v>75</v>
      </c>
    </row>
    <row r="64" spans="2:3" ht="26.25" x14ac:dyDescent="0.45">
      <c r="B64" s="20" t="s">
        <v>76</v>
      </c>
      <c r="C64" s="10" t="s">
        <v>77</v>
      </c>
    </row>
    <row r="65" spans="2:3" x14ac:dyDescent="0.45">
      <c r="B65" s="20" t="s">
        <v>78</v>
      </c>
      <c r="C65" s="10" t="s">
        <v>79</v>
      </c>
    </row>
    <row r="66" spans="2:3" ht="52.5" x14ac:dyDescent="0.45">
      <c r="B66" s="20" t="s">
        <v>80</v>
      </c>
      <c r="C66" s="10" t="s">
        <v>81</v>
      </c>
    </row>
    <row r="67" spans="2:3" ht="12" customHeight="1" x14ac:dyDescent="0.45"/>
    <row r="68" spans="2:3" ht="22.05" customHeight="1" x14ac:dyDescent="0.5">
      <c r="B68" s="7" t="s">
        <v>82</v>
      </c>
      <c r="C68" s="8"/>
    </row>
    <row r="69" spans="2:3" x14ac:dyDescent="0.45">
      <c r="B69" s="9" t="s">
        <v>83</v>
      </c>
      <c r="C69" s="10" t="s">
        <v>84</v>
      </c>
    </row>
    <row r="70" spans="2:3" x14ac:dyDescent="0.45">
      <c r="B70" s="9" t="s">
        <v>85</v>
      </c>
      <c r="C70" s="10" t="s">
        <v>86</v>
      </c>
    </row>
    <row r="71" spans="2:3" ht="16.05" customHeight="1" x14ac:dyDescent="0.45"/>
    <row r="72" spans="2:3" x14ac:dyDescent="0.45">
      <c r="B72" s="72" t="s">
        <v>87</v>
      </c>
      <c r="C72" s="73"/>
    </row>
  </sheetData>
  <mergeCells count="2">
    <mergeCell ref="B72:C72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Хеджи'!A1" display="Хеджи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7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88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89</v>
      </c>
      <c r="C4" s="5"/>
      <c r="D4" s="5"/>
      <c r="E4" s="5"/>
      <c r="F4" s="5"/>
      <c r="G4" s="5"/>
      <c r="H4" s="5"/>
      <c r="I4" s="5"/>
      <c r="J4" s="6" t="s">
        <v>90</v>
      </c>
    </row>
    <row r="5" spans="1:10" ht="8" customHeight="1" x14ac:dyDescent="0.45"/>
    <row r="6" spans="1:10" ht="20" customHeight="1" x14ac:dyDescent="0.45">
      <c r="B6" s="75" t="s">
        <v>91</v>
      </c>
      <c r="C6" s="73"/>
      <c r="D6" s="73"/>
      <c r="E6" s="73"/>
      <c r="F6" s="73"/>
      <c r="G6" s="73"/>
      <c r="H6" s="73"/>
      <c r="I6" s="73"/>
      <c r="J6" s="73"/>
    </row>
    <row r="7" spans="1:10" ht="6" customHeight="1" x14ac:dyDescent="0.45"/>
    <row r="8" spans="1:10" ht="22.05" customHeight="1" x14ac:dyDescent="0.5">
      <c r="B8" s="7" t="s">
        <v>92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93</v>
      </c>
    </row>
    <row r="10" spans="1:10" ht="18" customHeight="1" x14ac:dyDescent="0.45">
      <c r="B10" s="23" t="s">
        <v>94</v>
      </c>
      <c r="C10" s="23" t="s">
        <v>95</v>
      </c>
      <c r="D10" s="24" t="s">
        <v>96</v>
      </c>
      <c r="E10" s="23" t="s">
        <v>97</v>
      </c>
      <c r="F10" s="24" t="s">
        <v>98</v>
      </c>
      <c r="G10" s="24" t="s">
        <v>99</v>
      </c>
      <c r="H10" s="24" t="s">
        <v>100</v>
      </c>
      <c r="I10" s="24" t="s">
        <v>101</v>
      </c>
      <c r="J10" s="23" t="s">
        <v>102</v>
      </c>
    </row>
    <row r="11" spans="1:10" x14ac:dyDescent="0.45">
      <c r="B11" s="25" t="s">
        <v>103</v>
      </c>
      <c r="C11" s="26" t="s">
        <v>104</v>
      </c>
      <c r="D11" s="27">
        <v>150</v>
      </c>
      <c r="E11" s="26" t="s">
        <v>105</v>
      </c>
      <c r="F11" s="28"/>
      <c r="G11" s="28"/>
      <c r="H11" s="28"/>
      <c r="I11" s="28"/>
      <c r="J11" s="29" t="s">
        <v>106</v>
      </c>
    </row>
    <row r="12" spans="1:10" ht="23.25" x14ac:dyDescent="0.45">
      <c r="B12" s="25" t="s">
        <v>107</v>
      </c>
      <c r="C12" s="26" t="s">
        <v>108</v>
      </c>
      <c r="D12" s="30" t="s">
        <v>109</v>
      </c>
      <c r="E12" s="26" t="s">
        <v>110</v>
      </c>
      <c r="F12" s="31">
        <v>0.85</v>
      </c>
      <c r="G12" s="31">
        <v>0.97</v>
      </c>
      <c r="H12" s="31">
        <v>1</v>
      </c>
      <c r="I12" s="32" cm="1">
        <f t="array" ref="I12">IF(AND(F12&lt;=G12,G12&lt;=H12,F12&lt;H12,F12&gt;=0,H12&lt;=1),_xll.VoseMean(_xll.VosePERTObject(F12,G12,H12)),"✗ диапазон")</f>
        <v>0.95499999999999996</v>
      </c>
      <c r="J12" s="29" t="s">
        <v>111</v>
      </c>
    </row>
    <row r="13" spans="1:10" x14ac:dyDescent="0.45">
      <c r="B13" s="25" t="s">
        <v>112</v>
      </c>
      <c r="C13" s="26" t="s">
        <v>113</v>
      </c>
      <c r="D13" s="31">
        <v>0.05</v>
      </c>
      <c r="E13" s="26" t="s">
        <v>105</v>
      </c>
      <c r="F13" s="28"/>
      <c r="G13" s="28"/>
      <c r="H13" s="28"/>
      <c r="I13" s="28"/>
      <c r="J13" s="29" t="s">
        <v>114</v>
      </c>
    </row>
    <row r="14" spans="1:10" x14ac:dyDescent="0.45">
      <c r="B14" s="25" t="s">
        <v>115</v>
      </c>
      <c r="C14" s="26" t="s">
        <v>116</v>
      </c>
      <c r="D14" s="33">
        <v>3</v>
      </c>
      <c r="E14" s="26" t="s">
        <v>105</v>
      </c>
      <c r="F14" s="28"/>
      <c r="G14" s="28"/>
      <c r="H14" s="28"/>
      <c r="I14" s="28"/>
      <c r="J14" s="29" t="s">
        <v>117</v>
      </c>
    </row>
    <row r="15" spans="1:10" ht="8" customHeight="1" x14ac:dyDescent="0.45"/>
    <row r="16" spans="1:10" ht="22.05" customHeight="1" x14ac:dyDescent="0.5">
      <c r="B16" s="7" t="s">
        <v>118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119</v>
      </c>
    </row>
    <row r="18" spans="2:10" ht="18" customHeight="1" x14ac:dyDescent="0.45">
      <c r="B18" s="23" t="s">
        <v>94</v>
      </c>
      <c r="C18" s="23" t="s">
        <v>95</v>
      </c>
      <c r="D18" s="24" t="s">
        <v>96</v>
      </c>
      <c r="E18" s="23" t="s">
        <v>97</v>
      </c>
      <c r="F18" s="5"/>
      <c r="G18" s="5"/>
      <c r="H18" s="5"/>
      <c r="I18" s="5"/>
      <c r="J18" s="23" t="s">
        <v>102</v>
      </c>
    </row>
    <row r="19" spans="2:10" x14ac:dyDescent="0.45">
      <c r="B19" s="25" t="s">
        <v>120</v>
      </c>
      <c r="C19" s="26" t="s">
        <v>121</v>
      </c>
      <c r="D19" s="34">
        <v>72</v>
      </c>
      <c r="E19" s="26" t="s">
        <v>105</v>
      </c>
      <c r="F19" s="28"/>
      <c r="G19" s="28"/>
      <c r="H19" s="28"/>
      <c r="I19" s="28"/>
      <c r="J19" s="29" t="s">
        <v>122</v>
      </c>
    </row>
    <row r="20" spans="2:10" x14ac:dyDescent="0.45">
      <c r="B20" s="25" t="s">
        <v>123</v>
      </c>
      <c r="C20" s="26"/>
      <c r="D20" s="31">
        <v>0.3</v>
      </c>
      <c r="E20" s="26" t="s">
        <v>105</v>
      </c>
      <c r="F20" s="28"/>
      <c r="G20" s="28"/>
      <c r="H20" s="28"/>
      <c r="I20" s="28"/>
      <c r="J20" s="29" t="s">
        <v>124</v>
      </c>
    </row>
    <row r="21" spans="2:10" ht="8" customHeight="1" x14ac:dyDescent="0.45"/>
    <row r="22" spans="2:10" ht="22.05" customHeight="1" x14ac:dyDescent="0.5">
      <c r="B22" s="7" t="s">
        <v>125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126</v>
      </c>
    </row>
    <row r="24" spans="2:10" ht="18" customHeight="1" x14ac:dyDescent="0.45">
      <c r="B24" s="23" t="s">
        <v>94</v>
      </c>
      <c r="C24" s="23" t="s">
        <v>95</v>
      </c>
      <c r="D24" s="24" t="s">
        <v>96</v>
      </c>
      <c r="E24" s="23" t="s">
        <v>97</v>
      </c>
      <c r="F24" s="5"/>
      <c r="G24" s="5"/>
      <c r="H24" s="5"/>
      <c r="I24" s="5"/>
      <c r="J24" s="23" t="s">
        <v>102</v>
      </c>
    </row>
    <row r="25" spans="2:10" x14ac:dyDescent="0.45">
      <c r="B25" s="25" t="s">
        <v>127</v>
      </c>
      <c r="C25" s="26" t="s">
        <v>128</v>
      </c>
      <c r="D25" s="33">
        <v>2027</v>
      </c>
      <c r="E25" s="26" t="s">
        <v>105</v>
      </c>
      <c r="F25" s="28"/>
      <c r="G25" s="28"/>
      <c r="H25" s="28"/>
      <c r="I25" s="28"/>
      <c r="J25" s="29" t="s">
        <v>129</v>
      </c>
    </row>
    <row r="26" spans="2:10" x14ac:dyDescent="0.45">
      <c r="B26" s="25" t="s">
        <v>63</v>
      </c>
      <c r="C26" s="26" t="s">
        <v>130</v>
      </c>
      <c r="D26" s="31">
        <v>0.6</v>
      </c>
      <c r="E26" s="26" t="s">
        <v>105</v>
      </c>
      <c r="F26" s="28"/>
      <c r="G26" s="28"/>
      <c r="H26" s="28"/>
      <c r="I26" s="28"/>
      <c r="J26" s="29" t="s">
        <v>131</v>
      </c>
    </row>
    <row r="27" spans="2:10" x14ac:dyDescent="0.45">
      <c r="B27" s="25" t="s">
        <v>132</v>
      </c>
      <c r="C27" s="26" t="s">
        <v>121</v>
      </c>
      <c r="D27" s="34">
        <v>72</v>
      </c>
      <c r="E27" s="26" t="s">
        <v>105</v>
      </c>
      <c r="F27" s="28"/>
      <c r="G27" s="28"/>
      <c r="H27" s="28"/>
      <c r="I27" s="28"/>
      <c r="J27" s="29" t="s">
        <v>133</v>
      </c>
    </row>
    <row r="28" spans="2:10" x14ac:dyDescent="0.45">
      <c r="B28" s="25" t="s">
        <v>134</v>
      </c>
      <c r="C28" s="26" t="s">
        <v>121</v>
      </c>
      <c r="D28" s="34">
        <v>62</v>
      </c>
      <c r="E28" s="26" t="s">
        <v>105</v>
      </c>
      <c r="F28" s="28"/>
      <c r="G28" s="28"/>
      <c r="H28" s="28"/>
      <c r="I28" s="28"/>
      <c r="J28" s="29" t="s">
        <v>135</v>
      </c>
    </row>
    <row r="29" spans="2:10" x14ac:dyDescent="0.45">
      <c r="B29" s="25" t="s">
        <v>136</v>
      </c>
      <c r="C29" s="26" t="s">
        <v>121</v>
      </c>
      <c r="D29" s="34">
        <v>87</v>
      </c>
      <c r="E29" s="26" t="s">
        <v>105</v>
      </c>
      <c r="F29" s="28"/>
      <c r="G29" s="28"/>
      <c r="H29" s="28"/>
      <c r="I29" s="28"/>
      <c r="J29" s="29" t="s">
        <v>137</v>
      </c>
    </row>
    <row r="30" spans="2:10" x14ac:dyDescent="0.45">
      <c r="B30" s="25" t="s">
        <v>138</v>
      </c>
      <c r="C30" s="26" t="s">
        <v>121</v>
      </c>
      <c r="D30" s="34">
        <v>4.25</v>
      </c>
      <c r="E30" s="26" t="s">
        <v>105</v>
      </c>
      <c r="F30" s="28"/>
      <c r="G30" s="28"/>
      <c r="H30" s="28"/>
      <c r="I30" s="28"/>
      <c r="J30" s="29" t="s">
        <v>139</v>
      </c>
    </row>
    <row r="31" spans="2:10" ht="8" customHeight="1" x14ac:dyDescent="0.45"/>
    <row r="32" spans="2:10" ht="22.05" customHeight="1" x14ac:dyDescent="0.5">
      <c r="B32" s="7" t="s">
        <v>140</v>
      </c>
      <c r="C32" s="8"/>
      <c r="D32" s="8"/>
      <c r="E32" s="8"/>
      <c r="F32" s="8"/>
      <c r="G32" s="8"/>
      <c r="H32" s="8"/>
      <c r="I32" s="8"/>
      <c r="J32" s="8"/>
    </row>
    <row r="33" spans="2:10" ht="18" customHeight="1" x14ac:dyDescent="0.45">
      <c r="B33" s="13" t="s">
        <v>141</v>
      </c>
    </row>
    <row r="34" spans="2:10" ht="18" customHeight="1" x14ac:dyDescent="0.45">
      <c r="B34" s="23" t="s">
        <v>94</v>
      </c>
      <c r="C34" s="23" t="s">
        <v>95</v>
      </c>
      <c r="D34" s="24" t="s">
        <v>96</v>
      </c>
      <c r="E34" s="23" t="s">
        <v>97</v>
      </c>
      <c r="F34" s="5"/>
      <c r="G34" s="5"/>
      <c r="H34" s="5"/>
      <c r="I34" s="5"/>
      <c r="J34" s="23" t="s">
        <v>102</v>
      </c>
    </row>
    <row r="35" spans="2:10" x14ac:dyDescent="0.45">
      <c r="B35" s="25" t="s">
        <v>142</v>
      </c>
      <c r="C35" s="26" t="s">
        <v>121</v>
      </c>
      <c r="D35" s="34">
        <v>65</v>
      </c>
      <c r="E35" s="26" t="s">
        <v>105</v>
      </c>
      <c r="F35" s="28"/>
      <c r="G35" s="28"/>
      <c r="H35" s="28"/>
      <c r="I35" s="28"/>
      <c r="J35" s="29" t="s">
        <v>143</v>
      </c>
    </row>
    <row r="36" spans="2:10" x14ac:dyDescent="0.45">
      <c r="B36" s="25" t="s">
        <v>144</v>
      </c>
      <c r="C36" s="26" t="s">
        <v>108</v>
      </c>
      <c r="D36" s="32">
        <f>Uptime_ML</f>
        <v>0.97</v>
      </c>
      <c r="E36" s="26" t="s">
        <v>145</v>
      </c>
      <c r="F36" s="28"/>
      <c r="G36" s="28"/>
      <c r="H36" s="28"/>
      <c r="I36" s="28"/>
      <c r="J36" s="29" t="s">
        <v>146</v>
      </c>
    </row>
    <row r="37" spans="2:10" ht="8" customHeight="1" x14ac:dyDescent="0.45"/>
  </sheetData>
  <mergeCells count="1">
    <mergeCell ref="B6:J6"/>
  </mergeCells>
  <conditionalFormatting sqref="I12">
    <cfRule type="expression" dxfId="4" priority="1">
      <formula>LEFT($I12,1)="✗"</formula>
    </cfRule>
  </conditionalFormatting>
  <dataValidations count="6">
    <dataValidation type="decimal" operator="greaterThan" showErrorMessage="1" errorTitle="Положительное значение" error="Введите значение больше нуля." sqref="D11 D35 D27:D29 D19:D20" xr:uid="{00000000-0002-0000-0100-000000000000}">
      <formula1>0</formula1>
    </dataValidation>
    <dataValidation type="custom" showErrorMessage="1" errorTitle="Диапазон PERT" error="Мин. должно быть меньше макс., наиболее вероятное — между ними, все — от 0% до 100%." sqref="F12:H12" xr:uid="{00000000-0002-0000-0100-000001000000}">
      <formula1>AND($F12&lt;=$G12,$G12&lt;=$H12,$F12&lt;$H12,$F12&gt;=0,$H12&lt;=1)</formula1>
    </dataValidation>
    <dataValidation type="decimal" showErrorMessage="1" errorTitle="Вероятность" error="Введите значение от 0% до 100%." sqref="D13 D26" xr:uid="{00000000-0002-0000-0100-000002000000}">
      <formula1>0</formula1>
      <formula2>1</formula2>
    </dataValidation>
    <dataValidation type="whole" showErrorMessage="1" errorTitle="Целое число" error="Введите целое число." sqref="D14" xr:uid="{00000000-0002-0000-0100-000003000000}">
      <formula1>0</formula1>
      <formula2>1000000</formula2>
    </dataValidation>
    <dataValidation type="whole" showErrorMessage="1" errorTitle="Год" error="Введите календарный год." sqref="D25" xr:uid="{00000000-0002-0000-0100-000006000000}">
      <formula1>1900</formula1>
      <formula2>2200</formula2>
    </dataValidation>
    <dataValidation type="decimal" showErrorMessage="1" errorTitle="Значение" error="Введите значение не меньше нуля." sqref="D30" xr:uid="{00000000-0002-0000-0100-00000B000000}">
      <formula1>0</formula1>
      <formula2>1000000000000</formula2>
    </dataValidation>
  </dataValidations>
  <hyperlinks>
    <hyperlink ref="B4" location="'Описание'!A1" display="◂  Описание" xr:uid="{00000000-0004-0000-0100-000000000000}"/>
    <hyperlink ref="J4" location="'Хеджи'!A1" display="Далее:  Хеджи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AC57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4" width="10" customWidth="1"/>
    <col min="5" max="5" width="5" customWidth="1"/>
    <col min="6" max="29" width="7" customWidth="1"/>
  </cols>
  <sheetData>
    <row r="1" spans="1:29" ht="6" customHeight="1" x14ac:dyDescent="0.45"/>
    <row r="2" spans="1:29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1</v>
      </c>
    </row>
    <row r="3" spans="1:29" ht="20" customHeight="1" x14ac:dyDescent="0.45">
      <c r="A3" s="1"/>
      <c r="B3" s="4" t="s">
        <v>147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0" customHeight="1" x14ac:dyDescent="0.45">
      <c r="A4" s="5"/>
      <c r="B4" s="22" t="s">
        <v>148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6" t="s">
        <v>149</v>
      </c>
    </row>
    <row r="5" spans="1:29" ht="8" customHeight="1" x14ac:dyDescent="0.45"/>
    <row r="6" spans="1:29" ht="16.05" customHeight="1" x14ac:dyDescent="0.45">
      <c r="B6" s="35" t="s">
        <v>150</v>
      </c>
      <c r="C6" s="36"/>
      <c r="D6" s="37" t="s">
        <v>151</v>
      </c>
      <c r="E6" s="38" t="s">
        <v>152</v>
      </c>
      <c r="F6" s="39">
        <v>1</v>
      </c>
      <c r="G6" s="39">
        <f t="shared" ref="G6:AC6" si="0">F6+1</f>
        <v>2</v>
      </c>
      <c r="H6" s="39">
        <f t="shared" si="0"/>
        <v>3</v>
      </c>
      <c r="I6" s="39">
        <f t="shared" si="0"/>
        <v>4</v>
      </c>
      <c r="J6" s="39">
        <f t="shared" si="0"/>
        <v>5</v>
      </c>
      <c r="K6" s="39">
        <f t="shared" si="0"/>
        <v>6</v>
      </c>
      <c r="L6" s="39">
        <f t="shared" si="0"/>
        <v>7</v>
      </c>
      <c r="M6" s="39">
        <f t="shared" si="0"/>
        <v>8</v>
      </c>
      <c r="N6" s="39">
        <f t="shared" si="0"/>
        <v>9</v>
      </c>
      <c r="O6" s="39">
        <f t="shared" si="0"/>
        <v>10</v>
      </c>
      <c r="P6" s="39">
        <f t="shared" si="0"/>
        <v>11</v>
      </c>
      <c r="Q6" s="39">
        <f t="shared" si="0"/>
        <v>12</v>
      </c>
      <c r="R6" s="39">
        <f t="shared" si="0"/>
        <v>13</v>
      </c>
      <c r="S6" s="39">
        <f t="shared" si="0"/>
        <v>14</v>
      </c>
      <c r="T6" s="39">
        <f t="shared" si="0"/>
        <v>15</v>
      </c>
      <c r="U6" s="39">
        <f t="shared" si="0"/>
        <v>16</v>
      </c>
      <c r="V6" s="39">
        <f t="shared" si="0"/>
        <v>17</v>
      </c>
      <c r="W6" s="39">
        <f t="shared" si="0"/>
        <v>18</v>
      </c>
      <c r="X6" s="39">
        <f t="shared" si="0"/>
        <v>19</v>
      </c>
      <c r="Y6" s="39">
        <f t="shared" si="0"/>
        <v>20</v>
      </c>
      <c r="Z6" s="39">
        <f t="shared" si="0"/>
        <v>21</v>
      </c>
      <c r="AA6" s="39">
        <f t="shared" si="0"/>
        <v>22</v>
      </c>
      <c r="AB6" s="39">
        <f t="shared" si="0"/>
        <v>23</v>
      </c>
      <c r="AC6" s="39">
        <f t="shared" si="0"/>
        <v>24</v>
      </c>
    </row>
    <row r="7" spans="1:29" ht="16.05" customHeight="1" x14ac:dyDescent="0.45">
      <c r="B7" s="40" t="s">
        <v>153</v>
      </c>
      <c r="C7" s="5"/>
      <c r="D7" s="5"/>
      <c r="E7" s="5"/>
      <c r="F7" s="41">
        <f>EDATE(StartMonth,0)</f>
        <v>46388</v>
      </c>
      <c r="G7" s="41">
        <f>EDATE(StartMonth,1)</f>
        <v>46419</v>
      </c>
      <c r="H7" s="41">
        <f>EDATE(StartMonth,2)</f>
        <v>46447</v>
      </c>
      <c r="I7" s="41">
        <f>EDATE(StartMonth,3)</f>
        <v>46478</v>
      </c>
      <c r="J7" s="41">
        <f>EDATE(StartMonth,4)</f>
        <v>46508</v>
      </c>
      <c r="K7" s="41">
        <f>EDATE(StartMonth,5)</f>
        <v>46539</v>
      </c>
      <c r="L7" s="41">
        <f>EDATE(StartMonth,6)</f>
        <v>46569</v>
      </c>
      <c r="M7" s="41">
        <f>EDATE(StartMonth,7)</f>
        <v>46600</v>
      </c>
      <c r="N7" s="41">
        <f>EDATE(StartMonth,8)</f>
        <v>46631</v>
      </c>
      <c r="O7" s="41">
        <f>EDATE(StartMonth,9)</f>
        <v>46661</v>
      </c>
      <c r="P7" s="41">
        <f>EDATE(StartMonth,10)</f>
        <v>46692</v>
      </c>
      <c r="Q7" s="41">
        <f>EDATE(StartMonth,11)</f>
        <v>46722</v>
      </c>
      <c r="R7" s="41">
        <f>EDATE(StartMonth,12)</f>
        <v>46753</v>
      </c>
      <c r="S7" s="41">
        <f>EDATE(StartMonth,13)</f>
        <v>46784</v>
      </c>
      <c r="T7" s="41">
        <f>EDATE(StartMonth,14)</f>
        <v>46813</v>
      </c>
      <c r="U7" s="41">
        <f>EDATE(StartMonth,15)</f>
        <v>46844</v>
      </c>
      <c r="V7" s="41">
        <f>EDATE(StartMonth,16)</f>
        <v>46874</v>
      </c>
      <c r="W7" s="41">
        <f>EDATE(StartMonth,17)</f>
        <v>46905</v>
      </c>
      <c r="X7" s="41">
        <f>EDATE(StartMonth,18)</f>
        <v>46935</v>
      </c>
      <c r="Y7" s="41">
        <f>EDATE(StartMonth,19)</f>
        <v>46966</v>
      </c>
      <c r="Z7" s="41">
        <f>EDATE(StartMonth,20)</f>
        <v>46997</v>
      </c>
      <c r="AA7" s="41">
        <f>EDATE(StartMonth,21)</f>
        <v>47027</v>
      </c>
      <c r="AB7" s="41">
        <f>EDATE(StartMonth,22)</f>
        <v>47058</v>
      </c>
      <c r="AC7" s="41">
        <f>EDATE(StartMonth,23)</f>
        <v>47088</v>
      </c>
    </row>
    <row r="8" spans="1:29" ht="6" customHeight="1" x14ac:dyDescent="0.45"/>
    <row r="9" spans="1:29" ht="22.05" customHeight="1" x14ac:dyDescent="0.5">
      <c r="B9" s="7" t="s">
        <v>154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18" customHeight="1" x14ac:dyDescent="0.45">
      <c r="B10" s="13" t="s">
        <v>155</v>
      </c>
    </row>
    <row r="11" spans="1:29" ht="18" customHeight="1" x14ac:dyDescent="0.45">
      <c r="B11" s="40" t="s">
        <v>156</v>
      </c>
      <c r="C11" s="40" t="s">
        <v>95</v>
      </c>
      <c r="D11" s="42" t="s">
        <v>157</v>
      </c>
      <c r="E11" s="5"/>
      <c r="F11" s="40" t="s">
        <v>158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x14ac:dyDescent="0.45">
      <c r="B12" s="25" t="s">
        <v>159</v>
      </c>
      <c r="C12" s="26" t="s">
        <v>160</v>
      </c>
      <c r="D12" s="43">
        <f>DATE(FirstYear,1,1)</f>
        <v>46388</v>
      </c>
      <c r="E12" s="28"/>
      <c r="F12" s="26" t="s">
        <v>161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29" x14ac:dyDescent="0.45">
      <c r="B13" s="25" t="s">
        <v>162</v>
      </c>
      <c r="C13" s="26" t="s">
        <v>116</v>
      </c>
      <c r="D13" s="44">
        <f>COUNT(F6:AC6)</f>
        <v>24</v>
      </c>
      <c r="E13" s="28"/>
      <c r="F13" s="26" t="s">
        <v>163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29" x14ac:dyDescent="0.45">
      <c r="B14" s="25" t="s">
        <v>164</v>
      </c>
      <c r="C14" s="26" t="s">
        <v>165</v>
      </c>
      <c r="D14" s="45" cm="1">
        <f t="array" aca="1" ref="D14" ca="1">_xll.VoseInput("Авария","1 = да")+_xll.VoseBernoulli(Prob_Outage)</f>
        <v>0</v>
      </c>
      <c r="E14" s="28"/>
      <c r="F14" s="26" t="s">
        <v>166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 x14ac:dyDescent="0.45">
      <c r="B15" s="25" t="s">
        <v>167</v>
      </c>
      <c r="C15" s="26" t="s">
        <v>168</v>
      </c>
      <c r="D15" s="45" cm="1">
        <f t="array" aca="1" ref="D15" ca="1">_xll.VoseStepUniform(1,MonthsHedged-OutageMonths+1)</f>
        <v>15</v>
      </c>
      <c r="E15" s="28"/>
      <c r="F15" s="26" t="s">
        <v>169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x14ac:dyDescent="0.45">
      <c r="B16" s="25" t="s">
        <v>170</v>
      </c>
      <c r="C16" s="26"/>
      <c r="D16" s="46">
        <f>Volatility/SQRT(12)</f>
        <v>8.6602540378443865E-2</v>
      </c>
      <c r="E16" s="28"/>
      <c r="F16" s="26" t="s">
        <v>171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2:29" x14ac:dyDescent="0.45">
      <c r="B17" s="25" t="s">
        <v>172</v>
      </c>
      <c r="C17" s="26"/>
      <c r="D17" s="47">
        <f>-0.5*Sigma_m^2</f>
        <v>-3.7499999999999999E-3</v>
      </c>
      <c r="E17" s="28"/>
      <c r="F17" s="26" t="s">
        <v>173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2:29" x14ac:dyDescent="0.45">
      <c r="B18" s="25" t="s">
        <v>174</v>
      </c>
      <c r="C18" s="26" t="s">
        <v>175</v>
      </c>
      <c r="D18" s="48">
        <f>PriceNow*PlanVolume*MonthsHedged/1000</f>
        <v>259.2</v>
      </c>
      <c r="E18" s="28"/>
      <c r="F18" s="26" t="s">
        <v>176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2:29" x14ac:dyDescent="0.45">
      <c r="B19" s="25" t="s">
        <v>177</v>
      </c>
      <c r="C19" s="26" t="s">
        <v>175</v>
      </c>
      <c r="D19" s="48">
        <f>BudgetPrice*PlanVolume*BudgetUptime*MonthsHedged/1000</f>
        <v>226.98</v>
      </c>
      <c r="E19" s="28"/>
      <c r="F19" s="26" t="s">
        <v>178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2:29" ht="8" customHeight="1" x14ac:dyDescent="0.45"/>
    <row r="21" spans="2:29" ht="22.05" customHeight="1" x14ac:dyDescent="0.5">
      <c r="B21" s="7" t="s">
        <v>179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2:29" ht="18" customHeight="1" x14ac:dyDescent="0.45">
      <c r="B22" s="13" t="s">
        <v>180</v>
      </c>
    </row>
    <row r="23" spans="2:29" x14ac:dyDescent="0.45">
      <c r="B23" s="25" t="s">
        <v>181</v>
      </c>
      <c r="C23" s="26" t="s">
        <v>121</v>
      </c>
      <c r="D23" s="28"/>
      <c r="E23" s="28"/>
      <c r="F23" s="49">
        <f t="array" aca="1" ref="F23:AC23" ca="1">_xll.VoseTimeGBM(Mu_m,Sigma_m,PriceNow)</f>
        <v>79.12693537649433</v>
      </c>
      <c r="G23" s="49">
        <f ca="1"/>
        <v>75.856793535579598</v>
      </c>
      <c r="H23" s="49">
        <f ca="1"/>
        <v>68.018621768623703</v>
      </c>
      <c r="I23" s="49">
        <f ca="1"/>
        <v>66.811918862369964</v>
      </c>
      <c r="J23" s="49">
        <f ca="1"/>
        <v>62.134739670593852</v>
      </c>
      <c r="K23" s="49">
        <f ca="1"/>
        <v>55.065636006407644</v>
      </c>
      <c r="L23" s="49">
        <f ca="1"/>
        <v>54.011915210982608</v>
      </c>
      <c r="M23" s="49">
        <f ca="1"/>
        <v>49.511971111102184</v>
      </c>
      <c r="N23" s="49">
        <f ca="1"/>
        <v>48.437784108697613</v>
      </c>
      <c r="O23" s="49">
        <f ca="1"/>
        <v>51.07509038796541</v>
      </c>
      <c r="P23" s="49">
        <f ca="1"/>
        <v>50.524380171015288</v>
      </c>
      <c r="Q23" s="49">
        <f ca="1"/>
        <v>44.976106727523188</v>
      </c>
      <c r="R23" s="49">
        <f ca="1"/>
        <v>39.985214894904885</v>
      </c>
      <c r="S23" s="49">
        <f ca="1"/>
        <v>40.944688351997122</v>
      </c>
      <c r="T23" s="49">
        <f ca="1"/>
        <v>41.531452051613371</v>
      </c>
      <c r="U23" s="49">
        <f ca="1"/>
        <v>35.322564859132378</v>
      </c>
      <c r="V23" s="49">
        <f ca="1"/>
        <v>38.482382605919859</v>
      </c>
      <c r="W23" s="49">
        <f ca="1"/>
        <v>37.73415401772381</v>
      </c>
      <c r="X23" s="49">
        <f ca="1"/>
        <v>41.185022220704845</v>
      </c>
      <c r="Y23" s="49">
        <f ca="1"/>
        <v>45.369739761915717</v>
      </c>
      <c r="Z23" s="49">
        <f ca="1"/>
        <v>40.908525281805055</v>
      </c>
      <c r="AA23" s="49">
        <f ca="1"/>
        <v>44.904840511384791</v>
      </c>
      <c r="AB23" s="49">
        <f ca="1"/>
        <v>37.027036391770551</v>
      </c>
      <c r="AC23" s="49">
        <f ca="1"/>
        <v>38.182171362407452</v>
      </c>
    </row>
    <row r="24" spans="2:29" x14ac:dyDescent="0.45">
      <c r="B24" s="25" t="s">
        <v>182</v>
      </c>
      <c r="C24" s="26" t="s">
        <v>108</v>
      </c>
      <c r="D24" s="28"/>
      <c r="E24" s="28"/>
      <c r="F24" s="50" cm="1">
        <f t="array" aca="1" ref="F24" ca="1">_xll.VosePERT(Uptime_Lo,Uptime_ML,Uptime_Hi)</f>
        <v>0.96155380282918135</v>
      </c>
      <c r="G24" s="50" cm="1">
        <f t="array" aca="1" ref="G24" ca="1">_xll.VosePERT(Uptime_Lo,Uptime_ML,Uptime_Hi)</f>
        <v>0.96418831729634835</v>
      </c>
      <c r="H24" s="50" cm="1">
        <f t="array" aca="1" ref="H24" ca="1">_xll.VosePERT(Uptime_Lo,Uptime_ML,Uptime_Hi)</f>
        <v>0.95755175979207696</v>
      </c>
      <c r="I24" s="50" cm="1">
        <f t="array" aca="1" ref="I24" ca="1">_xll.VosePERT(Uptime_Lo,Uptime_ML,Uptime_Hi)</f>
        <v>0.9466496693430303</v>
      </c>
      <c r="J24" s="50" cm="1">
        <f t="array" aca="1" ref="J24" ca="1">_xll.VosePERT(Uptime_Lo,Uptime_ML,Uptime_Hi)</f>
        <v>0.95586439256588496</v>
      </c>
      <c r="K24" s="50" cm="1">
        <f t="array" aca="1" ref="K24" ca="1">_xll.VosePERT(Uptime_Lo,Uptime_ML,Uptime_Hi)</f>
        <v>0.93357842992075946</v>
      </c>
      <c r="L24" s="50" cm="1">
        <f t="array" aca="1" ref="L24" ca="1">_xll.VosePERT(Uptime_Lo,Uptime_ML,Uptime_Hi)</f>
        <v>0.95993678591131004</v>
      </c>
      <c r="M24" s="50" cm="1">
        <f t="array" aca="1" ref="M24" ca="1">_xll.VosePERT(Uptime_Lo,Uptime_ML,Uptime_Hi)</f>
        <v>0.93661543081168153</v>
      </c>
      <c r="N24" s="50" cm="1">
        <f t="array" aca="1" ref="N24" ca="1">_xll.VosePERT(Uptime_Lo,Uptime_ML,Uptime_Hi)</f>
        <v>0.94410441283688906</v>
      </c>
      <c r="O24" s="50" cm="1">
        <f t="array" aca="1" ref="O24" ca="1">_xll.VosePERT(Uptime_Lo,Uptime_ML,Uptime_Hi)</f>
        <v>0.94096702699828705</v>
      </c>
      <c r="P24" s="50" cm="1">
        <f t="array" aca="1" ref="P24" ca="1">_xll.VosePERT(Uptime_Lo,Uptime_ML,Uptime_Hi)</f>
        <v>0.9172151901311415</v>
      </c>
      <c r="Q24" s="50" cm="1">
        <f t="array" aca="1" ref="Q24" ca="1">_xll.VosePERT(Uptime_Lo,Uptime_ML,Uptime_Hi)</f>
        <v>0.96709747447433825</v>
      </c>
      <c r="R24" s="50" cm="1">
        <f t="array" aca="1" ref="R24" ca="1">_xll.VosePERT(Uptime_Lo,Uptime_ML,Uptime_Hi)</f>
        <v>0.99345247986301</v>
      </c>
      <c r="S24" s="50" cm="1">
        <f t="array" aca="1" ref="S24" ca="1">_xll.VosePERT(Uptime_Lo,Uptime_ML,Uptime_Hi)</f>
        <v>0.97902808807730624</v>
      </c>
      <c r="T24" s="50" cm="1">
        <f t="array" aca="1" ref="T24" ca="1">_xll.VosePERT(Uptime_Lo,Uptime_ML,Uptime_Hi)</f>
        <v>0.92603237512274905</v>
      </c>
      <c r="U24" s="50" cm="1">
        <f t="array" aca="1" ref="U24" ca="1">_xll.VosePERT(Uptime_Lo,Uptime_ML,Uptime_Hi)</f>
        <v>0.94098669151408987</v>
      </c>
      <c r="V24" s="50" cm="1">
        <f t="array" aca="1" ref="V24" ca="1">_xll.VosePERT(Uptime_Lo,Uptime_ML,Uptime_Hi)</f>
        <v>0.98344453647810015</v>
      </c>
      <c r="W24" s="50" cm="1">
        <f t="array" aca="1" ref="W24" ca="1">_xll.VosePERT(Uptime_Lo,Uptime_ML,Uptime_Hi)</f>
        <v>0.97839756398083633</v>
      </c>
      <c r="X24" s="50" cm="1">
        <f t="array" aca="1" ref="X24" ca="1">_xll.VosePERT(Uptime_Lo,Uptime_ML,Uptime_Hi)</f>
        <v>0.94720135213582868</v>
      </c>
      <c r="Y24" s="50" cm="1">
        <f t="array" aca="1" ref="Y24" ca="1">_xll.VosePERT(Uptime_Lo,Uptime_ML,Uptime_Hi)</f>
        <v>0.9029713499951556</v>
      </c>
      <c r="Z24" s="50" cm="1">
        <f t="array" aca="1" ref="Z24" ca="1">_xll.VosePERT(Uptime_Lo,Uptime_ML,Uptime_Hi)</f>
        <v>0.92666754581475153</v>
      </c>
      <c r="AA24" s="50" cm="1">
        <f t="array" aca="1" ref="AA24" ca="1">_xll.VosePERT(Uptime_Lo,Uptime_ML,Uptime_Hi)</f>
        <v>0.96305883582620444</v>
      </c>
      <c r="AB24" s="50" cm="1">
        <f t="array" aca="1" ref="AB24" ca="1">_xll.VosePERT(Uptime_Lo,Uptime_ML,Uptime_Hi)</f>
        <v>0.98239265852654345</v>
      </c>
      <c r="AC24" s="50" cm="1">
        <f t="array" aca="1" ref="AC24" ca="1">_xll.VosePERT(Uptime_Lo,Uptime_ML,Uptime_Hi)</f>
        <v>0.90360284067344998</v>
      </c>
    </row>
    <row r="25" spans="2:29" x14ac:dyDescent="0.45">
      <c r="B25" s="25" t="s">
        <v>183</v>
      </c>
      <c r="C25" s="26" t="s">
        <v>165</v>
      </c>
      <c r="D25" s="28"/>
      <c r="E25" s="28"/>
      <c r="F25" s="44">
        <f t="shared" ref="F25:AC25" ca="1" si="1">IF(AND(Outage=1,F$6&gt;=OutageStart,F$6&lt;OutageStart+OutageMonths),1,0)</f>
        <v>0</v>
      </c>
      <c r="G25" s="44">
        <f t="shared" ca="1" si="1"/>
        <v>0</v>
      </c>
      <c r="H25" s="44">
        <f t="shared" ca="1" si="1"/>
        <v>0</v>
      </c>
      <c r="I25" s="44">
        <f t="shared" ca="1" si="1"/>
        <v>0</v>
      </c>
      <c r="J25" s="44">
        <f t="shared" ca="1" si="1"/>
        <v>0</v>
      </c>
      <c r="K25" s="44">
        <f t="shared" ca="1" si="1"/>
        <v>0</v>
      </c>
      <c r="L25" s="44">
        <f t="shared" ca="1" si="1"/>
        <v>0</v>
      </c>
      <c r="M25" s="44">
        <f t="shared" ca="1" si="1"/>
        <v>0</v>
      </c>
      <c r="N25" s="44">
        <f t="shared" ca="1" si="1"/>
        <v>0</v>
      </c>
      <c r="O25" s="44">
        <f t="shared" ca="1" si="1"/>
        <v>0</v>
      </c>
      <c r="P25" s="44">
        <f t="shared" ca="1" si="1"/>
        <v>0</v>
      </c>
      <c r="Q25" s="44">
        <f t="shared" ca="1" si="1"/>
        <v>0</v>
      </c>
      <c r="R25" s="44">
        <f t="shared" ca="1" si="1"/>
        <v>0</v>
      </c>
      <c r="S25" s="44">
        <f t="shared" ca="1" si="1"/>
        <v>0</v>
      </c>
      <c r="T25" s="44">
        <f t="shared" ca="1" si="1"/>
        <v>0</v>
      </c>
      <c r="U25" s="44">
        <f t="shared" ca="1" si="1"/>
        <v>0</v>
      </c>
      <c r="V25" s="44">
        <f t="shared" ca="1" si="1"/>
        <v>0</v>
      </c>
      <c r="W25" s="44">
        <f t="shared" ca="1" si="1"/>
        <v>0</v>
      </c>
      <c r="X25" s="44">
        <f t="shared" ca="1" si="1"/>
        <v>0</v>
      </c>
      <c r="Y25" s="44">
        <f t="shared" ca="1" si="1"/>
        <v>0</v>
      </c>
      <c r="Z25" s="44">
        <f t="shared" ca="1" si="1"/>
        <v>0</v>
      </c>
      <c r="AA25" s="44">
        <f t="shared" ca="1" si="1"/>
        <v>0</v>
      </c>
      <c r="AB25" s="44">
        <f t="shared" ca="1" si="1"/>
        <v>0</v>
      </c>
      <c r="AC25" s="44">
        <f t="shared" ca="1" si="1"/>
        <v>0</v>
      </c>
    </row>
    <row r="26" spans="2:29" x14ac:dyDescent="0.45">
      <c r="B26" s="25" t="s">
        <v>69</v>
      </c>
      <c r="C26" s="26" t="s">
        <v>184</v>
      </c>
      <c r="D26" s="51">
        <f ca="1">SUM(F26:AC26)</f>
        <v>3421.8838516378441</v>
      </c>
      <c r="E26" s="28"/>
      <c r="F26" s="48">
        <f t="shared" ref="F26:AC26" ca="1" si="2">PlanVolume*F24*(1-F25)</f>
        <v>144.23307042437719</v>
      </c>
      <c r="G26" s="48">
        <f t="shared" ca="1" si="2"/>
        <v>144.62824759445226</v>
      </c>
      <c r="H26" s="48">
        <f t="shared" ca="1" si="2"/>
        <v>143.63276396881153</v>
      </c>
      <c r="I26" s="48">
        <f t="shared" ca="1" si="2"/>
        <v>141.99745040145456</v>
      </c>
      <c r="J26" s="48">
        <f t="shared" ca="1" si="2"/>
        <v>143.37965888488273</v>
      </c>
      <c r="K26" s="48">
        <f t="shared" ca="1" si="2"/>
        <v>140.03676448811393</v>
      </c>
      <c r="L26" s="48">
        <f t="shared" ca="1" si="2"/>
        <v>143.99051788669649</v>
      </c>
      <c r="M26" s="48">
        <f t="shared" ca="1" si="2"/>
        <v>140.49231462175223</v>
      </c>
      <c r="N26" s="48">
        <f t="shared" ca="1" si="2"/>
        <v>141.61566192553335</v>
      </c>
      <c r="O26" s="48">
        <f t="shared" ca="1" si="2"/>
        <v>141.14505404974307</v>
      </c>
      <c r="P26" s="48">
        <f t="shared" ca="1" si="2"/>
        <v>137.58227851967123</v>
      </c>
      <c r="Q26" s="48">
        <f t="shared" ca="1" si="2"/>
        <v>145.06462117115075</v>
      </c>
      <c r="R26" s="48">
        <f t="shared" ca="1" si="2"/>
        <v>149.01787197945151</v>
      </c>
      <c r="S26" s="48">
        <f t="shared" ca="1" si="2"/>
        <v>146.85421321159595</v>
      </c>
      <c r="T26" s="48">
        <f t="shared" ca="1" si="2"/>
        <v>138.90485626841235</v>
      </c>
      <c r="U26" s="48">
        <f t="shared" ca="1" si="2"/>
        <v>141.14800372711349</v>
      </c>
      <c r="V26" s="48">
        <f t="shared" ca="1" si="2"/>
        <v>147.51668047171503</v>
      </c>
      <c r="W26" s="48">
        <f t="shared" ca="1" si="2"/>
        <v>146.75963459712546</v>
      </c>
      <c r="X26" s="48">
        <f t="shared" ca="1" si="2"/>
        <v>142.0802028203743</v>
      </c>
      <c r="Y26" s="48">
        <f t="shared" ca="1" si="2"/>
        <v>135.44570249927335</v>
      </c>
      <c r="Z26" s="48">
        <f t="shared" ca="1" si="2"/>
        <v>139.00013187221273</v>
      </c>
      <c r="AA26" s="48">
        <f t="shared" ca="1" si="2"/>
        <v>144.45882537393067</v>
      </c>
      <c r="AB26" s="48">
        <f t="shared" ca="1" si="2"/>
        <v>147.35889877898151</v>
      </c>
      <c r="AC26" s="48">
        <f t="shared" ca="1" si="2"/>
        <v>135.54042610101749</v>
      </c>
    </row>
    <row r="27" spans="2:29" x14ac:dyDescent="0.45">
      <c r="B27" s="52" t="s">
        <v>185</v>
      </c>
      <c r="C27" s="26" t="s">
        <v>175</v>
      </c>
      <c r="D27" s="53">
        <f ca="1">SUM(F27:AC27)</f>
        <v>169.28023367432641</v>
      </c>
      <c r="E27" s="28"/>
      <c r="F27" s="53">
        <f t="shared" ref="F27:AC27" ca="1" si="3">F26*F23/1000</f>
        <v>11.412720842623051</v>
      </c>
      <c r="G27" s="53">
        <f t="shared" ca="1" si="3"/>
        <v>10.971035117185053</v>
      </c>
      <c r="H27" s="53">
        <f t="shared" ca="1" si="3"/>
        <v>9.7697026459765954</v>
      </c>
      <c r="I27" s="53">
        <f t="shared" ca="1" si="3"/>
        <v>9.4871221348853858</v>
      </c>
      <c r="J27" s="53">
        <f t="shared" ca="1" si="3"/>
        <v>8.9088577788707379</v>
      </c>
      <c r="K27" s="53">
        <f t="shared" ca="1" si="3"/>
        <v>7.7112135008175136</v>
      </c>
      <c r="L27" s="53">
        <f t="shared" ca="1" si="3"/>
        <v>7.7772036432817258</v>
      </c>
      <c r="M27" s="53">
        <f t="shared" ca="1" si="3"/>
        <v>6.9560514228840757</v>
      </c>
      <c r="N27" s="53">
        <f t="shared" ca="1" si="3"/>
        <v>6.8595488587592923</v>
      </c>
      <c r="O27" s="53">
        <f t="shared" ca="1" si="3"/>
        <v>7.20899639340489</v>
      </c>
      <c r="P27" s="53">
        <f t="shared" ca="1" si="3"/>
        <v>6.9512593447223798</v>
      </c>
      <c r="Q27" s="53">
        <f t="shared" ca="1" si="3"/>
        <v>6.524441884181396</v>
      </c>
      <c r="R27" s="53">
        <f t="shared" ca="1" si="3"/>
        <v>5.9585116342797937</v>
      </c>
      <c r="S27" s="53">
        <f t="shared" ca="1" si="3"/>
        <v>6.0128999931265348</v>
      </c>
      <c r="T27" s="53">
        <f t="shared" ca="1" si="3"/>
        <v>5.768920377847814</v>
      </c>
      <c r="U27" s="53">
        <f t="shared" ca="1" si="3"/>
        <v>4.9857095163880247</v>
      </c>
      <c r="V27" s="53">
        <f t="shared" ca="1" si="3"/>
        <v>5.676793338667764</v>
      </c>
      <c r="W27" s="53">
        <f t="shared" ca="1" si="3"/>
        <v>5.5378506554728002</v>
      </c>
      <c r="X27" s="53">
        <f t="shared" ca="1" si="3"/>
        <v>5.8515763102793663</v>
      </c>
      <c r="Y27" s="53">
        <f t="shared" ca="1" si="3"/>
        <v>6.1451362742618896</v>
      </c>
      <c r="Z27" s="53">
        <f t="shared" ca="1" si="3"/>
        <v>5.6862904088686506</v>
      </c>
      <c r="AA27" s="53">
        <f t="shared" ca="1" si="3"/>
        <v>6.4869005138783429</v>
      </c>
      <c r="AB27" s="53">
        <f t="shared" ca="1" si="3"/>
        <v>5.4562633077405813</v>
      </c>
      <c r="AC27" s="53">
        <f t="shared" ca="1" si="3"/>
        <v>5.1752277759227736</v>
      </c>
    </row>
    <row r="28" spans="2:29" ht="8" customHeight="1" x14ac:dyDescent="0.45"/>
    <row r="29" spans="2:29" ht="22.05" customHeight="1" x14ac:dyDescent="0.5">
      <c r="B29" s="7" t="s">
        <v>186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2:29" ht="18" customHeight="1" x14ac:dyDescent="0.45">
      <c r="B30" s="13" t="s">
        <v>187</v>
      </c>
    </row>
    <row r="31" spans="2:29" x14ac:dyDescent="0.45">
      <c r="B31" s="25" t="s">
        <v>188</v>
      </c>
      <c r="C31" s="26" t="s">
        <v>184</v>
      </c>
      <c r="D31" s="51">
        <f>SUM(F31:AC31)</f>
        <v>2160</v>
      </c>
      <c r="E31" s="28"/>
      <c r="F31" s="48">
        <f t="shared" ref="F31:AC31" si="4">HedgeRatio*PlanVolume</f>
        <v>90</v>
      </c>
      <c r="G31" s="48">
        <f t="shared" si="4"/>
        <v>90</v>
      </c>
      <c r="H31" s="48">
        <f t="shared" si="4"/>
        <v>90</v>
      </c>
      <c r="I31" s="48">
        <f t="shared" si="4"/>
        <v>90</v>
      </c>
      <c r="J31" s="48">
        <f t="shared" si="4"/>
        <v>90</v>
      </c>
      <c r="K31" s="48">
        <f t="shared" si="4"/>
        <v>90</v>
      </c>
      <c r="L31" s="48">
        <f t="shared" si="4"/>
        <v>90</v>
      </c>
      <c r="M31" s="48">
        <f t="shared" si="4"/>
        <v>90</v>
      </c>
      <c r="N31" s="48">
        <f t="shared" si="4"/>
        <v>90</v>
      </c>
      <c r="O31" s="48">
        <f t="shared" si="4"/>
        <v>90</v>
      </c>
      <c r="P31" s="48">
        <f t="shared" si="4"/>
        <v>90</v>
      </c>
      <c r="Q31" s="48">
        <f t="shared" si="4"/>
        <v>90</v>
      </c>
      <c r="R31" s="48">
        <f t="shared" si="4"/>
        <v>90</v>
      </c>
      <c r="S31" s="48">
        <f t="shared" si="4"/>
        <v>90</v>
      </c>
      <c r="T31" s="48">
        <f t="shared" si="4"/>
        <v>90</v>
      </c>
      <c r="U31" s="48">
        <f t="shared" si="4"/>
        <v>90</v>
      </c>
      <c r="V31" s="48">
        <f t="shared" si="4"/>
        <v>90</v>
      </c>
      <c r="W31" s="48">
        <f t="shared" si="4"/>
        <v>90</v>
      </c>
      <c r="X31" s="48">
        <f t="shared" si="4"/>
        <v>90</v>
      </c>
      <c r="Y31" s="48">
        <f t="shared" si="4"/>
        <v>90</v>
      </c>
      <c r="Z31" s="48">
        <f t="shared" si="4"/>
        <v>90</v>
      </c>
      <c r="AA31" s="48">
        <f t="shared" si="4"/>
        <v>90</v>
      </c>
      <c r="AB31" s="48">
        <f t="shared" si="4"/>
        <v>90</v>
      </c>
      <c r="AC31" s="48">
        <f t="shared" si="4"/>
        <v>90</v>
      </c>
    </row>
    <row r="32" spans="2:29" x14ac:dyDescent="0.45">
      <c r="B32" s="25" t="s">
        <v>189</v>
      </c>
      <c r="C32" s="26" t="s">
        <v>175</v>
      </c>
      <c r="D32" s="53">
        <f ca="1">SUM(F32:AC32)</f>
        <v>48.678328327622829</v>
      </c>
      <c r="E32" s="28"/>
      <c r="F32" s="54">
        <f t="shared" ref="F32:AC32" ca="1" si="5">(SwapPrice-F23)*F31/1000</f>
        <v>-0.64142418388448974</v>
      </c>
      <c r="G32" s="54">
        <f t="shared" ca="1" si="5"/>
        <v>-0.34711141820216379</v>
      </c>
      <c r="H32" s="54">
        <f t="shared" ca="1" si="5"/>
        <v>0.35832404082386676</v>
      </c>
      <c r="I32" s="54">
        <f t="shared" ca="1" si="5"/>
        <v>0.46692730238670321</v>
      </c>
      <c r="J32" s="54">
        <f t="shared" ca="1" si="5"/>
        <v>0.88787342964655325</v>
      </c>
      <c r="K32" s="54">
        <f t="shared" ca="1" si="5"/>
        <v>1.5240927594233122</v>
      </c>
      <c r="L32" s="54">
        <f t="shared" ca="1" si="5"/>
        <v>1.6189276310115654</v>
      </c>
      <c r="M32" s="54">
        <f t="shared" ca="1" si="5"/>
        <v>2.0239226000008035</v>
      </c>
      <c r="N32" s="54">
        <f t="shared" ca="1" si="5"/>
        <v>2.1205994302172146</v>
      </c>
      <c r="O32" s="54">
        <f t="shared" ca="1" si="5"/>
        <v>1.8832418650831131</v>
      </c>
      <c r="P32" s="54">
        <f t="shared" ca="1" si="5"/>
        <v>1.932805784608624</v>
      </c>
      <c r="Q32" s="54">
        <f t="shared" ca="1" si="5"/>
        <v>2.4321503945229135</v>
      </c>
      <c r="R32" s="54">
        <f t="shared" ca="1" si="5"/>
        <v>2.8813306594585599</v>
      </c>
      <c r="S32" s="54">
        <f t="shared" ca="1" si="5"/>
        <v>2.7949780483202589</v>
      </c>
      <c r="T32" s="54">
        <f t="shared" ca="1" si="5"/>
        <v>2.7421693153547966</v>
      </c>
      <c r="U32" s="54">
        <f t="shared" ca="1" si="5"/>
        <v>3.3009691626780859</v>
      </c>
      <c r="V32" s="54">
        <f t="shared" ca="1" si="5"/>
        <v>3.0165855654672127</v>
      </c>
      <c r="W32" s="54">
        <f t="shared" ca="1" si="5"/>
        <v>3.0839261384048573</v>
      </c>
      <c r="X32" s="54">
        <f t="shared" ca="1" si="5"/>
        <v>2.7733480001365636</v>
      </c>
      <c r="Y32" s="54">
        <f t="shared" ca="1" si="5"/>
        <v>2.3967234214275854</v>
      </c>
      <c r="Z32" s="54">
        <f t="shared" ca="1" si="5"/>
        <v>2.7982327246375451</v>
      </c>
      <c r="AA32" s="54">
        <f t="shared" ca="1" si="5"/>
        <v>2.4385643539753685</v>
      </c>
      <c r="AB32" s="54">
        <f t="shared" ca="1" si="5"/>
        <v>3.1475667247406505</v>
      </c>
      <c r="AC32" s="54">
        <f t="shared" ca="1" si="5"/>
        <v>3.0436045773833293</v>
      </c>
    </row>
    <row r="33" spans="2:29" x14ac:dyDescent="0.45">
      <c r="B33" s="25" t="s">
        <v>190</v>
      </c>
      <c r="C33" s="26" t="s">
        <v>175</v>
      </c>
      <c r="D33" s="53">
        <f ca="1">SUM(F33:AC33)</f>
        <v>30.853739156852356</v>
      </c>
      <c r="E33" s="28"/>
      <c r="F33" s="54">
        <f t="shared" ref="F33:AC33" ca="1" si="6">(MAX(PutStrike-F23,0)-MAX(F23-CallStrike,0))*F31/1000</f>
        <v>0</v>
      </c>
      <c r="G33" s="54">
        <f t="shared" ca="1" si="6"/>
        <v>0</v>
      </c>
      <c r="H33" s="54">
        <f t="shared" ca="1" si="6"/>
        <v>0</v>
      </c>
      <c r="I33" s="54">
        <f t="shared" ca="1" si="6"/>
        <v>0</v>
      </c>
      <c r="J33" s="54">
        <f t="shared" ca="1" si="6"/>
        <v>0</v>
      </c>
      <c r="K33" s="54">
        <f t="shared" ca="1" si="6"/>
        <v>0.62409275942331199</v>
      </c>
      <c r="L33" s="54">
        <f t="shared" ca="1" si="6"/>
        <v>0.71892763101156543</v>
      </c>
      <c r="M33" s="54">
        <f t="shared" ca="1" si="6"/>
        <v>1.1239226000008034</v>
      </c>
      <c r="N33" s="54">
        <f t="shared" ca="1" si="6"/>
        <v>1.2205994302172147</v>
      </c>
      <c r="O33" s="54">
        <f t="shared" ca="1" si="6"/>
        <v>0.98324186508311306</v>
      </c>
      <c r="P33" s="54">
        <f t="shared" ca="1" si="6"/>
        <v>1.032805784608624</v>
      </c>
      <c r="Q33" s="54">
        <f t="shared" ca="1" si="6"/>
        <v>1.5321503945229131</v>
      </c>
      <c r="R33" s="54">
        <f t="shared" ca="1" si="6"/>
        <v>1.9813306594585605</v>
      </c>
      <c r="S33" s="54">
        <f t="shared" ca="1" si="6"/>
        <v>1.894978048320259</v>
      </c>
      <c r="T33" s="54">
        <f t="shared" ca="1" si="6"/>
        <v>1.8421693153547967</v>
      </c>
      <c r="U33" s="54">
        <f t="shared" ca="1" si="6"/>
        <v>2.400969162678086</v>
      </c>
      <c r="V33" s="54">
        <f t="shared" ca="1" si="6"/>
        <v>2.1165855654672128</v>
      </c>
      <c r="W33" s="54">
        <f t="shared" ca="1" si="6"/>
        <v>2.1839261384048574</v>
      </c>
      <c r="X33" s="54">
        <f t="shared" ca="1" si="6"/>
        <v>1.8733480001365641</v>
      </c>
      <c r="Y33" s="54">
        <f t="shared" ca="1" si="6"/>
        <v>1.4967234214275855</v>
      </c>
      <c r="Z33" s="54">
        <f t="shared" ca="1" si="6"/>
        <v>1.898232724637545</v>
      </c>
      <c r="AA33" s="54">
        <f t="shared" ca="1" si="6"/>
        <v>1.5385643539753688</v>
      </c>
      <c r="AB33" s="54">
        <f t="shared" ca="1" si="6"/>
        <v>2.2475667247406506</v>
      </c>
      <c r="AC33" s="54">
        <f t="shared" ca="1" si="6"/>
        <v>2.1436045773833294</v>
      </c>
    </row>
    <row r="34" spans="2:29" x14ac:dyDescent="0.45">
      <c r="B34" s="25" t="s">
        <v>191</v>
      </c>
      <c r="C34" s="26" t="s">
        <v>175</v>
      </c>
      <c r="D34" s="53">
        <f ca="1">SUM(F34:AC34)</f>
        <v>21.67373915685236</v>
      </c>
      <c r="E34" s="28"/>
      <c r="F34" s="54">
        <f t="shared" ref="F34:AC34" ca="1" si="7">(MAX(PutStrike-F23,0)-PutPremium)*F31/1000</f>
        <v>-0.38250000000000001</v>
      </c>
      <c r="G34" s="54">
        <f t="shared" ca="1" si="7"/>
        <v>-0.38250000000000001</v>
      </c>
      <c r="H34" s="54">
        <f t="shared" ca="1" si="7"/>
        <v>-0.38250000000000001</v>
      </c>
      <c r="I34" s="54">
        <f t="shared" ca="1" si="7"/>
        <v>-0.38250000000000001</v>
      </c>
      <c r="J34" s="54">
        <f t="shared" ca="1" si="7"/>
        <v>-0.38250000000000001</v>
      </c>
      <c r="K34" s="54">
        <f t="shared" ca="1" si="7"/>
        <v>0.24159275942331207</v>
      </c>
      <c r="L34" s="54">
        <f t="shared" ca="1" si="7"/>
        <v>0.33642763101156531</v>
      </c>
      <c r="M34" s="54">
        <f t="shared" ca="1" si="7"/>
        <v>0.7414226000008034</v>
      </c>
      <c r="N34" s="54">
        <f t="shared" ca="1" si="7"/>
        <v>0.83809943021721478</v>
      </c>
      <c r="O34" s="54">
        <f t="shared" ca="1" si="7"/>
        <v>0.60074186508311311</v>
      </c>
      <c r="P34" s="54">
        <f t="shared" ca="1" si="7"/>
        <v>0.65030578460862409</v>
      </c>
      <c r="Q34" s="54">
        <f t="shared" ca="1" si="7"/>
        <v>1.1496503945229131</v>
      </c>
      <c r="R34" s="54">
        <f t="shared" ca="1" si="7"/>
        <v>1.5988306594585604</v>
      </c>
      <c r="S34" s="54">
        <f t="shared" ca="1" si="7"/>
        <v>1.5124780483202589</v>
      </c>
      <c r="T34" s="54">
        <f t="shared" ca="1" si="7"/>
        <v>1.4596693153547966</v>
      </c>
      <c r="U34" s="54">
        <f t="shared" ca="1" si="7"/>
        <v>2.0184691626780857</v>
      </c>
      <c r="V34" s="54">
        <f t="shared" ca="1" si="7"/>
        <v>1.7340855654672127</v>
      </c>
      <c r="W34" s="54">
        <f t="shared" ca="1" si="7"/>
        <v>1.8014261384048571</v>
      </c>
      <c r="X34" s="54">
        <f t="shared" ca="1" si="7"/>
        <v>1.490848000136564</v>
      </c>
      <c r="Y34" s="54">
        <f t="shared" ca="1" si="7"/>
        <v>1.1142234214275855</v>
      </c>
      <c r="Z34" s="54">
        <f t="shared" ca="1" si="7"/>
        <v>1.5157327246375452</v>
      </c>
      <c r="AA34" s="54">
        <f t="shared" ca="1" si="7"/>
        <v>1.156064353975369</v>
      </c>
      <c r="AB34" s="54">
        <f t="shared" ca="1" si="7"/>
        <v>1.8650667247406505</v>
      </c>
      <c r="AC34" s="54">
        <f t="shared" ca="1" si="7"/>
        <v>1.7611045773833294</v>
      </c>
    </row>
    <row r="35" spans="2:29" ht="8" customHeight="1" x14ac:dyDescent="0.45"/>
    <row r="36" spans="2:29" ht="22.05" customHeight="1" x14ac:dyDescent="0.5">
      <c r="B36" s="7" t="s">
        <v>192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2:29" ht="18" customHeight="1" x14ac:dyDescent="0.45">
      <c r="B37" s="13" t="s">
        <v>193</v>
      </c>
    </row>
    <row r="38" spans="2:29" ht="18" customHeight="1" x14ac:dyDescent="0.45">
      <c r="B38" s="40" t="s">
        <v>194</v>
      </c>
      <c r="C38" s="40" t="s">
        <v>95</v>
      </c>
      <c r="D38" s="42" t="s">
        <v>157</v>
      </c>
      <c r="E38" s="5"/>
      <c r="F38" s="40" t="s">
        <v>195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2:29" x14ac:dyDescent="0.45">
      <c r="B39" s="25" t="s">
        <v>196</v>
      </c>
      <c r="C39" s="26" t="s">
        <v>175</v>
      </c>
      <c r="D39" s="55" cm="1">
        <f t="array" aca="1" ref="D39" ca="1">_xll.VoseOutput("Выручка без хеджирования","млн долл.")+D27</f>
        <v>169.28023367432641</v>
      </c>
      <c r="E39" s="28"/>
      <c r="F39" s="26" t="s">
        <v>197</v>
      </c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2:29" x14ac:dyDescent="0.45">
      <c r="B40" s="25" t="s">
        <v>198</v>
      </c>
      <c r="C40" s="26" t="s">
        <v>175</v>
      </c>
      <c r="D40" s="55" cm="1">
        <f t="array" aca="1" ref="D40" ca="1">_xll.VoseOutput("Выручка, своп","млн долл.")+D27+D32</f>
        <v>217.95856200194925</v>
      </c>
      <c r="E40" s="28"/>
      <c r="F40" s="26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2:29" x14ac:dyDescent="0.45">
      <c r="B41" s="25" t="s">
        <v>199</v>
      </c>
      <c r="C41" s="26" t="s">
        <v>175</v>
      </c>
      <c r="D41" s="55" cm="1">
        <f t="array" aca="1" ref="D41" ca="1">_xll.VoseOutput("Выручка, беззатратный коллар","млн долл.")+D27+D33</f>
        <v>200.13397283117877</v>
      </c>
      <c r="E41" s="28"/>
      <c r="F41" s="26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2:29" x14ac:dyDescent="0.45">
      <c r="B42" s="25" t="s">
        <v>200</v>
      </c>
      <c r="C42" s="26" t="s">
        <v>175</v>
      </c>
      <c r="D42" s="55" cm="1">
        <f t="array" aca="1" ref="D42" ca="1">_xll.VoseOutput("Выручка, купленные путы","млн долл.")+D27+D34</f>
        <v>190.95397283117876</v>
      </c>
      <c r="E42" s="28"/>
      <c r="F42" s="26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2:29" x14ac:dyDescent="0.45">
      <c r="B43" s="25" t="s">
        <v>201</v>
      </c>
      <c r="C43" s="26" t="s">
        <v>175</v>
      </c>
      <c r="D43" s="55" cm="1">
        <f t="array" aca="1" ref="D43" ca="1">_xll.VoseOutput("Недостача без хеджирования","млн долл.")+PlanRevenue-Rev_U</f>
        <v>89.919766325673578</v>
      </c>
      <c r="E43" s="28"/>
      <c r="F43" s="26" t="s">
        <v>202</v>
      </c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  <row r="44" spans="2:29" x14ac:dyDescent="0.45">
      <c r="B44" s="25" t="s">
        <v>203</v>
      </c>
      <c r="C44" s="26" t="s">
        <v>175</v>
      </c>
      <c r="D44" s="55" cm="1">
        <f t="array" aca="1" ref="D44" ca="1">_xll.VoseOutput("Недостача, своп","млн долл.")+PlanRevenue-Rev_S</f>
        <v>41.241437998050742</v>
      </c>
      <c r="E44" s="28"/>
      <c r="F44" s="26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</row>
    <row r="45" spans="2:29" x14ac:dyDescent="0.45">
      <c r="B45" s="25" t="s">
        <v>204</v>
      </c>
      <c r="C45" s="26" t="s">
        <v>175</v>
      </c>
      <c r="D45" s="55" cm="1">
        <f t="array" aca="1" ref="D45" ca="1">_xll.VoseOutput("Недостача, беззатратный коллар","млн долл.")+PlanRevenue-Rev_C</f>
        <v>59.066027168821222</v>
      </c>
      <c r="E45" s="28"/>
      <c r="F45" s="26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2:29" x14ac:dyDescent="0.45">
      <c r="B46" s="25" t="s">
        <v>205</v>
      </c>
      <c r="C46" s="26" t="s">
        <v>175</v>
      </c>
      <c r="D46" s="55" cm="1">
        <f t="array" aca="1" ref="D46" ca="1">_xll.VoseOutput("Недостача, купленные путы","млн долл.")+PlanRevenue-Rev_P</f>
        <v>68.246027168821229</v>
      </c>
      <c r="E46" s="28"/>
      <c r="F46" s="26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</row>
    <row r="47" spans="2:29" x14ac:dyDescent="0.45">
      <c r="B47" s="25" t="s">
        <v>206</v>
      </c>
      <c r="C47" s="26" t="s">
        <v>175</v>
      </c>
      <c r="D47" s="55" cm="1">
        <f t="array" aca="1" ref="D47" ca="1">_xll.VoseOutput("Выплата по хеджу, своп","млн долл.")+D32</f>
        <v>48.678328327622829</v>
      </c>
      <c r="E47" s="28"/>
      <c r="F47" s="26" t="s">
        <v>207</v>
      </c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2:29" x14ac:dyDescent="0.45">
      <c r="B48" s="25" t="s">
        <v>208</v>
      </c>
      <c r="C48" s="26" t="s">
        <v>175</v>
      </c>
      <c r="D48" s="55" cm="1">
        <f t="array" aca="1" ref="D48" ca="1">_xll.VoseOutput("Выплата по хеджу, коллар","млн долл.")+D33</f>
        <v>30.853739156852356</v>
      </c>
      <c r="E48" s="28"/>
      <c r="F48" s="26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2:29" x14ac:dyDescent="0.45">
      <c r="B49" s="25" t="s">
        <v>209</v>
      </c>
      <c r="C49" s="26" t="s">
        <v>175</v>
      </c>
      <c r="D49" s="55" cm="1">
        <f t="array" aca="1" ref="D49" ca="1">_xll.VoseOutput("Выплата по хеджу, путы после премии","млн долл.")+D34</f>
        <v>21.67373915685236</v>
      </c>
      <c r="E49" s="28"/>
      <c r="F49" s="26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2:29" x14ac:dyDescent="0.45">
      <c r="B50" s="25" t="s">
        <v>210</v>
      </c>
      <c r="C50" s="26" t="s">
        <v>121</v>
      </c>
      <c r="D50" s="56" cm="1">
        <f t="array" aca="1" ref="D50" ca="1">_xll.VoseOutput("Средняя цена","долл./барр.")+AVERAGE(F23:AC23)</f>
        <v>49.463736885359793</v>
      </c>
      <c r="E50" s="28"/>
      <c r="F50" s="26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</row>
    <row r="51" spans="2:29" ht="8" customHeight="1" x14ac:dyDescent="0.45"/>
    <row r="52" spans="2:29" ht="22.05" customHeight="1" x14ac:dyDescent="0.5">
      <c r="B52" s="7" t="s">
        <v>211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2:29" ht="18" customHeight="1" x14ac:dyDescent="0.45">
      <c r="B53" s="13" t="s">
        <v>212</v>
      </c>
    </row>
    <row r="54" spans="2:29" x14ac:dyDescent="0.45">
      <c r="B54" s="25" t="s">
        <v>213</v>
      </c>
      <c r="C54" s="28"/>
      <c r="D54" s="57" t="str">
        <f>IF(PutStrike&lt;CallStrike,"ОК","ПРОВЕРИТЬ")</f>
        <v>ОК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</row>
    <row r="55" spans="2:29" x14ac:dyDescent="0.45">
      <c r="B55" s="25" t="s">
        <v>214</v>
      </c>
      <c r="C55" s="28"/>
      <c r="D55" s="57" t="str">
        <f>IF(AND(HedgeRatio&gt;=0,HedgeRatio&lt;=1),"ОК","ПРОВЕРИТЬ")</f>
        <v>ОК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</row>
    <row r="56" spans="2:29" x14ac:dyDescent="0.45">
      <c r="B56" s="25" t="s">
        <v>215</v>
      </c>
      <c r="C56" s="28"/>
      <c r="D56" s="57" t="str">
        <f ca="1">IF(COUNT(F23:AC23)=MonthsHedged,"ОК","ПРОВЕРИТЬ")</f>
        <v>ОК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</row>
    <row r="57" spans="2:29" ht="14" customHeight="1" x14ac:dyDescent="0.45"/>
  </sheetData>
  <conditionalFormatting sqref="D54:D56">
    <cfRule type="expression" dxfId="3" priority="1">
      <formula>D54="CHECK"</formula>
    </cfRule>
  </conditionalFormatting>
  <hyperlinks>
    <hyperlink ref="B4" location="'Исходные данные'!A1" display="◂  Исходные данные" xr:uid="{00000000-0004-0000-0200-000000000000}"/>
    <hyperlink ref="AC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8" scale="65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91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8" t="str" cm="1">
        <f t="array" aca="1" ref="B6" ca="1">IF(ISNUMBER(_xll.VoseSimMean(Rev_U)),"✔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9"/>
      <c r="D6" s="59"/>
      <c r="E6" s="59"/>
      <c r="F6" s="59"/>
      <c r="G6" s="59"/>
    </row>
    <row r="7" spans="1:18" x14ac:dyDescent="0.45">
      <c r="B7" s="60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218</v>
      </c>
      <c r="C9" s="8"/>
      <c r="D9" s="8"/>
      <c r="E9" s="8"/>
      <c r="F9" s="8"/>
      <c r="G9" s="8"/>
      <c r="I9" s="61" t="s">
        <v>219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220</v>
      </c>
    </row>
    <row r="11" spans="1:18" ht="18" customHeight="1" x14ac:dyDescent="0.45">
      <c r="B11" s="62" t="s">
        <v>221</v>
      </c>
      <c r="C11" s="63" t="s">
        <v>101</v>
      </c>
      <c r="D11" s="63" t="s">
        <v>222</v>
      </c>
      <c r="E11" s="63" t="s">
        <v>223</v>
      </c>
      <c r="F11" s="63" t="s">
        <v>224</v>
      </c>
      <c r="G11" s="63" t="s">
        <v>225</v>
      </c>
    </row>
    <row r="12" spans="1:18" x14ac:dyDescent="0.45">
      <c r="B12" s="64"/>
      <c r="C12" s="64" t="s">
        <v>175</v>
      </c>
      <c r="D12" s="64" t="s">
        <v>175</v>
      </c>
      <c r="E12" s="64" t="s">
        <v>175</v>
      </c>
      <c r="F12" s="64" t="s">
        <v>226</v>
      </c>
      <c r="G12" s="64" t="s">
        <v>227</v>
      </c>
    </row>
    <row r="13" spans="1:18" x14ac:dyDescent="0.45">
      <c r="B13" s="25" t="s">
        <v>228</v>
      </c>
      <c r="C13" s="65" cm="1">
        <f t="array" aca="1" ref="C13" ca="1">_xll.VoseSimMean(Rev_U)</f>
        <v>246.31975492121089</v>
      </c>
      <c r="D13" s="65" cm="1">
        <f t="array" aca="1" ref="D13" ca="1">_xll.VoseSimPercentile(Rev_U,0.05)</f>
        <v>159.17778838416689</v>
      </c>
      <c r="E13" s="65" cm="1">
        <f t="array" aca="1" ref="E13" ca="1">_xll.VoseSimPercentile(Rev_U,0.95)</f>
        <v>361.7304469403565</v>
      </c>
      <c r="F13" s="65" cm="1">
        <f t="array" aca="1" ref="F13" ca="1">IFERROR(PlanRevenue-_xll.VoseSimCVARp(Short_U,0.05),"–")</f>
        <v>144.92290282304504</v>
      </c>
      <c r="G13" s="66" cm="1">
        <f t="array" aca="1" ref="G13" ca="1">_xll.VoseSimProbability(Rev_U,BudgetRevenue)</f>
        <v>0.42285771422857715</v>
      </c>
    </row>
    <row r="14" spans="1:18" x14ac:dyDescent="0.45">
      <c r="B14" s="25" t="s">
        <v>189</v>
      </c>
      <c r="C14" s="65" cm="1">
        <f t="array" aca="1" ref="C14" ca="1">_xll.VoseSimMean(Rev_S)</f>
        <v>246.16796098015266</v>
      </c>
      <c r="D14" s="65" cm="1">
        <f t="array" aca="1" ref="D14" ca="1">_xll.VoseSimPercentile(Rev_S,0.05)</f>
        <v>211.9655195427444</v>
      </c>
      <c r="E14" s="65" cm="1">
        <f t="array" aca="1" ref="E14" ca="1">_xll.VoseSimPercentile(Rev_S,0.95)</f>
        <v>289.99555447154648</v>
      </c>
      <c r="F14" s="65" cm="1">
        <f t="array" aca="1" ref="F14" ca="1">IFERROR(PlanRevenue-_xll.VoseSimCVARp(Short_S,0.05),"–")</f>
        <v>205.37210560428628</v>
      </c>
      <c r="G14" s="66" cm="1">
        <f t="array" aca="1" ref="G14" ca="1">_xll.VoseSimProbability(Rev_S,BudgetRevenue)</f>
        <v>0.21497850214978503</v>
      </c>
    </row>
    <row r="15" spans="1:18" x14ac:dyDescent="0.45">
      <c r="B15" s="25" t="s">
        <v>229</v>
      </c>
      <c r="C15" s="65" cm="1">
        <f t="array" aca="1" ref="C15" ca="1">_xll.VoseSimMean(Rev_C)</f>
        <v>246.61297462330361</v>
      </c>
      <c r="D15" s="65" cm="1">
        <f t="array" aca="1" ref="D15" ca="1">_xll.VoseSimPercentile(Rev_C,0.05)</f>
        <v>192.7098063048997</v>
      </c>
      <c r="E15" s="65" cm="1">
        <f t="array" aca="1" ref="E15" ca="1">_xll.VoseSimPercentile(Rev_C,0.95)</f>
        <v>318.28696431692862</v>
      </c>
      <c r="F15" s="65" cm="1">
        <f t="array" aca="1" ref="F15" ca="1">IFERROR(PlanRevenue-_xll.VoseSimCVARp(Short_C,0.05),"–")</f>
        <v>185.68856698750452</v>
      </c>
      <c r="G15" s="66" cm="1">
        <f t="array" aca="1" ref="G15" ca="1">_xll.VoseSimProbability(Rev_C,BudgetRevenue)</f>
        <v>0.38586141385861417</v>
      </c>
    </row>
    <row r="16" spans="1:18" x14ac:dyDescent="0.45">
      <c r="B16" s="25" t="s">
        <v>230</v>
      </c>
      <c r="C16" s="65" cm="1">
        <f t="array" aca="1" ref="C16" ca="1">_xll.VoseSimMean(Rev_P)</f>
        <v>245.39187226398937</v>
      </c>
      <c r="D16" s="65" cm="1">
        <f t="array" aca="1" ref="D16" ca="1">_xll.VoseSimPercentile(Rev_P,0.05)</f>
        <v>183.52980630489969</v>
      </c>
      <c r="E16" s="65" cm="1">
        <f t="array" aca="1" ref="E16" ca="1">_xll.VoseSimPercentile(Rev_P,0.95)</f>
        <v>352.55044694035649</v>
      </c>
      <c r="F16" s="65" cm="1">
        <f t="array" aca="1" ref="F16" ca="1">IFERROR(PlanRevenue-_xll.VoseSimCVARp(Short_P,0.05),"–")</f>
        <v>176.50865998780489</v>
      </c>
      <c r="G16" s="66" cm="1">
        <f t="array" aca="1" ref="G16" ca="1">_xll.VoseSimProbability(Rev_P,BudgetRevenue)</f>
        <v>0.45975402459754022</v>
      </c>
    </row>
    <row r="17" spans="2:7" x14ac:dyDescent="0.45">
      <c r="B17" s="67" t="s">
        <v>231</v>
      </c>
    </row>
    <row r="18" spans="2:7" ht="18" customHeight="1" x14ac:dyDescent="0.45">
      <c r="B18" s="23" t="s">
        <v>232</v>
      </c>
      <c r="C18" s="23" t="s">
        <v>95</v>
      </c>
      <c r="D18" s="24" t="s">
        <v>157</v>
      </c>
      <c r="E18" s="5"/>
      <c r="F18" s="5"/>
      <c r="G18" s="5"/>
    </row>
    <row r="19" spans="2:7" x14ac:dyDescent="0.45">
      <c r="B19" s="68" t="s">
        <v>233</v>
      </c>
      <c r="C19" s="26" t="s">
        <v>175</v>
      </c>
      <c r="D19" s="48">
        <f>BudgetRevenue</f>
        <v>226.98</v>
      </c>
      <c r="E19" s="28"/>
      <c r="F19" s="28"/>
      <c r="G19" s="28"/>
    </row>
    <row r="20" spans="2:7" x14ac:dyDescent="0.45">
      <c r="B20" s="68" t="s">
        <v>174</v>
      </c>
      <c r="C20" s="26" t="s">
        <v>175</v>
      </c>
      <c r="D20" s="48">
        <f>PlanRevenue</f>
        <v>259.2</v>
      </c>
      <c r="E20" s="28"/>
      <c r="F20" s="28"/>
      <c r="G20" s="28"/>
    </row>
    <row r="21" spans="2:7" ht="8" customHeight="1" x14ac:dyDescent="0.45"/>
    <row r="22" spans="2:7" ht="22.05" customHeight="1" x14ac:dyDescent="0.5">
      <c r="B22" s="7" t="s">
        <v>234</v>
      </c>
      <c r="C22" s="8"/>
      <c r="D22" s="8"/>
      <c r="E22" s="8"/>
      <c r="F22" s="8"/>
      <c r="G22" s="8"/>
    </row>
    <row r="23" spans="2:7" ht="18" customHeight="1" x14ac:dyDescent="0.45">
      <c r="B23" s="13" t="s">
        <v>235</v>
      </c>
    </row>
    <row r="24" spans="2:7" ht="18" customHeight="1" x14ac:dyDescent="0.45">
      <c r="B24" s="23" t="s">
        <v>232</v>
      </c>
      <c r="C24" s="23" t="s">
        <v>95</v>
      </c>
      <c r="D24" s="24" t="s">
        <v>157</v>
      </c>
      <c r="E24" s="5"/>
      <c r="F24" s="5"/>
      <c r="G24" s="5"/>
    </row>
    <row r="25" spans="2:7" x14ac:dyDescent="0.45">
      <c r="B25" s="25" t="s">
        <v>189</v>
      </c>
      <c r="C25" s="26" t="s">
        <v>175</v>
      </c>
      <c r="D25" s="69" cm="1">
        <f t="array" aca="1" ref="D25" ca="1">_xll.VoseSimMean(Pay_S)</f>
        <v>-0.15179394105867708</v>
      </c>
      <c r="E25" s="28"/>
      <c r="F25" s="28"/>
      <c r="G25" s="28"/>
    </row>
    <row r="26" spans="2:7" x14ac:dyDescent="0.45">
      <c r="B26" s="25" t="s">
        <v>229</v>
      </c>
      <c r="C26" s="26" t="s">
        <v>175</v>
      </c>
      <c r="D26" s="69" cm="1">
        <f t="array" aca="1" ref="D26" ca="1">_xll.VoseSimMean(Pay_C)</f>
        <v>0.29321970209291565</v>
      </c>
      <c r="E26" s="28"/>
      <c r="F26" s="28"/>
      <c r="G26" s="28"/>
    </row>
    <row r="27" spans="2:7" x14ac:dyDescent="0.45">
      <c r="B27" s="25" t="s">
        <v>191</v>
      </c>
      <c r="C27" s="26" t="s">
        <v>175</v>
      </c>
      <c r="D27" s="69" cm="1">
        <f t="array" aca="1" ref="D27" ca="1">_xll.VoseSimMean(Pay_P)</f>
        <v>-0.92788265722282903</v>
      </c>
      <c r="E27" s="28"/>
      <c r="F27" s="28"/>
      <c r="G27" s="28"/>
    </row>
    <row r="28" spans="2:7" x14ac:dyDescent="0.45">
      <c r="B28" s="68" t="s">
        <v>236</v>
      </c>
      <c r="C28" s="26" t="s">
        <v>175</v>
      </c>
      <c r="D28" s="54">
        <f>PutPremium*HedgeRatio*PlanVolume*MonthsHedged/1000</f>
        <v>9.18</v>
      </c>
      <c r="E28" s="28"/>
      <c r="F28" s="28"/>
      <c r="G28" s="28"/>
    </row>
    <row r="29" spans="2:7" x14ac:dyDescent="0.45">
      <c r="B29" s="25" t="s">
        <v>237</v>
      </c>
      <c r="C29" s="26" t="s">
        <v>121</v>
      </c>
      <c r="D29" s="69" cm="1">
        <f t="array" aca="1" ref="D29" ca="1">_xll.VoseSimMean(AvgPrice)</f>
        <v>72.070274972712383</v>
      </c>
      <c r="E29" s="28"/>
      <c r="F29" s="28"/>
      <c r="G29" s="28"/>
    </row>
    <row r="30" spans="2:7" ht="8" customHeight="1" x14ac:dyDescent="0.45"/>
    <row r="31" spans="2:7" ht="22.05" customHeight="1" x14ac:dyDescent="0.5">
      <c r="B31" s="7" t="s">
        <v>238</v>
      </c>
      <c r="C31" s="8"/>
      <c r="D31" s="8"/>
      <c r="E31" s="8"/>
      <c r="F31" s="8"/>
      <c r="G31" s="8"/>
    </row>
    <row r="32" spans="2:7" ht="32" customHeight="1" x14ac:dyDescent="0.45">
      <c r="B32" s="74" t="s">
        <v>239</v>
      </c>
      <c r="C32" s="73"/>
      <c r="D32" s="73"/>
      <c r="E32" s="73"/>
      <c r="F32" s="73"/>
      <c r="G32" s="73"/>
    </row>
    <row r="33" spans="2:7" ht="45" customHeight="1" x14ac:dyDescent="0.45">
      <c r="B33" s="74" t="s">
        <v>240</v>
      </c>
      <c r="C33" s="73"/>
      <c r="D33" s="73"/>
      <c r="E33" s="73"/>
      <c r="F33" s="73"/>
      <c r="G33" s="73"/>
    </row>
    <row r="34" spans="2:7" ht="32" customHeight="1" x14ac:dyDescent="0.45">
      <c r="B34" s="74" t="s">
        <v>241</v>
      </c>
      <c r="C34" s="73"/>
      <c r="D34" s="73"/>
      <c r="E34" s="73"/>
      <c r="F34" s="73"/>
      <c r="G34" s="73"/>
    </row>
    <row r="35" spans="2:7" ht="32" customHeight="1" x14ac:dyDescent="0.45">
      <c r="B35" s="74" t="s">
        <v>242</v>
      </c>
      <c r="C35" s="73"/>
      <c r="D35" s="73"/>
      <c r="E35" s="73"/>
      <c r="F35" s="73"/>
      <c r="G35" s="73"/>
    </row>
    <row r="36" spans="2:7" ht="32" customHeight="1" x14ac:dyDescent="0.45">
      <c r="B36" s="74" t="s">
        <v>243</v>
      </c>
      <c r="C36" s="73"/>
      <c r="D36" s="73"/>
      <c r="E36" s="73"/>
      <c r="F36" s="73"/>
      <c r="G36" s="73"/>
    </row>
    <row r="37" spans="2:7" ht="14" customHeight="1" x14ac:dyDescent="0.45"/>
    <row r="38" spans="2:7" ht="14" customHeight="1" x14ac:dyDescent="0.45"/>
    <row r="39" spans="2:7" ht="22.05" customHeight="1" x14ac:dyDescent="0.5">
      <c r="B39" s="7" t="s">
        <v>244</v>
      </c>
      <c r="C39" s="8"/>
      <c r="D39" s="8"/>
      <c r="E39" s="8"/>
      <c r="F39" s="8"/>
      <c r="G39" s="8"/>
    </row>
    <row r="40" spans="2:7" ht="18" customHeight="1" x14ac:dyDescent="0.45">
      <c r="B40" s="13" t="s">
        <v>245</v>
      </c>
    </row>
    <row r="41" spans="2:7" ht="28.05" hidden="1" customHeight="1" outlineLevel="1" x14ac:dyDescent="0.45">
      <c r="B41" s="24" t="s">
        <v>246</v>
      </c>
      <c r="C41" s="24" t="s">
        <v>247</v>
      </c>
      <c r="D41" s="24" t="s">
        <v>248</v>
      </c>
      <c r="E41" s="24" t="s">
        <v>249</v>
      </c>
      <c r="F41" s="24" t="s">
        <v>250</v>
      </c>
      <c r="G41" s="24" t="s">
        <v>251</v>
      </c>
    </row>
    <row r="42" spans="2:7" hidden="1" outlineLevel="1" x14ac:dyDescent="0.45">
      <c r="B42" s="70">
        <v>0.01</v>
      </c>
      <c r="C42" s="70">
        <f t="shared" ref="C42:C73" si="0">1-B42</f>
        <v>0.99</v>
      </c>
      <c r="D42" s="71" cm="1">
        <f t="array" aca="1" ref="D42" ca="1">IF(ISNUMBER(_xll.VoseSimPercentile(Rev_U,$B42)),_xll.VoseSimPercentile(Rev_U,$B42),NA())</f>
        <v>135.76718418531129</v>
      </c>
      <c r="E42" s="71" cm="1">
        <f t="array" aca="1" ref="E42" ca="1">IF(ISNUMBER(_xll.VoseSimPercentile(Rev_S,$B42)),_xll.VoseSimPercentile(Rev_S,$B42),NA())</f>
        <v>200.94352926979411</v>
      </c>
      <c r="F42" s="71" cm="1">
        <f t="array" aca="1" ref="F42" ca="1">IF(ISNUMBER(_xll.VoseSimPercentile(Rev_C,$B42)),_xll.VoseSimPercentile(Rev_C,$B42),NA())</f>
        <v>181.0433520635012</v>
      </c>
      <c r="G42" s="71" cm="1">
        <f t="array" aca="1" ref="G42" ca="1">IF(ISNUMBER(_xll.VoseSimPercentile(Rev_P,$B42)),_xll.VoseSimPercentile(Rev_P,$B42),NA())</f>
        <v>171.8633520635012</v>
      </c>
    </row>
    <row r="43" spans="2:7" hidden="1" outlineLevel="1" x14ac:dyDescent="0.45">
      <c r="B43" s="70">
        <v>0.03</v>
      </c>
      <c r="C43" s="70">
        <f t="shared" si="0"/>
        <v>0.97</v>
      </c>
      <c r="D43" s="71" cm="1">
        <f t="array" aca="1" ref="D43" ca="1">IF(ISNUMBER(_xll.VoseSimPercentile(Rev_U,$B43)),_xll.VoseSimPercentile(Rev_U,$B43),NA())</f>
        <v>150.44094874340982</v>
      </c>
      <c r="E43" s="71" cm="1">
        <f t="array" aca="1" ref="E43" ca="1">IF(ISNUMBER(_xll.VoseSimPercentile(Rev_S,$B43)),_xll.VoseSimPercentile(Rev_S,$B43),NA())</f>
        <v>208.03974966180112</v>
      </c>
      <c r="F43" s="71" cm="1">
        <f t="array" aca="1" ref="F43" ca="1">IF(ISNUMBER(_xll.VoseSimPercentile(Rev_C,$B43)),_xll.VoseSimPercentile(Rev_C,$B43),NA())</f>
        <v>188.60192276579807</v>
      </c>
      <c r="G43" s="71" cm="1">
        <f t="array" aca="1" ref="G43" ca="1">IF(ISNUMBER(_xll.VoseSimPercentile(Rev_P,$B43)),_xll.VoseSimPercentile(Rev_P,$B43),NA())</f>
        <v>179.42192276579806</v>
      </c>
    </row>
    <row r="44" spans="2:7" hidden="1" outlineLevel="1" x14ac:dyDescent="0.45">
      <c r="B44" s="70">
        <v>0.05</v>
      </c>
      <c r="C44" s="70">
        <f t="shared" si="0"/>
        <v>0.95</v>
      </c>
      <c r="D44" s="71" cm="1">
        <f t="array" aca="1" ref="D44" ca="1">IF(ISNUMBER(_xll.VoseSimPercentile(Rev_U,$B44)),_xll.VoseSimPercentile(Rev_U,$B44),NA())</f>
        <v>159.17778838416689</v>
      </c>
      <c r="E44" s="71" cm="1">
        <f t="array" aca="1" ref="E44" ca="1">IF(ISNUMBER(_xll.VoseSimPercentile(Rev_S,$B44)),_xll.VoseSimPercentile(Rev_S,$B44),NA())</f>
        <v>211.9655195427444</v>
      </c>
      <c r="F44" s="71" cm="1">
        <f t="array" aca="1" ref="F44" ca="1">IF(ISNUMBER(_xll.VoseSimPercentile(Rev_C,$B44)),_xll.VoseSimPercentile(Rev_C,$B44),NA())</f>
        <v>192.7098063048997</v>
      </c>
      <c r="G44" s="71" cm="1">
        <f t="array" aca="1" ref="G44" ca="1">IF(ISNUMBER(_xll.VoseSimPercentile(Rev_P,$B44)),_xll.VoseSimPercentile(Rev_P,$B44),NA())</f>
        <v>183.52980630489969</v>
      </c>
    </row>
    <row r="45" spans="2:7" hidden="1" outlineLevel="1" x14ac:dyDescent="0.45">
      <c r="B45" s="70">
        <v>7.0000000000000007E-2</v>
      </c>
      <c r="C45" s="70">
        <f t="shared" si="0"/>
        <v>0.92999999999999994</v>
      </c>
      <c r="D45" s="71" cm="1">
        <f t="array" aca="1" ref="D45" ca="1">IF(ISNUMBER(_xll.VoseSimPercentile(Rev_U,$B45)),_xll.VoseSimPercentile(Rev_U,$B45),NA())</f>
        <v>165.99142879668463</v>
      </c>
      <c r="E45" s="71" cm="1">
        <f t="array" aca="1" ref="E45" ca="1">IF(ISNUMBER(_xll.VoseSimPercentile(Rev_S,$B45)),_xll.VoseSimPercentile(Rev_S,$B45),NA())</f>
        <v>214.82646591516948</v>
      </c>
      <c r="F45" s="71" cm="1">
        <f t="array" aca="1" ref="F45" ca="1">IF(ISNUMBER(_xll.VoseSimPercentile(Rev_C,$B45)),_xll.VoseSimPercentile(Rev_C,$B45),NA())</f>
        <v>196.00773748806762</v>
      </c>
      <c r="G45" s="71" cm="1">
        <f t="array" aca="1" ref="G45" ca="1">IF(ISNUMBER(_xll.VoseSimPercentile(Rev_P,$B45)),_xll.VoseSimPercentile(Rev_P,$B45),NA())</f>
        <v>186.82773748806761</v>
      </c>
    </row>
    <row r="46" spans="2:7" hidden="1" outlineLevel="1" x14ac:dyDescent="0.45">
      <c r="B46" s="70">
        <v>0.09</v>
      </c>
      <c r="C46" s="70">
        <f t="shared" si="0"/>
        <v>0.91</v>
      </c>
      <c r="D46" s="71" cm="1">
        <f t="array" aca="1" ref="D46" ca="1">IF(ISNUMBER(_xll.VoseSimPercentile(Rev_U,$B46)),_xll.VoseSimPercentile(Rev_U,$B46),NA())</f>
        <v>171.5388708618035</v>
      </c>
      <c r="E46" s="71" cm="1">
        <f t="array" aca="1" ref="E46" ca="1">IF(ISNUMBER(_xll.VoseSimPercentile(Rev_S,$B46)),_xll.VoseSimPercentile(Rev_S,$B46),NA())</f>
        <v>217.29232053993445</v>
      </c>
      <c r="F46" s="71" cm="1">
        <f t="array" aca="1" ref="F46" ca="1">IF(ISNUMBER(_xll.VoseSimPercentile(Rev_C,$B46)),_xll.VoseSimPercentile(Rev_C,$B46),NA())</f>
        <v>198.62299545212809</v>
      </c>
      <c r="G46" s="71" cm="1">
        <f t="array" aca="1" ref="G46" ca="1">IF(ISNUMBER(_xll.VoseSimPercentile(Rev_P,$B46)),_xll.VoseSimPercentile(Rev_P,$B46),NA())</f>
        <v>189.45115195146212</v>
      </c>
    </row>
    <row r="47" spans="2:7" hidden="1" outlineLevel="1" x14ac:dyDescent="0.45">
      <c r="B47" s="70">
        <v>0.11</v>
      </c>
      <c r="C47" s="70">
        <f t="shared" si="0"/>
        <v>0.89</v>
      </c>
      <c r="D47" s="71" cm="1">
        <f t="array" aca="1" ref="D47" ca="1">IF(ISNUMBER(_xll.VoseSimPercentile(Rev_U,$B47)),_xll.VoseSimPercentile(Rev_U,$B47),NA())</f>
        <v>176.44063977452851</v>
      </c>
      <c r="E47" s="71" cm="1">
        <f t="array" aca="1" ref="E47" ca="1">IF(ISNUMBER(_xll.VoseSimPercentile(Rev_S,$B47)),_xll.VoseSimPercentile(Rev_S,$B47),NA())</f>
        <v>219.37547052143333</v>
      </c>
      <c r="F47" s="71" cm="1">
        <f t="array" aca="1" ref="F47" ca="1">IF(ISNUMBER(_xll.VoseSimPercentile(Rev_C,$B47)),_xll.VoseSimPercentile(Rev_C,$B47),NA())</f>
        <v>200.99035979409086</v>
      </c>
      <c r="G47" s="71" cm="1">
        <f t="array" aca="1" ref="G47" ca="1">IF(ISNUMBER(_xll.VoseSimPercentile(Rev_P,$B47)),_xll.VoseSimPercentile(Rev_P,$B47),NA())</f>
        <v>191.81035979409089</v>
      </c>
    </row>
    <row r="48" spans="2:7" hidden="1" outlineLevel="1" x14ac:dyDescent="0.45">
      <c r="B48" s="70">
        <v>0.13</v>
      </c>
      <c r="C48" s="70">
        <f t="shared" si="0"/>
        <v>0.87</v>
      </c>
      <c r="D48" s="71" cm="1">
        <f t="array" aca="1" ref="D48" ca="1">IF(ISNUMBER(_xll.VoseSimPercentile(Rev_U,$B48)),_xll.VoseSimPercentile(Rev_U,$B48),NA())</f>
        <v>180.51447985595189</v>
      </c>
      <c r="E48" s="71" cm="1">
        <f t="array" aca="1" ref="E48" ca="1">IF(ISNUMBER(_xll.VoseSimPercentile(Rev_S,$B48)),_xll.VoseSimPercentile(Rev_S,$B48),NA())</f>
        <v>221.0472464575879</v>
      </c>
      <c r="F48" s="71" cm="1">
        <f t="array" aca="1" ref="F48" ca="1">IF(ISNUMBER(_xll.VoseSimPercentile(Rev_C,$B48)),_xll.VoseSimPercentile(Rev_C,$B48),NA())</f>
        <v>202.93277522640793</v>
      </c>
      <c r="G48" s="71" cm="1">
        <f t="array" aca="1" ref="G48" ca="1">IF(ISNUMBER(_xll.VoseSimPercentile(Rev_P,$B48)),_xll.VoseSimPercentile(Rev_P,$B48),NA())</f>
        <v>193.75468796705783</v>
      </c>
    </row>
    <row r="49" spans="2:7" hidden="1" outlineLevel="1" x14ac:dyDescent="0.45">
      <c r="B49" s="70">
        <v>0.15</v>
      </c>
      <c r="C49" s="70">
        <f t="shared" si="0"/>
        <v>0.85</v>
      </c>
      <c r="D49" s="71" cm="1">
        <f t="array" aca="1" ref="D49" ca="1">IF(ISNUMBER(_xll.VoseSimPercentile(Rev_U,$B49)),_xll.VoseSimPercentile(Rev_U,$B49),NA())</f>
        <v>184.57158726193475</v>
      </c>
      <c r="E49" s="71" cm="1">
        <f t="array" aca="1" ref="E49" ca="1">IF(ISNUMBER(_xll.VoseSimPercentile(Rev_S,$B49)),_xll.VoseSimPercentile(Rev_S,$B49),NA())</f>
        <v>222.67226284439943</v>
      </c>
      <c r="F49" s="71" cm="1">
        <f t="array" aca="1" ref="F49" ca="1">IF(ISNUMBER(_xll.VoseSimPercentile(Rev_C,$B49)),_xll.VoseSimPercentile(Rev_C,$B49),NA())</f>
        <v>204.655249039105</v>
      </c>
      <c r="G49" s="71" cm="1">
        <f t="array" aca="1" ref="G49" ca="1">IF(ISNUMBER(_xll.VoseSimPercentile(Rev_P,$B49)),_xll.VoseSimPercentile(Rev_P,$B49),NA())</f>
        <v>195.48064183565756</v>
      </c>
    </row>
    <row r="50" spans="2:7" hidden="1" outlineLevel="1" x14ac:dyDescent="0.45">
      <c r="B50" s="70">
        <v>0.17</v>
      </c>
      <c r="C50" s="70">
        <f t="shared" si="0"/>
        <v>0.83</v>
      </c>
      <c r="D50" s="71" cm="1">
        <f t="array" aca="1" ref="D50" ca="1">IF(ISNUMBER(_xll.VoseSimPercentile(Rev_U,$B50)),_xll.VoseSimPercentile(Rev_U,$B50),NA())</f>
        <v>187.97488682260536</v>
      </c>
      <c r="E50" s="71" cm="1">
        <f t="array" aca="1" ref="E50" ca="1">IF(ISNUMBER(_xll.VoseSimPercentile(Rev_S,$B50)),_xll.VoseSimPercentile(Rev_S,$B50),NA())</f>
        <v>224.09853327611776</v>
      </c>
      <c r="F50" s="71" cm="1">
        <f t="array" aca="1" ref="F50" ca="1">IF(ISNUMBER(_xll.VoseSimPercentile(Rev_C,$B50)),_xll.VoseSimPercentile(Rev_C,$B50),NA())</f>
        <v>206.40074113818221</v>
      </c>
      <c r="G50" s="71" cm="1">
        <f t="array" aca="1" ref="G50" ca="1">IF(ISNUMBER(_xll.VoseSimPercentile(Rev_P,$B50)),_xll.VoseSimPercentile(Rev_P,$B50),NA())</f>
        <v>197.25175506676197</v>
      </c>
    </row>
    <row r="51" spans="2:7" hidden="1" outlineLevel="1" x14ac:dyDescent="0.45">
      <c r="B51" s="70">
        <v>0.19</v>
      </c>
      <c r="C51" s="70">
        <f t="shared" si="0"/>
        <v>0.81</v>
      </c>
      <c r="D51" s="71" cm="1">
        <f t="array" aca="1" ref="D51" ca="1">IF(ISNUMBER(_xll.VoseSimPercentile(Rev_U,$B51)),_xll.VoseSimPercentile(Rev_U,$B51),NA())</f>
        <v>191.10528440704715</v>
      </c>
      <c r="E51" s="71" cm="1">
        <f t="array" aca="1" ref="E51" ca="1">IF(ISNUMBER(_xll.VoseSimPercentile(Rev_S,$B51)),_xll.VoseSimPercentile(Rev_S,$B51),NA())</f>
        <v>225.52456205058854</v>
      </c>
      <c r="F51" s="71" cm="1">
        <f t="array" aca="1" ref="F51" ca="1">IF(ISNUMBER(_xll.VoseSimPercentile(Rev_C,$B51)),_xll.VoseSimPercentile(Rev_C,$B51),NA())</f>
        <v>208.2664989994795</v>
      </c>
      <c r="G51" s="71" cm="1">
        <f t="array" aca="1" ref="G51" ca="1">IF(ISNUMBER(_xll.VoseSimPercentile(Rev_P,$B51)),_xll.VoseSimPercentile(Rev_P,$B51),NA())</f>
        <v>199.10694960241315</v>
      </c>
    </row>
    <row r="52" spans="2:7" hidden="1" outlineLevel="1" x14ac:dyDescent="0.45">
      <c r="B52" s="70">
        <v>0.21</v>
      </c>
      <c r="C52" s="70">
        <f t="shared" si="0"/>
        <v>0.79</v>
      </c>
      <c r="D52" s="71" cm="1">
        <f t="array" aca="1" ref="D52" ca="1">IF(ISNUMBER(_xll.VoseSimPercentile(Rev_U,$B52)),_xll.VoseSimPercentile(Rev_U,$B52),NA())</f>
        <v>194.38374208172738</v>
      </c>
      <c r="E52" s="71" cm="1">
        <f t="array" aca="1" ref="E52" ca="1">IF(ISNUMBER(_xll.VoseSimPercentile(Rev_S,$B52)),_xll.VoseSimPercentile(Rev_S,$B52),NA())</f>
        <v>226.62875432163554</v>
      </c>
      <c r="F52" s="71" cm="1">
        <f t="array" aca="1" ref="F52" ca="1">IF(ISNUMBER(_xll.VoseSimPercentile(Rev_C,$B52)),_xll.VoseSimPercentile(Rev_C,$B52),NA())</f>
        <v>209.89353728635484</v>
      </c>
      <c r="G52" s="71" cm="1">
        <f t="array" aca="1" ref="G52" ca="1">IF(ISNUMBER(_xll.VoseSimPercentile(Rev_P,$B52)),_xll.VoseSimPercentile(Rev_P,$B52),NA())</f>
        <v>200.72513718629901</v>
      </c>
    </row>
    <row r="53" spans="2:7" hidden="1" outlineLevel="1" x14ac:dyDescent="0.45">
      <c r="B53" s="70">
        <v>0.23</v>
      </c>
      <c r="C53" s="70">
        <f t="shared" si="0"/>
        <v>0.77</v>
      </c>
      <c r="D53" s="71" cm="1">
        <f t="array" aca="1" ref="D53" ca="1">IF(ISNUMBER(_xll.VoseSimPercentile(Rev_U,$B53)),_xll.VoseSimPercentile(Rev_U,$B53),NA())</f>
        <v>197.61474840311101</v>
      </c>
      <c r="E53" s="71" cm="1">
        <f t="array" aca="1" ref="E53" ca="1">IF(ISNUMBER(_xll.VoseSimPercentile(Rev_S,$B53)),_xll.VoseSimPercentile(Rev_S,$B53),NA())</f>
        <v>227.84493661680852</v>
      </c>
      <c r="F53" s="71" cm="1">
        <f t="array" aca="1" ref="F53" ca="1">IF(ISNUMBER(_xll.VoseSimPercentile(Rev_C,$B53)),_xll.VoseSimPercentile(Rev_C,$B53),NA())</f>
        <v>211.63564478920358</v>
      </c>
      <c r="G53" s="71" cm="1">
        <f t="array" aca="1" ref="G53" ca="1">IF(ISNUMBER(_xll.VoseSimPercentile(Rev_P,$B53)),_xll.VoseSimPercentile(Rev_P,$B53),NA())</f>
        <v>202.48431827544024</v>
      </c>
    </row>
    <row r="54" spans="2:7" hidden="1" outlineLevel="1" x14ac:dyDescent="0.45">
      <c r="B54" s="70">
        <v>0.25</v>
      </c>
      <c r="C54" s="70">
        <f t="shared" si="0"/>
        <v>0.75</v>
      </c>
      <c r="D54" s="71" cm="1">
        <f t="array" aca="1" ref="D54" ca="1">IF(ISNUMBER(_xll.VoseSimPercentile(Rev_U,$B54)),_xll.VoseSimPercentile(Rev_U,$B54),NA())</f>
        <v>200.87060564926475</v>
      </c>
      <c r="E54" s="71" cm="1">
        <f t="array" aca="1" ref="E54" ca="1">IF(ISNUMBER(_xll.VoseSimPercentile(Rev_S,$B54)),_xll.VoseSimPercentile(Rev_S,$B54),NA())</f>
        <v>229.14887233429715</v>
      </c>
      <c r="F54" s="71" cm="1">
        <f t="array" aca="1" ref="F54" ca="1">IF(ISNUMBER(_xll.VoseSimPercentile(Rev_C,$B54)),_xll.VoseSimPercentile(Rev_C,$B54),NA())</f>
        <v>213.48150254516963</v>
      </c>
      <c r="G54" s="71" cm="1">
        <f t="array" aca="1" ref="G54" ca="1">IF(ISNUMBER(_xll.VoseSimPercentile(Rev_P,$B54)),_xll.VoseSimPercentile(Rev_P,$B54),NA())</f>
        <v>204.32097295941207</v>
      </c>
    </row>
    <row r="55" spans="2:7" hidden="1" outlineLevel="1" x14ac:dyDescent="0.45">
      <c r="B55" s="70">
        <v>0.27</v>
      </c>
      <c r="C55" s="70">
        <f t="shared" si="0"/>
        <v>0.73</v>
      </c>
      <c r="D55" s="71" cm="1">
        <f t="array" aca="1" ref="D55" ca="1">IF(ISNUMBER(_xll.VoseSimPercentile(Rev_U,$B55)),_xll.VoseSimPercentile(Rev_U,$B55),NA())</f>
        <v>204.11335808595348</v>
      </c>
      <c r="E55" s="71" cm="1">
        <f t="array" aca="1" ref="E55" ca="1">IF(ISNUMBER(_xll.VoseSimPercentile(Rev_S,$B55)),_xll.VoseSimPercentile(Rev_S,$B55),NA())</f>
        <v>230.26884216700068</v>
      </c>
      <c r="F55" s="71" cm="1">
        <f t="array" aca="1" ref="F55" ca="1">IF(ISNUMBER(_xll.VoseSimPercentile(Rev_C,$B55)),_xll.VoseSimPercentile(Rev_C,$B55),NA())</f>
        <v>215.27525914599289</v>
      </c>
      <c r="G55" s="71" cm="1">
        <f t="array" aca="1" ref="G55" ca="1">IF(ISNUMBER(_xll.VoseSimPercentile(Rev_P,$B55)),_xll.VoseSimPercentile(Rev_P,$B55),NA())</f>
        <v>206.15847942955415</v>
      </c>
    </row>
    <row r="56" spans="2:7" hidden="1" outlineLevel="1" x14ac:dyDescent="0.45">
      <c r="B56" s="70">
        <v>0.28999999999999998</v>
      </c>
      <c r="C56" s="70">
        <f t="shared" si="0"/>
        <v>0.71</v>
      </c>
      <c r="D56" s="71" cm="1">
        <f t="array" aca="1" ref="D56" ca="1">IF(ISNUMBER(_xll.VoseSimPercentile(Rev_U,$B56)),_xll.VoseSimPercentile(Rev_U,$B56),NA())</f>
        <v>206.91684242696843</v>
      </c>
      <c r="E56" s="71" cm="1">
        <f t="array" aca="1" ref="E56" ca="1">IF(ISNUMBER(_xll.VoseSimPercentile(Rev_S,$B56)),_xll.VoseSimPercentile(Rev_S,$B56),NA())</f>
        <v>231.43761316142562</v>
      </c>
      <c r="F56" s="71" cm="1">
        <f t="array" aca="1" ref="F56" ca="1">IF(ISNUMBER(_xll.VoseSimPercentile(Rev_C,$B56)),_xll.VoseSimPercentile(Rev_C,$B56),NA())</f>
        <v>217.05474167986173</v>
      </c>
      <c r="G56" s="71" cm="1">
        <f t="array" aca="1" ref="G56" ca="1">IF(ISNUMBER(_xll.VoseSimPercentile(Rev_P,$B56)),_xll.VoseSimPercentile(Rev_P,$B56),NA())</f>
        <v>207.89209363011693</v>
      </c>
    </row>
    <row r="57" spans="2:7" hidden="1" outlineLevel="1" x14ac:dyDescent="0.45">
      <c r="B57" s="70">
        <v>0.31</v>
      </c>
      <c r="C57" s="70">
        <f t="shared" si="0"/>
        <v>0.69</v>
      </c>
      <c r="D57" s="71" cm="1">
        <f t="array" aca="1" ref="D57" ca="1">IF(ISNUMBER(_xll.VoseSimPercentile(Rev_U,$B57)),_xll.VoseSimPercentile(Rev_U,$B57),NA())</f>
        <v>209.98860399844583</v>
      </c>
      <c r="E57" s="71" cm="1">
        <f t="array" aca="1" ref="E57" ca="1">IF(ISNUMBER(_xll.VoseSimPercentile(Rev_S,$B57)),_xll.VoseSimPercentile(Rev_S,$B57),NA())</f>
        <v>232.61284987049527</v>
      </c>
      <c r="F57" s="71" cm="1">
        <f t="array" aca="1" ref="F57" ca="1">IF(ISNUMBER(_xll.VoseSimPercentile(Rev_C,$B57)),_xll.VoseSimPercentile(Rev_C,$B57),NA())</f>
        <v>218.85357812372655</v>
      </c>
      <c r="G57" s="71" cm="1">
        <f t="array" aca="1" ref="G57" ca="1">IF(ISNUMBER(_xll.VoseSimPercentile(Rev_P,$B57)),_xll.VoseSimPercentile(Rev_P,$B57),NA())</f>
        <v>209.82148555751874</v>
      </c>
    </row>
    <row r="58" spans="2:7" hidden="1" outlineLevel="1" x14ac:dyDescent="0.45">
      <c r="B58" s="70">
        <v>0.33</v>
      </c>
      <c r="C58" s="70">
        <f t="shared" si="0"/>
        <v>0.66999999999999993</v>
      </c>
      <c r="D58" s="71" cm="1">
        <f t="array" aca="1" ref="D58" ca="1">IF(ISNUMBER(_xll.VoseSimPercentile(Rev_U,$B58)),_xll.VoseSimPercentile(Rev_U,$B58),NA())</f>
        <v>213.00337728850383</v>
      </c>
      <c r="E58" s="71" cm="1">
        <f t="array" aca="1" ref="E58" ca="1">IF(ISNUMBER(_xll.VoseSimPercentile(Rev_S,$B58)),_xll.VoseSimPercentile(Rev_S,$B58),NA())</f>
        <v>233.72398677011557</v>
      </c>
      <c r="F58" s="71" cm="1">
        <f t="array" aca="1" ref="F58" ca="1">IF(ISNUMBER(_xll.VoseSimPercentile(Rev_C,$B58)),_xll.VoseSimPercentile(Rev_C,$B58),NA())</f>
        <v>220.95630713721152</v>
      </c>
      <c r="G58" s="71" cm="1">
        <f t="array" aca="1" ref="G58" ca="1">IF(ISNUMBER(_xll.VoseSimPercentile(Rev_P,$B58)),_xll.VoseSimPercentile(Rev_P,$B58),NA())</f>
        <v>211.85202374589841</v>
      </c>
    </row>
    <row r="59" spans="2:7" hidden="1" outlineLevel="1" x14ac:dyDescent="0.45">
      <c r="B59" s="70">
        <v>0.35</v>
      </c>
      <c r="C59" s="70">
        <f t="shared" si="0"/>
        <v>0.65</v>
      </c>
      <c r="D59" s="71" cm="1">
        <f t="array" aca="1" ref="D59" ca="1">IF(ISNUMBER(_xll.VoseSimPercentile(Rev_U,$B59)),_xll.VoseSimPercentile(Rev_U,$B59),NA())</f>
        <v>215.90145093648005</v>
      </c>
      <c r="E59" s="71" cm="1">
        <f t="array" aca="1" ref="E59" ca="1">IF(ISNUMBER(_xll.VoseSimPercentile(Rev_S,$B59)),_xll.VoseSimPercentile(Rev_S,$B59),NA())</f>
        <v>234.82141674072847</v>
      </c>
      <c r="F59" s="71" cm="1">
        <f t="array" aca="1" ref="F59" ca="1">IF(ISNUMBER(_xll.VoseSimPercentile(Rev_C,$B59)),_xll.VoseSimPercentile(Rev_C,$B59),NA())</f>
        <v>223.04887148106405</v>
      </c>
      <c r="G59" s="71" cm="1">
        <f t="array" aca="1" ref="G59" ca="1">IF(ISNUMBER(_xll.VoseSimPercentile(Rev_P,$B59)),_xll.VoseSimPercentile(Rev_P,$B59),NA())</f>
        <v>213.98413179585469</v>
      </c>
    </row>
    <row r="60" spans="2:7" hidden="1" outlineLevel="1" x14ac:dyDescent="0.45">
      <c r="B60" s="70">
        <v>0.37</v>
      </c>
      <c r="C60" s="70">
        <f t="shared" si="0"/>
        <v>0.63</v>
      </c>
      <c r="D60" s="71" cm="1">
        <f t="array" aca="1" ref="D60" ca="1">IF(ISNUMBER(_xll.VoseSimPercentile(Rev_U,$B60)),_xll.VoseSimPercentile(Rev_U,$B60),NA())</f>
        <v>218.90655479429878</v>
      </c>
      <c r="E60" s="71" cm="1">
        <f t="array" aca="1" ref="E60" ca="1">IF(ISNUMBER(_xll.VoseSimPercentile(Rev_S,$B60)),_xll.VoseSimPercentile(Rev_S,$B60),NA())</f>
        <v>236.08680878425054</v>
      </c>
      <c r="F60" s="71" cm="1">
        <f t="array" aca="1" ref="F60" ca="1">IF(ISNUMBER(_xll.VoseSimPercentile(Rev_C,$B60)),_xll.VoseSimPercentile(Rev_C,$B60),NA())</f>
        <v>225.20736046230797</v>
      </c>
      <c r="G60" s="71" cm="1">
        <f t="array" aca="1" ref="G60" ca="1">IF(ISNUMBER(_xll.VoseSimPercentile(Rev_P,$B60)),_xll.VoseSimPercentile(Rev_P,$B60),NA())</f>
        <v>216.17283121564628</v>
      </c>
    </row>
    <row r="61" spans="2:7" hidden="1" outlineLevel="1" x14ac:dyDescent="0.45">
      <c r="B61" s="70">
        <v>0.39</v>
      </c>
      <c r="C61" s="70">
        <f t="shared" si="0"/>
        <v>0.61</v>
      </c>
      <c r="D61" s="71" cm="1">
        <f t="array" aca="1" ref="D61" ca="1">IF(ISNUMBER(_xll.VoseSimPercentile(Rev_U,$B61)),_xll.VoseSimPercentile(Rev_U,$B61),NA())</f>
        <v>221.91925461169447</v>
      </c>
      <c r="E61" s="71" cm="1">
        <f t="array" aca="1" ref="E61" ca="1">IF(ISNUMBER(_xll.VoseSimPercentile(Rev_S,$B61)),_xll.VoseSimPercentile(Rev_S,$B61),NA())</f>
        <v>237.2045284977566</v>
      </c>
      <c r="F61" s="71" cm="1">
        <f t="array" aca="1" ref="F61" ca="1">IF(ISNUMBER(_xll.VoseSimPercentile(Rev_C,$B61)),_xll.VoseSimPercentile(Rev_C,$B61),NA())</f>
        <v>227.4100721634029</v>
      </c>
      <c r="G61" s="71" cm="1">
        <f t="array" aca="1" ref="G61" ca="1">IF(ISNUMBER(_xll.VoseSimPercentile(Rev_P,$B61)),_xll.VoseSimPercentile(Rev_P,$B61),NA())</f>
        <v>218.41773378722462</v>
      </c>
    </row>
    <row r="62" spans="2:7" hidden="1" outlineLevel="1" x14ac:dyDescent="0.45">
      <c r="B62" s="70">
        <v>0.41</v>
      </c>
      <c r="C62" s="70">
        <f t="shared" si="0"/>
        <v>0.59000000000000008</v>
      </c>
      <c r="D62" s="71" cm="1">
        <f t="array" aca="1" ref="D62" ca="1">IF(ISNUMBER(_xll.VoseSimPercentile(Rev_U,$B62)),_xll.VoseSimPercentile(Rev_U,$B62),NA())</f>
        <v>225.03982621193748</v>
      </c>
      <c r="E62" s="71" cm="1">
        <f t="array" aca="1" ref="E62" ca="1">IF(ISNUMBER(_xll.VoseSimPercentile(Rev_S,$B62)),_xll.VoseSimPercentile(Rev_S,$B62),NA())</f>
        <v>238.3544480551534</v>
      </c>
      <c r="F62" s="71" cm="1">
        <f t="array" aca="1" ref="F62" ca="1">IF(ISNUMBER(_xll.VoseSimPercentile(Rev_C,$B62)),_xll.VoseSimPercentile(Rev_C,$B62),NA())</f>
        <v>229.65672676396233</v>
      </c>
      <c r="G62" s="71" cm="1">
        <f t="array" aca="1" ref="G62" ca="1">IF(ISNUMBER(_xll.VoseSimPercentile(Rev_P,$B62)),_xll.VoseSimPercentile(Rev_P,$B62),NA())</f>
        <v>220.71232713208485</v>
      </c>
    </row>
    <row r="63" spans="2:7" hidden="1" outlineLevel="1" x14ac:dyDescent="0.45">
      <c r="B63" s="70">
        <v>0.43</v>
      </c>
      <c r="C63" s="70">
        <f t="shared" si="0"/>
        <v>0.57000000000000006</v>
      </c>
      <c r="D63" s="71" cm="1">
        <f t="array" aca="1" ref="D63" ca="1">IF(ISNUMBER(_xll.VoseSimPercentile(Rev_U,$B63)),_xll.VoseSimPercentile(Rev_U,$B63),NA())</f>
        <v>227.93919141601813</v>
      </c>
      <c r="E63" s="71" cm="1">
        <f t="array" aca="1" ref="E63" ca="1">IF(ISNUMBER(_xll.VoseSimPercentile(Rev_S,$B63)),_xll.VoseSimPercentile(Rev_S,$B63),NA())</f>
        <v>239.59337682366123</v>
      </c>
      <c r="F63" s="71" cm="1">
        <f t="array" aca="1" ref="F63" ca="1">IF(ISNUMBER(_xll.VoseSimPercentile(Rev_C,$B63)),_xll.VoseSimPercentile(Rev_C,$B63),NA())</f>
        <v>232.17538254880265</v>
      </c>
      <c r="G63" s="71" cm="1">
        <f t="array" aca="1" ref="G63" ca="1">IF(ISNUMBER(_xll.VoseSimPercentile(Rev_P,$B63)),_xll.VoseSimPercentile(Rev_P,$B63),NA())</f>
        <v>223.21259324421422</v>
      </c>
    </row>
    <row r="64" spans="2:7" hidden="1" outlineLevel="1" x14ac:dyDescent="0.45">
      <c r="B64" s="70">
        <v>0.45</v>
      </c>
      <c r="C64" s="70">
        <f t="shared" si="0"/>
        <v>0.55000000000000004</v>
      </c>
      <c r="D64" s="71" cm="1">
        <f t="array" aca="1" ref="D64" ca="1">IF(ISNUMBER(_xll.VoseSimPercentile(Rev_U,$B64)),_xll.VoseSimPercentile(Rev_U,$B64),NA())</f>
        <v>231.0110080531833</v>
      </c>
      <c r="E64" s="71" cm="1">
        <f t="array" aca="1" ref="E64" ca="1">IF(ISNUMBER(_xll.VoseSimPercentile(Rev_S,$B64)),_xll.VoseSimPercentile(Rev_S,$B64),NA())</f>
        <v>240.723201551648</v>
      </c>
      <c r="F64" s="71" cm="1">
        <f t="array" aca="1" ref="F64" ca="1">IF(ISNUMBER(_xll.VoseSimPercentile(Rev_C,$B64)),_xll.VoseSimPercentile(Rev_C,$B64),NA())</f>
        <v>234.47914262960953</v>
      </c>
      <c r="G64" s="71" cm="1">
        <f t="array" aca="1" ref="G64" ca="1">IF(ISNUMBER(_xll.VoseSimPercentile(Rev_P,$B64)),_xll.VoseSimPercentile(Rev_P,$B64),NA())</f>
        <v>225.6972837163205</v>
      </c>
    </row>
    <row r="65" spans="2:7" hidden="1" outlineLevel="1" x14ac:dyDescent="0.45">
      <c r="B65" s="70">
        <v>0.47</v>
      </c>
      <c r="C65" s="70">
        <f t="shared" si="0"/>
        <v>0.53</v>
      </c>
      <c r="D65" s="71" cm="1">
        <f t="array" aca="1" ref="D65" ca="1">IF(ISNUMBER(_xll.VoseSimPercentile(Rev_U,$B65)),_xll.VoseSimPercentile(Rev_U,$B65),NA())</f>
        <v>234.09066869395934</v>
      </c>
      <c r="E65" s="71" cm="1">
        <f t="array" aca="1" ref="E65" ca="1">IF(ISNUMBER(_xll.VoseSimPercentile(Rev_S,$B65)),_xll.VoseSimPercentile(Rev_S,$B65),NA())</f>
        <v>241.82341260988568</v>
      </c>
      <c r="F65" s="71" cm="1">
        <f t="array" aca="1" ref="F65" ca="1">IF(ISNUMBER(_xll.VoseSimPercentile(Rev_C,$B65)),_xll.VoseSimPercentile(Rev_C,$B65),NA())</f>
        <v>237.09626990300043</v>
      </c>
      <c r="G65" s="71" cm="1">
        <f t="array" aca="1" ref="G65" ca="1">IF(ISNUMBER(_xll.VoseSimPercentile(Rev_P,$B65)),_xll.VoseSimPercentile(Rev_P,$B65),NA())</f>
        <v>228.35500565696523</v>
      </c>
    </row>
    <row r="66" spans="2:7" hidden="1" outlineLevel="1" x14ac:dyDescent="0.45">
      <c r="B66" s="70">
        <v>0.49</v>
      </c>
      <c r="C66" s="70">
        <f t="shared" si="0"/>
        <v>0.51</v>
      </c>
      <c r="D66" s="71" cm="1">
        <f t="array" aca="1" ref="D66" ca="1">IF(ISNUMBER(_xll.VoseSimPercentile(Rev_U,$B66)),_xll.VoseSimPercentile(Rev_U,$B66),NA())</f>
        <v>237.24685169150612</v>
      </c>
      <c r="E66" s="71" cm="1">
        <f t="array" aca="1" ref="E66" ca="1">IF(ISNUMBER(_xll.VoseSimPercentile(Rev_S,$B66)),_xll.VoseSimPercentile(Rev_S,$B66),NA())</f>
        <v>243.04569055915985</v>
      </c>
      <c r="F66" s="71" cm="1">
        <f t="array" aca="1" ref="F66" ca="1">IF(ISNUMBER(_xll.VoseSimPercentile(Rev_C,$B66)),_xll.VoseSimPercentile(Rev_C,$B66),NA())</f>
        <v>239.77257679491714</v>
      </c>
      <c r="G66" s="71" cm="1">
        <f t="array" aca="1" ref="G66" ca="1">IF(ISNUMBER(_xll.VoseSimPercentile(Rev_P,$B66)),_xll.VoseSimPercentile(Rev_P,$B66),NA())</f>
        <v>231.04954507379071</v>
      </c>
    </row>
    <row r="67" spans="2:7" hidden="1" outlineLevel="1" x14ac:dyDescent="0.45">
      <c r="B67" s="70">
        <v>0.51</v>
      </c>
      <c r="C67" s="70">
        <f t="shared" si="0"/>
        <v>0.49</v>
      </c>
      <c r="D67" s="71" cm="1">
        <f t="array" aca="1" ref="D67" ca="1">IF(ISNUMBER(_xll.VoseSimPercentile(Rev_U,$B67)),_xll.VoseSimPercentile(Rev_U,$B67),NA())</f>
        <v>240.41364452023717</v>
      </c>
      <c r="E67" s="71" cm="1">
        <f t="array" aca="1" ref="E67" ca="1">IF(ISNUMBER(_xll.VoseSimPercentile(Rev_S,$B67)),_xll.VoseSimPercentile(Rev_S,$B67),NA())</f>
        <v>244.26923407161431</v>
      </c>
      <c r="F67" s="71" cm="1">
        <f t="array" aca="1" ref="F67" ca="1">IF(ISNUMBER(_xll.VoseSimPercentile(Rev_C,$B67)),_xll.VoseSimPercentile(Rev_C,$B67),NA())</f>
        <v>242.30499682943636</v>
      </c>
      <c r="G67" s="71" cm="1">
        <f t="array" aca="1" ref="G67" ca="1">IF(ISNUMBER(_xll.VoseSimPercentile(Rev_P,$B67)),_xll.VoseSimPercentile(Rev_P,$B67),NA())</f>
        <v>233.66205100253276</v>
      </c>
    </row>
    <row r="68" spans="2:7" hidden="1" outlineLevel="1" x14ac:dyDescent="0.45">
      <c r="B68" s="70">
        <v>0.53</v>
      </c>
      <c r="C68" s="70">
        <f t="shared" si="0"/>
        <v>0.47</v>
      </c>
      <c r="D68" s="71" cm="1">
        <f t="array" aca="1" ref="D68" ca="1">IF(ISNUMBER(_xll.VoseSimPercentile(Rev_U,$B68)),_xll.VoseSimPercentile(Rev_U,$B68),NA())</f>
        <v>243.18186385234219</v>
      </c>
      <c r="E68" s="71" cm="1">
        <f t="array" aca="1" ref="E68" ca="1">IF(ISNUMBER(_xll.VoseSimPercentile(Rev_S,$B68)),_xll.VoseSimPercentile(Rev_S,$B68),NA())</f>
        <v>245.38196972694723</v>
      </c>
      <c r="F68" s="71" cm="1">
        <f t="array" aca="1" ref="F68" ca="1">IF(ISNUMBER(_xll.VoseSimPercentile(Rev_C,$B68)),_xll.VoseSimPercentile(Rev_C,$B68),NA())</f>
        <v>244.48172729777536</v>
      </c>
      <c r="G68" s="71" cm="1">
        <f t="array" aca="1" ref="G68" ca="1">IF(ISNUMBER(_xll.VoseSimPercentile(Rev_P,$B68)),_xll.VoseSimPercentile(Rev_P,$B68),NA())</f>
        <v>236.19019400071895</v>
      </c>
    </row>
    <row r="69" spans="2:7" hidden="1" outlineLevel="1" x14ac:dyDescent="0.45">
      <c r="B69" s="70">
        <v>0.55000000000000004</v>
      </c>
      <c r="C69" s="70">
        <f t="shared" si="0"/>
        <v>0.44999999999999996</v>
      </c>
      <c r="D69" s="71" cm="1">
        <f t="array" aca="1" ref="D69" ca="1">IF(ISNUMBER(_xll.VoseSimPercentile(Rev_U,$B69)),_xll.VoseSimPercentile(Rev_U,$B69),NA())</f>
        <v>246.20865272142143</v>
      </c>
      <c r="E69" s="71" cm="1">
        <f t="array" aca="1" ref="E69" ca="1">IF(ISNUMBER(_xll.VoseSimPercentile(Rev_S,$B69)),_xll.VoseSimPercentile(Rev_S,$B69),NA())</f>
        <v>246.44987882443351</v>
      </c>
      <c r="F69" s="71" cm="1">
        <f t="array" aca="1" ref="F69" ca="1">IF(ISNUMBER(_xll.VoseSimPercentile(Rev_C,$B69)),_xll.VoseSimPercentile(Rev_C,$B69),NA())</f>
        <v>246.99495791757266</v>
      </c>
      <c r="G69" s="71" cm="1">
        <f t="array" aca="1" ref="G69" ca="1">IF(ISNUMBER(_xll.VoseSimPercentile(Rev_P,$B69)),_xll.VoseSimPercentile(Rev_P,$B69),NA())</f>
        <v>238.76320856638989</v>
      </c>
    </row>
    <row r="70" spans="2:7" hidden="1" outlineLevel="1" x14ac:dyDescent="0.45">
      <c r="B70" s="70">
        <v>0.56999999999999995</v>
      </c>
      <c r="C70" s="70">
        <f t="shared" si="0"/>
        <v>0.43000000000000005</v>
      </c>
      <c r="D70" s="71" cm="1">
        <f t="array" aca="1" ref="D70" ca="1">IF(ISNUMBER(_xll.VoseSimPercentile(Rev_U,$B70)),_xll.VoseSimPercentile(Rev_U,$B70),NA())</f>
        <v>249.49906483958125</v>
      </c>
      <c r="E70" s="71" cm="1">
        <f t="array" aca="1" ref="E70" ca="1">IF(ISNUMBER(_xll.VoseSimPercentile(Rev_S,$B70)),_xll.VoseSimPercentile(Rev_S,$B70),NA())</f>
        <v>247.52403224128759</v>
      </c>
      <c r="F70" s="71" cm="1">
        <f t="array" aca="1" ref="F70" ca="1">IF(ISNUMBER(_xll.VoseSimPercentile(Rev_C,$B70)),_xll.VoseSimPercentile(Rev_C,$B70),NA())</f>
        <v>249.58431941443877</v>
      </c>
      <c r="G70" s="71" cm="1">
        <f t="array" aca="1" ref="G70" ca="1">IF(ISNUMBER(_xll.VoseSimPercentile(Rev_P,$B70)),_xll.VoseSimPercentile(Rev_P,$B70),NA())</f>
        <v>241.68968590885513</v>
      </c>
    </row>
    <row r="71" spans="2:7" hidden="1" outlineLevel="1" x14ac:dyDescent="0.45">
      <c r="B71" s="70">
        <v>0.59</v>
      </c>
      <c r="C71" s="70">
        <f t="shared" si="0"/>
        <v>0.41000000000000003</v>
      </c>
      <c r="D71" s="71" cm="1">
        <f t="array" aca="1" ref="D71" ca="1">IF(ISNUMBER(_xll.VoseSimPercentile(Rev_U,$B71)),_xll.VoseSimPercentile(Rev_U,$B71),NA())</f>
        <v>252.24493075708813</v>
      </c>
      <c r="E71" s="71" cm="1">
        <f t="array" aca="1" ref="E71" ca="1">IF(ISNUMBER(_xll.VoseSimPercentile(Rev_S,$B71)),_xll.VoseSimPercentile(Rev_S,$B71),NA())</f>
        <v>248.73508464682249</v>
      </c>
      <c r="F71" s="71" cm="1">
        <f t="array" aca="1" ref="F71" ca="1">IF(ISNUMBER(_xll.VoseSimPercentile(Rev_C,$B71)),_xll.VoseSimPercentile(Rev_C,$B71),NA())</f>
        <v>251.99894343285703</v>
      </c>
      <c r="G71" s="71" cm="1">
        <f t="array" aca="1" ref="G71" ca="1">IF(ISNUMBER(_xll.VoseSimPercentile(Rev_P,$B71)),_xll.VoseSimPercentile(Rev_P,$B71),NA())</f>
        <v>244.28668181088238</v>
      </c>
    </row>
    <row r="72" spans="2:7" hidden="1" outlineLevel="1" x14ac:dyDescent="0.45">
      <c r="B72" s="70">
        <v>0.61</v>
      </c>
      <c r="C72" s="70">
        <f t="shared" si="0"/>
        <v>0.39</v>
      </c>
      <c r="D72" s="71" cm="1">
        <f t="array" aca="1" ref="D72" ca="1">IF(ISNUMBER(_xll.VoseSimPercentile(Rev_U,$B72)),_xll.VoseSimPercentile(Rev_U,$B72),NA())</f>
        <v>255.19742946380541</v>
      </c>
      <c r="E72" s="71" cm="1">
        <f t="array" aca="1" ref="E72" ca="1">IF(ISNUMBER(_xll.VoseSimPercentile(Rev_S,$B72)),_xll.VoseSimPercentile(Rev_S,$B72),NA())</f>
        <v>249.95538117101492</v>
      </c>
      <c r="F72" s="71" cm="1">
        <f t="array" aca="1" ref="F72" ca="1">IF(ISNUMBER(_xll.VoseSimPercentile(Rev_C,$B72)),_xll.VoseSimPercentile(Rev_C,$B72),NA())</f>
        <v>254.64505611557857</v>
      </c>
      <c r="G72" s="71" cm="1">
        <f t="array" aca="1" ref="G72" ca="1">IF(ISNUMBER(_xll.VoseSimPercentile(Rev_P,$B72)),_xll.VoseSimPercentile(Rev_P,$B72),NA())</f>
        <v>247.36375135484846</v>
      </c>
    </row>
    <row r="73" spans="2:7" hidden="1" outlineLevel="1" x14ac:dyDescent="0.45">
      <c r="B73" s="70">
        <v>0.63</v>
      </c>
      <c r="C73" s="70">
        <f t="shared" si="0"/>
        <v>0.37</v>
      </c>
      <c r="D73" s="71" cm="1">
        <f t="array" aca="1" ref="D73" ca="1">IF(ISNUMBER(_xll.VoseSimPercentile(Rev_U,$B73)),_xll.VoseSimPercentile(Rev_U,$B73),NA())</f>
        <v>258.60098942883707</v>
      </c>
      <c r="E73" s="71" cm="1">
        <f t="array" aca="1" ref="E73" ca="1">IF(ISNUMBER(_xll.VoseSimPercentile(Rev_S,$B73)),_xll.VoseSimPercentile(Rev_S,$B73),NA())</f>
        <v>251.0635534919621</v>
      </c>
      <c r="F73" s="71" cm="1">
        <f t="array" aca="1" ref="F73" ca="1">IF(ISNUMBER(_xll.VoseSimPercentile(Rev_C,$B73)),_xll.VoseSimPercentile(Rev_C,$B73),NA())</f>
        <v>257.43240736047437</v>
      </c>
      <c r="G73" s="71" cm="1">
        <f t="array" aca="1" ref="G73" ca="1">IF(ISNUMBER(_xll.VoseSimPercentile(Rev_P,$B73)),_xll.VoseSimPercentile(Rev_P,$B73),NA())</f>
        <v>250.50036634957345</v>
      </c>
    </row>
    <row r="74" spans="2:7" hidden="1" outlineLevel="1" x14ac:dyDescent="0.45">
      <c r="B74" s="70">
        <v>0.65</v>
      </c>
      <c r="C74" s="70">
        <f t="shared" ref="C74:C105" si="1">1-B74</f>
        <v>0.35</v>
      </c>
      <c r="D74" s="71" cm="1">
        <f t="array" aca="1" ref="D74" ca="1">IF(ISNUMBER(_xll.VoseSimPercentile(Rev_U,$B74)),_xll.VoseSimPercentile(Rev_U,$B74),NA())</f>
        <v>262.34153136382957</v>
      </c>
      <c r="E74" s="71" cm="1">
        <f t="array" aca="1" ref="E74" ca="1">IF(ISNUMBER(_xll.VoseSimPercentile(Rev_S,$B74)),_xll.VoseSimPercentile(Rev_S,$B74),NA())</f>
        <v>252.52666343458972</v>
      </c>
      <c r="F74" s="71" cm="1">
        <f t="array" aca="1" ref="F74" ca="1">IF(ISNUMBER(_xll.VoseSimPercentile(Rev_C,$B74)),_xll.VoseSimPercentile(Rev_C,$B74),NA())</f>
        <v>260.41724517659463</v>
      </c>
      <c r="G74" s="71" cm="1">
        <f t="array" aca="1" ref="G74" ca="1">IF(ISNUMBER(_xll.VoseSimPercentile(Rev_P,$B74)),_xll.VoseSimPercentile(Rev_P,$B74),NA())</f>
        <v>253.87581841169447</v>
      </c>
    </row>
    <row r="75" spans="2:7" hidden="1" outlineLevel="1" x14ac:dyDescent="0.45">
      <c r="B75" s="70">
        <v>0.67</v>
      </c>
      <c r="C75" s="70">
        <f t="shared" si="1"/>
        <v>0.32999999999999996</v>
      </c>
      <c r="D75" s="71" cm="1">
        <f t="array" aca="1" ref="D75" ca="1">IF(ISNUMBER(_xll.VoseSimPercentile(Rev_U,$B75)),_xll.VoseSimPercentile(Rev_U,$B75),NA())</f>
        <v>265.79189048475666</v>
      </c>
      <c r="E75" s="71" cm="1">
        <f t="array" aca="1" ref="E75" ca="1">IF(ISNUMBER(_xll.VoseSimPercentile(Rev_S,$B75)),_xll.VoseSimPercentile(Rev_S,$B75),NA())</f>
        <v>253.9544959132169</v>
      </c>
      <c r="F75" s="71" cm="1">
        <f t="array" aca="1" ref="F75" ca="1">IF(ISNUMBER(_xll.VoseSimPercentile(Rev_C,$B75)),_xll.VoseSimPercentile(Rev_C,$B75),NA())</f>
        <v>263.09815539293891</v>
      </c>
      <c r="G75" s="71" cm="1">
        <f t="array" aca="1" ref="G75" ca="1">IF(ISNUMBER(_xll.VoseSimPercentile(Rev_P,$B75)),_xll.VoseSimPercentile(Rev_P,$B75),NA())</f>
        <v>257.2361026137628</v>
      </c>
    </row>
    <row r="76" spans="2:7" hidden="1" outlineLevel="1" x14ac:dyDescent="0.45">
      <c r="B76" s="70">
        <v>0.69</v>
      </c>
      <c r="C76" s="70">
        <f t="shared" si="1"/>
        <v>0.31000000000000005</v>
      </c>
      <c r="D76" s="71" cm="1">
        <f t="array" aca="1" ref="D76" ca="1">IF(ISNUMBER(_xll.VoseSimPercentile(Rev_U,$B76)),_xll.VoseSimPercentile(Rev_U,$B76),NA())</f>
        <v>269.53997255250397</v>
      </c>
      <c r="E76" s="71" cm="1">
        <f t="array" aca="1" ref="E76" ca="1">IF(ISNUMBER(_xll.VoseSimPercentile(Rev_S,$B76)),_xll.VoseSimPercentile(Rev_S,$B76),NA())</f>
        <v>255.34030386094429</v>
      </c>
      <c r="F76" s="71" cm="1">
        <f t="array" aca="1" ref="F76" ca="1">IF(ISNUMBER(_xll.VoseSimPercentile(Rev_C,$B76)),_xll.VoseSimPercentile(Rev_C,$B76),NA())</f>
        <v>265.96538504039853</v>
      </c>
      <c r="G76" s="71" cm="1">
        <f t="array" aca="1" ref="G76" ca="1">IF(ISNUMBER(_xll.VoseSimPercentile(Rev_P,$B76)),_xll.VoseSimPercentile(Rev_P,$B76),NA())</f>
        <v>260.77720252681422</v>
      </c>
    </row>
    <row r="77" spans="2:7" hidden="1" outlineLevel="1" x14ac:dyDescent="0.45">
      <c r="B77" s="70">
        <v>0.71</v>
      </c>
      <c r="C77" s="70">
        <f t="shared" si="1"/>
        <v>0.29000000000000004</v>
      </c>
      <c r="D77" s="71" cm="1">
        <f t="array" aca="1" ref="D77" ca="1">IF(ISNUMBER(_xll.VoseSimPercentile(Rev_U,$B77)),_xll.VoseSimPercentile(Rev_U,$B77),NA())</f>
        <v>273.07823642053575</v>
      </c>
      <c r="E77" s="71" cm="1">
        <f t="array" aca="1" ref="E77" ca="1">IF(ISNUMBER(_xll.VoseSimPercentile(Rev_S,$B77)),_xll.VoseSimPercentile(Rev_S,$B77),NA())</f>
        <v>256.60181886469479</v>
      </c>
      <c r="F77" s="71" cm="1">
        <f t="array" aca="1" ref="F77" ca="1">IF(ISNUMBER(_xll.VoseSimPercentile(Rev_C,$B77)),_xll.VoseSimPercentile(Rev_C,$B77),NA())</f>
        <v>268.90180889367821</v>
      </c>
      <c r="G77" s="71" cm="1">
        <f t="array" aca="1" ref="G77" ca="1">IF(ISNUMBER(_xll.VoseSimPercentile(Rev_P,$B77)),_xll.VoseSimPercentile(Rev_P,$B77),NA())</f>
        <v>264.32772052068663</v>
      </c>
    </row>
    <row r="78" spans="2:7" hidden="1" outlineLevel="1" x14ac:dyDescent="0.45">
      <c r="B78" s="70">
        <v>0.73</v>
      </c>
      <c r="C78" s="70">
        <f t="shared" si="1"/>
        <v>0.27</v>
      </c>
      <c r="D78" s="71" cm="1">
        <f t="array" aca="1" ref="D78" ca="1">IF(ISNUMBER(_xll.VoseSimPercentile(Rev_U,$B78)),_xll.VoseSimPercentile(Rev_U,$B78),NA())</f>
        <v>277.02172801917646</v>
      </c>
      <c r="E78" s="71" cm="1">
        <f t="array" aca="1" ref="E78" ca="1">IF(ISNUMBER(_xll.VoseSimPercentile(Rev_S,$B78)),_xll.VoseSimPercentile(Rev_S,$B78),NA())</f>
        <v>257.91326444322067</v>
      </c>
      <c r="F78" s="71" cm="1">
        <f t="array" aca="1" ref="F78" ca="1">IF(ISNUMBER(_xll.VoseSimPercentile(Rev_C,$B78)),_xll.VoseSimPercentile(Rev_C,$B78),NA())</f>
        <v>272.08352995442505</v>
      </c>
      <c r="G78" s="71" cm="1">
        <f t="array" aca="1" ref="G78" ca="1">IF(ISNUMBER(_xll.VoseSimPercentile(Rev_P,$B78)),_xll.VoseSimPercentile(Rev_P,$B78),NA())</f>
        <v>268.18112975961338</v>
      </c>
    </row>
    <row r="79" spans="2:7" hidden="1" outlineLevel="1" x14ac:dyDescent="0.45">
      <c r="B79" s="70">
        <v>0.75</v>
      </c>
      <c r="C79" s="70">
        <f t="shared" si="1"/>
        <v>0.25</v>
      </c>
      <c r="D79" s="71" cm="1">
        <f t="array" aca="1" ref="D79" ca="1">IF(ISNUMBER(_xll.VoseSimPercentile(Rev_U,$B79)),_xll.VoseSimPercentile(Rev_U,$B79),NA())</f>
        <v>281.00984029116654</v>
      </c>
      <c r="E79" s="71" cm="1">
        <f t="array" aca="1" ref="E79" ca="1">IF(ISNUMBER(_xll.VoseSimPercentile(Rev_S,$B79)),_xll.VoseSimPercentile(Rev_S,$B79),NA())</f>
        <v>259.54892609969596</v>
      </c>
      <c r="F79" s="71" cm="1">
        <f t="array" aca="1" ref="F79" ca="1">IF(ISNUMBER(_xll.VoseSimPercentile(Rev_C,$B79)),_xll.VoseSimPercentile(Rev_C,$B79),NA())</f>
        <v>275.14226415545505</v>
      </c>
      <c r="G79" s="71" cm="1">
        <f t="array" aca="1" ref="G79" ca="1">IF(ISNUMBER(_xll.VoseSimPercentile(Rev_P,$B79)),_xll.VoseSimPercentile(Rev_P,$B79),NA())</f>
        <v>272.08185102914325</v>
      </c>
    </row>
    <row r="80" spans="2:7" hidden="1" outlineLevel="1" x14ac:dyDescent="0.45">
      <c r="B80" s="70">
        <v>0.77</v>
      </c>
      <c r="C80" s="70">
        <f t="shared" si="1"/>
        <v>0.22999999999999998</v>
      </c>
      <c r="D80" s="71" cm="1">
        <f t="array" aca="1" ref="D80" ca="1">IF(ISNUMBER(_xll.VoseSimPercentile(Rev_U,$B80)),_xll.VoseSimPercentile(Rev_U,$B80),NA())</f>
        <v>285.95272692917672</v>
      </c>
      <c r="E80" s="71" cm="1">
        <f t="array" aca="1" ref="E80" ca="1">IF(ISNUMBER(_xll.VoseSimPercentile(Rev_S,$B80)),_xll.VoseSimPercentile(Rev_S,$B80),NA())</f>
        <v>261.47498021037876</v>
      </c>
      <c r="F80" s="71" cm="1">
        <f t="array" aca="1" ref="F80" ca="1">IF(ISNUMBER(_xll.VoseSimPercentile(Rev_C,$B80)),_xll.VoseSimPercentile(Rev_C,$B80),NA())</f>
        <v>278.42770871867106</v>
      </c>
      <c r="G80" s="71" cm="1">
        <f t="array" aca="1" ref="G80" ca="1">IF(ISNUMBER(_xll.VoseSimPercentile(Rev_P,$B80)),_xll.VoseSimPercentile(Rev_P,$B80),NA())</f>
        <v>276.92060229816218</v>
      </c>
    </row>
    <row r="81" spans="2:7" hidden="1" outlineLevel="1" x14ac:dyDescent="0.45">
      <c r="B81" s="70">
        <v>0.79</v>
      </c>
      <c r="C81" s="70">
        <f t="shared" si="1"/>
        <v>0.20999999999999996</v>
      </c>
      <c r="D81" s="71" cm="1">
        <f t="array" aca="1" ref="D81" ca="1">IF(ISNUMBER(_xll.VoseSimPercentile(Rev_U,$B81)),_xll.VoseSimPercentile(Rev_U,$B81),NA())</f>
        <v>290.85723620912466</v>
      </c>
      <c r="E81" s="71" cm="1">
        <f t="array" aca="1" ref="E81" ca="1">IF(ISNUMBER(_xll.VoseSimPercentile(Rev_S,$B81)),_xll.VoseSimPercentile(Rev_S,$B81),NA())</f>
        <v>263.36529658977958</v>
      </c>
      <c r="F81" s="71" cm="1">
        <f t="array" aca="1" ref="F81" ca="1">IF(ISNUMBER(_xll.VoseSimPercentile(Rev_C,$B81)),_xll.VoseSimPercentile(Rev_C,$B81),NA())</f>
        <v>281.6564742862804</v>
      </c>
      <c r="G81" s="71" cm="1">
        <f t="array" aca="1" ref="G81" ca="1">IF(ISNUMBER(_xll.VoseSimPercentile(Rev_P,$B81)),_xll.VoseSimPercentile(Rev_P,$B81),NA())</f>
        <v>281.72371816574616</v>
      </c>
    </row>
    <row r="82" spans="2:7" hidden="1" outlineLevel="1" x14ac:dyDescent="0.45">
      <c r="B82" s="70">
        <v>0.81</v>
      </c>
      <c r="C82" s="70">
        <f t="shared" si="1"/>
        <v>0.18999999999999995</v>
      </c>
      <c r="D82" s="71" cm="1">
        <f t="array" aca="1" ref="D82" ca="1">IF(ISNUMBER(_xll.VoseSimPercentile(Rev_U,$B82)),_xll.VoseSimPercentile(Rev_U,$B82),NA())</f>
        <v>296.7059607237191</v>
      </c>
      <c r="E82" s="71" cm="1">
        <f t="array" aca="1" ref="E82" ca="1">IF(ISNUMBER(_xll.VoseSimPercentile(Rev_S,$B82)),_xll.VoseSimPercentile(Rev_S,$B82),NA())</f>
        <v>265.36257487523136</v>
      </c>
      <c r="F82" s="71" cm="1">
        <f t="array" aca="1" ref="F82" ca="1">IF(ISNUMBER(_xll.VoseSimPercentile(Rev_C,$B82)),_xll.VoseSimPercentile(Rev_C,$B82),NA())</f>
        <v>285.40805544475506</v>
      </c>
      <c r="G82" s="71" cm="1">
        <f t="array" aca="1" ref="G82" ca="1">IF(ISNUMBER(_xll.VoseSimPercentile(Rev_P,$B82)),_xll.VoseSimPercentile(Rev_P,$B82),NA())</f>
        <v>287.54418757517703</v>
      </c>
    </row>
    <row r="83" spans="2:7" hidden="1" outlineLevel="1" x14ac:dyDescent="0.45">
      <c r="B83" s="70">
        <v>0.83</v>
      </c>
      <c r="C83" s="70">
        <f t="shared" si="1"/>
        <v>0.17000000000000004</v>
      </c>
      <c r="D83" s="71" cm="1">
        <f t="array" aca="1" ref="D83" ca="1">IF(ISNUMBER(_xll.VoseSimPercentile(Rev_U,$B83)),_xll.VoseSimPercentile(Rev_U,$B83),NA())</f>
        <v>302.67869166578413</v>
      </c>
      <c r="E83" s="71" cm="1">
        <f t="array" aca="1" ref="E83" ca="1">IF(ISNUMBER(_xll.VoseSimPercentile(Rev_S,$B83)),_xll.VoseSimPercentile(Rev_S,$B83),NA())</f>
        <v>267.65988609574856</v>
      </c>
      <c r="F83" s="71" cm="1">
        <f t="array" aca="1" ref="F83" ca="1">IF(ISNUMBER(_xll.VoseSimPercentile(Rev_C,$B83)),_xll.VoseSimPercentile(Rev_C,$B83),NA())</f>
        <v>289.34910621193296</v>
      </c>
      <c r="G83" s="71" cm="1">
        <f t="array" aca="1" ref="G83" ca="1">IF(ISNUMBER(_xll.VoseSimPercentile(Rev_P,$B83)),_xll.VoseSimPercentile(Rev_P,$B83),NA())</f>
        <v>293.51048270143741</v>
      </c>
    </row>
    <row r="84" spans="2:7" hidden="1" outlineLevel="1" x14ac:dyDescent="0.45">
      <c r="B84" s="70">
        <v>0.85</v>
      </c>
      <c r="C84" s="70">
        <f t="shared" si="1"/>
        <v>0.15000000000000002</v>
      </c>
      <c r="D84" s="71" cm="1">
        <f t="array" aca="1" ref="D84" ca="1">IF(ISNUMBER(_xll.VoseSimPercentile(Rev_U,$B84)),_xll.VoseSimPercentile(Rev_U,$B84),NA())</f>
        <v>308.52364360301817</v>
      </c>
      <c r="E84" s="71" cm="1">
        <f t="array" aca="1" ref="E84" ca="1">IF(ISNUMBER(_xll.VoseSimPercentile(Rev_S,$B84)),_xll.VoseSimPercentile(Rev_S,$B84),NA())</f>
        <v>269.8491368453594</v>
      </c>
      <c r="F84" s="71" cm="1">
        <f t="array" aca="1" ref="F84" ca="1">IF(ISNUMBER(_xll.VoseSimPercentile(Rev_C,$B84)),_xll.VoseSimPercentile(Rev_C,$B84),NA())</f>
        <v>293.02131875886386</v>
      </c>
      <c r="G84" s="71" cm="1">
        <f t="array" aca="1" ref="G84" ca="1">IF(ISNUMBER(_xll.VoseSimPercentile(Rev_P,$B84)),_xll.VoseSimPercentile(Rev_P,$B84),NA())</f>
        <v>299.41678121396893</v>
      </c>
    </row>
    <row r="85" spans="2:7" hidden="1" outlineLevel="1" x14ac:dyDescent="0.45">
      <c r="B85" s="70">
        <v>0.87</v>
      </c>
      <c r="C85" s="70">
        <f t="shared" si="1"/>
        <v>0.13</v>
      </c>
      <c r="D85" s="71" cm="1">
        <f t="array" aca="1" ref="D85" ca="1">IF(ISNUMBER(_xll.VoseSimPercentile(Rev_U,$B85)),_xll.VoseSimPercentile(Rev_U,$B85),NA())</f>
        <v>315.55332080259359</v>
      </c>
      <c r="E85" s="71" cm="1">
        <f t="array" aca="1" ref="E85" ca="1">IF(ISNUMBER(_xll.VoseSimPercentile(Rev_S,$B85)),_xll.VoseSimPercentile(Rev_S,$B85),NA())</f>
        <v>272.503587466635</v>
      </c>
      <c r="F85" s="71" cm="1">
        <f t="array" aca="1" ref="F85" ca="1">IF(ISNUMBER(_xll.VoseSimPercentile(Rev_C,$B85)),_xll.VoseSimPercentile(Rev_C,$B85),NA())</f>
        <v>296.70110372021446</v>
      </c>
      <c r="G85" s="71" cm="1">
        <f t="array" aca="1" ref="G85" ca="1">IF(ISNUMBER(_xll.VoseSimPercentile(Rev_P,$B85)),_xll.VoseSimPercentile(Rev_P,$B85),NA())</f>
        <v>306.7488877538388</v>
      </c>
    </row>
    <row r="86" spans="2:7" hidden="1" outlineLevel="1" x14ac:dyDescent="0.45">
      <c r="B86" s="70">
        <v>0.89</v>
      </c>
      <c r="C86" s="70">
        <f t="shared" si="1"/>
        <v>0.10999999999999999</v>
      </c>
      <c r="D86" s="71" cm="1">
        <f t="array" aca="1" ref="D86" ca="1">IF(ISNUMBER(_xll.VoseSimPercentile(Rev_U,$B86)),_xll.VoseSimPercentile(Rev_U,$B86),NA())</f>
        <v>323.84172052187301</v>
      </c>
      <c r="E86" s="71" cm="1">
        <f t="array" aca="1" ref="E86" ca="1">IF(ISNUMBER(_xll.VoseSimPercentile(Rev_S,$B86)),_xll.VoseSimPercentile(Rev_S,$B86),NA())</f>
        <v>275.51598378576449</v>
      </c>
      <c r="F86" s="71" cm="1">
        <f t="array" aca="1" ref="F86" ca="1">IF(ISNUMBER(_xll.VoseSimPercentile(Rev_C,$B86)),_xll.VoseSimPercentile(Rev_C,$B86),NA())</f>
        <v>301.1207279195724</v>
      </c>
      <c r="G86" s="71" cm="1">
        <f t="array" aca="1" ref="G86" ca="1">IF(ISNUMBER(_xll.VoseSimPercentile(Rev_P,$B86)),_xll.VoseSimPercentile(Rev_P,$B86),NA())</f>
        <v>314.77744362488556</v>
      </c>
    </row>
    <row r="87" spans="2:7" hidden="1" outlineLevel="1" x14ac:dyDescent="0.45">
      <c r="B87" s="70">
        <v>0.91</v>
      </c>
      <c r="C87" s="70">
        <f t="shared" si="1"/>
        <v>8.9999999999999969E-2</v>
      </c>
      <c r="D87" s="71" cm="1">
        <f t="array" aca="1" ref="D87" ca="1">IF(ISNUMBER(_xll.VoseSimPercentile(Rev_U,$B87)),_xll.VoseSimPercentile(Rev_U,$B87),NA())</f>
        <v>333.17215072816475</v>
      </c>
      <c r="E87" s="71" cm="1">
        <f t="array" aca="1" ref="E87" ca="1">IF(ISNUMBER(_xll.VoseSimPercentile(Rev_S,$B87)),_xll.VoseSimPercentile(Rev_S,$B87),NA())</f>
        <v>279.37079128869038</v>
      </c>
      <c r="F87" s="71" cm="1">
        <f t="array" aca="1" ref="F87" ca="1">IF(ISNUMBER(_xll.VoseSimPercentile(Rev_C,$B87)),_xll.VoseSimPercentile(Rev_C,$B87),NA())</f>
        <v>306.14688610344268</v>
      </c>
      <c r="G87" s="71" cm="1">
        <f t="array" aca="1" ref="G87" ca="1">IF(ISNUMBER(_xll.VoseSimPercentile(Rev_P,$B87)),_xll.VoseSimPercentile(Rev_P,$B87),NA())</f>
        <v>323.99215072816475</v>
      </c>
    </row>
    <row r="88" spans="2:7" hidden="1" outlineLevel="1" x14ac:dyDescent="0.45">
      <c r="B88" s="70">
        <v>0.93</v>
      </c>
      <c r="C88" s="70">
        <f t="shared" si="1"/>
        <v>6.9999999999999951E-2</v>
      </c>
      <c r="D88" s="71" cm="1">
        <f t="array" aca="1" ref="D88" ca="1">IF(ISNUMBER(_xll.VoseSimPercentile(Rev_U,$B88)),_xll.VoseSimPercentile(Rev_U,$B88),NA())</f>
        <v>345.48670616574702</v>
      </c>
      <c r="E88" s="71" cm="1">
        <f t="array" aca="1" ref="E88" ca="1">IF(ISNUMBER(_xll.VoseSimPercentile(Rev_S,$B88)),_xll.VoseSimPercentile(Rev_S,$B88),NA())</f>
        <v>283.86171541784796</v>
      </c>
      <c r="F88" s="71" cm="1">
        <f t="array" aca="1" ref="F88" ca="1">IF(ISNUMBER(_xll.VoseSimPercentile(Rev_C,$B88)),_xll.VoseSimPercentile(Rev_C,$B88),NA())</f>
        <v>311.35880760909538</v>
      </c>
      <c r="G88" s="71" cm="1">
        <f t="array" aca="1" ref="G88" ca="1">IF(ISNUMBER(_xll.VoseSimPercentile(Rev_P,$B88)),_xll.VoseSimPercentile(Rev_P,$B88),NA())</f>
        <v>336.30670616574702</v>
      </c>
    </row>
    <row r="89" spans="2:7" hidden="1" outlineLevel="1" x14ac:dyDescent="0.45">
      <c r="B89" s="70">
        <v>0.95</v>
      </c>
      <c r="C89" s="70">
        <f t="shared" si="1"/>
        <v>5.0000000000000044E-2</v>
      </c>
      <c r="D89" s="71" cm="1">
        <f t="array" aca="1" ref="D89" ca="1">IF(ISNUMBER(_xll.VoseSimPercentile(Rev_U,$B89)),_xll.VoseSimPercentile(Rev_U,$B89),NA())</f>
        <v>361.7304469403565</v>
      </c>
      <c r="E89" s="71" cm="1">
        <f t="array" aca="1" ref="E89" ca="1">IF(ISNUMBER(_xll.VoseSimPercentile(Rev_S,$B89)),_xll.VoseSimPercentile(Rev_S,$B89),NA())</f>
        <v>289.99555447154648</v>
      </c>
      <c r="F89" s="71" cm="1">
        <f t="array" aca="1" ref="F89" ca="1">IF(ISNUMBER(_xll.VoseSimPercentile(Rev_C,$B89)),_xll.VoseSimPercentile(Rev_C,$B89),NA())</f>
        <v>318.28696431692862</v>
      </c>
      <c r="G89" s="71" cm="1">
        <f t="array" aca="1" ref="G89" ca="1">IF(ISNUMBER(_xll.VoseSimPercentile(Rev_P,$B89)),_xll.VoseSimPercentile(Rev_P,$B89),NA())</f>
        <v>352.55044694035649</v>
      </c>
    </row>
    <row r="90" spans="2:7" hidden="1" outlineLevel="1" x14ac:dyDescent="0.45">
      <c r="B90" s="70">
        <v>0.97</v>
      </c>
      <c r="C90" s="70">
        <f t="shared" si="1"/>
        <v>3.0000000000000027E-2</v>
      </c>
      <c r="D90" s="71" cm="1">
        <f t="array" aca="1" ref="D90" ca="1">IF(ISNUMBER(_xll.VoseSimPercentile(Rev_U,$B90)),_xll.VoseSimPercentile(Rev_U,$B90),NA())</f>
        <v>387.26919764123124</v>
      </c>
      <c r="E90" s="71" cm="1">
        <f t="array" aca="1" ref="E90" ca="1">IF(ISNUMBER(_xll.VoseSimPercentile(Rev_S,$B90)),_xll.VoseSimPercentile(Rev_S,$B90),NA())</f>
        <v>299.12625169057964</v>
      </c>
      <c r="F90" s="71" cm="1">
        <f t="array" aca="1" ref="F90" ca="1">IF(ISNUMBER(_xll.VoseSimPercentile(Rev_C,$B90)),_xll.VoseSimPercentile(Rev_C,$B90),NA())</f>
        <v>328.41986556893721</v>
      </c>
      <c r="G90" s="71" cm="1">
        <f t="array" aca="1" ref="G90" ca="1">IF(ISNUMBER(_xll.VoseSimPercentile(Rev_P,$B90)),_xll.VoseSimPercentile(Rev_P,$B90),NA())</f>
        <v>378.08919764123124</v>
      </c>
    </row>
    <row r="91" spans="2:7" hidden="1" outlineLevel="1" x14ac:dyDescent="0.45">
      <c r="B91" s="70">
        <v>0.99</v>
      </c>
      <c r="C91" s="70">
        <f t="shared" si="1"/>
        <v>1.0000000000000009E-2</v>
      </c>
      <c r="D91" s="71" cm="1">
        <f t="array" aca="1" ref="D91" ca="1">IF(ISNUMBER(_xll.VoseSimPercentile(Rev_U,$B91)),_xll.VoseSimPercentile(Rev_U,$B91),NA())</f>
        <v>433.39839434866172</v>
      </c>
      <c r="E91" s="71" cm="1">
        <f t="array" aca="1" ref="E91" ca="1">IF(ISNUMBER(_xll.VoseSimPercentile(Rev_S,$B91)),_xll.VoseSimPercentile(Rev_S,$B91),NA())</f>
        <v>317.11286223190291</v>
      </c>
      <c r="F91" s="71" cm="1">
        <f t="array" aca="1" ref="F91" ca="1">IF(ISNUMBER(_xll.VoseSimPercentile(Rev_C,$B91)),_xll.VoseSimPercentile(Rev_C,$B91),NA())</f>
        <v>346.56109534238459</v>
      </c>
      <c r="G91" s="71" cm="1">
        <f t="array" aca="1" ref="G91" ca="1">IF(ISNUMBER(_xll.VoseSimPercentile(Rev_P,$B91)),_xll.VoseSimPercentile(Rev_P,$B91),NA())</f>
        <v>424.21839434866172</v>
      </c>
    </row>
  </sheetData>
  <mergeCells count="5">
    <mergeCell ref="B34:G34"/>
    <mergeCell ref="B36:G36"/>
    <mergeCell ref="B32:G32"/>
    <mergeCell ref="B35:G35"/>
    <mergeCell ref="B33:G33"/>
  </mergeCells>
  <conditionalFormatting sqref="B7">
    <cfRule type="expression" dxfId="2" priority="2">
      <formula>LEFT($B$7,1)="✗"</formula>
    </cfRule>
  </conditionalFormatting>
  <conditionalFormatting sqref="B6:G6">
    <cfRule type="expression" dxfId="1" priority="1">
      <formula>LEFT($B$6,1)&lt;&gt;"✔"</formula>
    </cfRule>
  </conditionalFormatting>
  <conditionalFormatting sqref="D42:G91">
    <cfRule type="expression" dxfId="0" priority="3">
      <formula>ISNA(D42)</formula>
    </cfRule>
  </conditionalFormatting>
  <hyperlinks>
    <hyperlink ref="B4" location="'Хеджи'!A1" display="◂  Хеджи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888FE-8978-405D-9CE3-12CAB5D7AA80}">
  <dimension ref="A1:B1"/>
  <sheetViews>
    <sheetView workbookViewId="0"/>
  </sheetViews>
  <sheetFormatPr defaultRowHeight="14.25" x14ac:dyDescent="0.45"/>
  <sheetData>
    <row r="1" spans="1:2" x14ac:dyDescent="0.45">
      <c r="A1" s="76" t="s">
        <v>252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EAF22-923B-4DF8-AD82-769DDF073D53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B61E-645D-4764-8DBF-6AF333276C69}">
  <dimension ref="B3:B132"/>
  <sheetViews>
    <sheetView workbookViewId="0"/>
  </sheetViews>
  <sheetFormatPr defaultRowHeight="14.25" x14ac:dyDescent="0.45"/>
  <sheetData>
    <row r="3" spans="2:2" x14ac:dyDescent="0.45">
      <c r="B3">
        <v>1899</v>
      </c>
    </row>
    <row r="4" spans="2:2" x14ac:dyDescent="0.45">
      <c r="B4">
        <v>0</v>
      </c>
    </row>
    <row r="5" spans="2:2" x14ac:dyDescent="0.45">
      <c r="B5">
        <v>0</v>
      </c>
    </row>
    <row r="6" spans="2:2" x14ac:dyDescent="0.45">
      <c r="B6">
        <v>0</v>
      </c>
    </row>
    <row r="7" spans="2:2" x14ac:dyDescent="0.45">
      <c r="B7">
        <v>0</v>
      </c>
    </row>
    <row r="8" spans="2:2" x14ac:dyDescent="0.45">
      <c r="B8">
        <v>0</v>
      </c>
    </row>
    <row r="9" spans="2:2" x14ac:dyDescent="0.45">
      <c r="B9">
        <v>0</v>
      </c>
    </row>
    <row r="10" spans="2:2" x14ac:dyDescent="0.45">
      <c r="B10">
        <v>0</v>
      </c>
    </row>
    <row r="11" spans="2:2" x14ac:dyDescent="0.45">
      <c r="B11">
        <v>0</v>
      </c>
    </row>
    <row r="12" spans="2:2" x14ac:dyDescent="0.45">
      <c r="B12">
        <v>101</v>
      </c>
    </row>
    <row r="13" spans="2:2" x14ac:dyDescent="0.45">
      <c r="B13">
        <v>67</v>
      </c>
    </row>
    <row r="14" spans="2:2" x14ac:dyDescent="0.45">
      <c r="B14">
        <v>376</v>
      </c>
    </row>
    <row r="15" spans="2:2" x14ac:dyDescent="0.45">
      <c r="B15">
        <v>570</v>
      </c>
    </row>
    <row r="16" spans="2:2" x14ac:dyDescent="0.45">
      <c r="B16">
        <v>518</v>
      </c>
    </row>
    <row r="17" spans="2:2" x14ac:dyDescent="0.45">
      <c r="B17">
        <v>267</v>
      </c>
    </row>
    <row r="18" spans="2:2" x14ac:dyDescent="0.45">
      <c r="B18">
        <v>127</v>
      </c>
    </row>
    <row r="19" spans="2:2" x14ac:dyDescent="0.45">
      <c r="B19">
        <v>49</v>
      </c>
    </row>
    <row r="20" spans="2:2" x14ac:dyDescent="0.45">
      <c r="B20">
        <v>13</v>
      </c>
    </row>
    <row r="21" spans="2:2" x14ac:dyDescent="0.45">
      <c r="B21">
        <v>5</v>
      </c>
    </row>
    <row r="22" spans="2:2" x14ac:dyDescent="0.45">
      <c r="B22">
        <v>8</v>
      </c>
    </row>
    <row r="23" spans="2:2" x14ac:dyDescent="0.45">
      <c r="B23">
        <v>43</v>
      </c>
    </row>
    <row r="24" spans="2:2" x14ac:dyDescent="0.45">
      <c r="B24">
        <v>251</v>
      </c>
    </row>
    <row r="25" spans="2:2" x14ac:dyDescent="0.45">
      <c r="B25">
        <v>571</v>
      </c>
    </row>
    <row r="26" spans="2:2" x14ac:dyDescent="0.45">
      <c r="B26">
        <v>534</v>
      </c>
    </row>
    <row r="27" spans="2:2" x14ac:dyDescent="0.45">
      <c r="B27">
        <v>369</v>
      </c>
    </row>
    <row r="28" spans="2:2" x14ac:dyDescent="0.45">
      <c r="B28">
        <v>150</v>
      </c>
    </row>
    <row r="29" spans="2:2" x14ac:dyDescent="0.45">
      <c r="B29">
        <v>57</v>
      </c>
    </row>
    <row r="30" spans="2:2" x14ac:dyDescent="0.45">
      <c r="B30">
        <v>12</v>
      </c>
    </row>
    <row r="31" spans="2:2" x14ac:dyDescent="0.45">
      <c r="B31">
        <v>5</v>
      </c>
    </row>
    <row r="32" spans="2:2" x14ac:dyDescent="0.45">
      <c r="B32">
        <v>8</v>
      </c>
    </row>
    <row r="33" spans="2:2" x14ac:dyDescent="0.45">
      <c r="B33">
        <v>71</v>
      </c>
    </row>
    <row r="34" spans="2:2" x14ac:dyDescent="0.45">
      <c r="B34">
        <v>384</v>
      </c>
    </row>
    <row r="35" spans="2:2" x14ac:dyDescent="0.45">
      <c r="B35">
        <v>430</v>
      </c>
    </row>
    <row r="36" spans="2:2" x14ac:dyDescent="0.45">
      <c r="B36">
        <v>340</v>
      </c>
    </row>
    <row r="37" spans="2:2" x14ac:dyDescent="0.45">
      <c r="B37">
        <v>311</v>
      </c>
    </row>
    <row r="38" spans="2:2" x14ac:dyDescent="0.45">
      <c r="B38">
        <v>241</v>
      </c>
    </row>
    <row r="39" spans="2:2" x14ac:dyDescent="0.45">
      <c r="B39">
        <v>150</v>
      </c>
    </row>
    <row r="40" spans="2:2" x14ac:dyDescent="0.45">
      <c r="B40">
        <v>53</v>
      </c>
    </row>
    <row r="41" spans="2:2" x14ac:dyDescent="0.45">
      <c r="B41">
        <v>9</v>
      </c>
    </row>
    <row r="42" spans="2:2" x14ac:dyDescent="0.45">
      <c r="B42">
        <v>11</v>
      </c>
    </row>
    <row r="43" spans="2:2" x14ac:dyDescent="0.45">
      <c r="B43">
        <v>313</v>
      </c>
    </row>
    <row r="44" spans="2:2" x14ac:dyDescent="0.45">
      <c r="B44">
        <v>703</v>
      </c>
    </row>
    <row r="45" spans="2:2" x14ac:dyDescent="0.45">
      <c r="B45">
        <v>491</v>
      </c>
    </row>
    <row r="46" spans="2:2" x14ac:dyDescent="0.45">
      <c r="B46">
        <v>260</v>
      </c>
    </row>
    <row r="47" spans="2:2" x14ac:dyDescent="0.45">
      <c r="B47">
        <v>140</v>
      </c>
    </row>
    <row r="48" spans="2:2" x14ac:dyDescent="0.45">
      <c r="B48">
        <v>50</v>
      </c>
    </row>
    <row r="49" spans="2:2" x14ac:dyDescent="0.45">
      <c r="B49">
        <v>23</v>
      </c>
    </row>
    <row r="50" spans="2:2" x14ac:dyDescent="0.45">
      <c r="B50">
        <v>9</v>
      </c>
    </row>
    <row r="51" spans="2:2" x14ac:dyDescent="0.45">
      <c r="B51">
        <v>4</v>
      </c>
    </row>
    <row r="52" spans="2:2" x14ac:dyDescent="0.45">
      <c r="B52">
        <v>7</v>
      </c>
    </row>
    <row r="53" spans="2:2" x14ac:dyDescent="0.45">
      <c r="B53">
        <v>8</v>
      </c>
    </row>
    <row r="54" spans="2:2" x14ac:dyDescent="0.45">
      <c r="B54">
        <v>5</v>
      </c>
    </row>
    <row r="55" spans="2:2" x14ac:dyDescent="0.45">
      <c r="B55">
        <v>13</v>
      </c>
    </row>
    <row r="56" spans="2:2" x14ac:dyDescent="0.45">
      <c r="B56">
        <v>49</v>
      </c>
    </row>
    <row r="57" spans="2:2" x14ac:dyDescent="0.45">
      <c r="B57">
        <v>128</v>
      </c>
    </row>
    <row r="58" spans="2:2" x14ac:dyDescent="0.45">
      <c r="B58">
        <v>269</v>
      </c>
    </row>
    <row r="59" spans="2:2" x14ac:dyDescent="0.45">
      <c r="B59">
        <v>520</v>
      </c>
    </row>
    <row r="60" spans="2:2" x14ac:dyDescent="0.45">
      <c r="B60">
        <v>572</v>
      </c>
    </row>
    <row r="61" spans="2:2" x14ac:dyDescent="0.45">
      <c r="B61">
        <v>369</v>
      </c>
    </row>
    <row r="62" spans="2:2" x14ac:dyDescent="0.45">
      <c r="B62">
        <v>67</v>
      </c>
    </row>
    <row r="63" spans="2:2" x14ac:dyDescent="0.45">
      <c r="B63">
        <v>8</v>
      </c>
    </row>
    <row r="64" spans="2:2" x14ac:dyDescent="0.45">
      <c r="B64">
        <v>5</v>
      </c>
    </row>
    <row r="65" spans="2:2" x14ac:dyDescent="0.45">
      <c r="B65">
        <v>13</v>
      </c>
    </row>
    <row r="66" spans="2:2" x14ac:dyDescent="0.45">
      <c r="B66">
        <v>56</v>
      </c>
    </row>
    <row r="67" spans="2:2" x14ac:dyDescent="0.45">
      <c r="B67">
        <v>150</v>
      </c>
    </row>
    <row r="68" spans="2:2" x14ac:dyDescent="0.45">
      <c r="B68">
        <v>376</v>
      </c>
    </row>
    <row r="69" spans="2:2" x14ac:dyDescent="0.45">
      <c r="B69">
        <v>533</v>
      </c>
    </row>
    <row r="70" spans="2:2" x14ac:dyDescent="0.45">
      <c r="B70">
        <v>571</v>
      </c>
    </row>
    <row r="71" spans="2:2" x14ac:dyDescent="0.45">
      <c r="B71">
        <v>246</v>
      </c>
    </row>
    <row r="72" spans="2:2" x14ac:dyDescent="0.45">
      <c r="B72">
        <v>42</v>
      </c>
    </row>
    <row r="73" spans="2:2" x14ac:dyDescent="0.45">
      <c r="B73">
        <v>11</v>
      </c>
    </row>
    <row r="74" spans="2:2" x14ac:dyDescent="0.45">
      <c r="B74">
        <v>10</v>
      </c>
    </row>
    <row r="75" spans="2:2" x14ac:dyDescent="0.45">
      <c r="B75">
        <v>53</v>
      </c>
    </row>
    <row r="76" spans="2:2" x14ac:dyDescent="0.45">
      <c r="B76">
        <v>150</v>
      </c>
    </row>
    <row r="77" spans="2:2" x14ac:dyDescent="0.45">
      <c r="B77">
        <v>244</v>
      </c>
    </row>
    <row r="78" spans="2:2" x14ac:dyDescent="0.45">
      <c r="B78">
        <v>310</v>
      </c>
    </row>
    <row r="79" spans="2:2" x14ac:dyDescent="0.45">
      <c r="B79">
        <v>337</v>
      </c>
    </row>
    <row r="80" spans="2:2" x14ac:dyDescent="0.45">
      <c r="B80">
        <v>432</v>
      </c>
    </row>
    <row r="81" spans="2:2" x14ac:dyDescent="0.45">
      <c r="B81">
        <v>385</v>
      </c>
    </row>
    <row r="82" spans="2:2" x14ac:dyDescent="0.45">
      <c r="B82">
        <v>68</v>
      </c>
    </row>
    <row r="83" spans="2:2" x14ac:dyDescent="0.45">
      <c r="B83">
        <v>7</v>
      </c>
    </row>
    <row r="84" spans="2:2" x14ac:dyDescent="0.45">
      <c r="B84">
        <v>4</v>
      </c>
    </row>
    <row r="85" spans="2:2" x14ac:dyDescent="0.45">
      <c r="B85">
        <v>9</v>
      </c>
    </row>
    <row r="86" spans="2:2" x14ac:dyDescent="0.45">
      <c r="B86">
        <v>24</v>
      </c>
    </row>
    <row r="87" spans="2:2" x14ac:dyDescent="0.45">
      <c r="B87">
        <v>50</v>
      </c>
    </row>
    <row r="88" spans="2:2" x14ac:dyDescent="0.45">
      <c r="B88">
        <v>139</v>
      </c>
    </row>
    <row r="89" spans="2:2" x14ac:dyDescent="0.45">
      <c r="B89">
        <v>261</v>
      </c>
    </row>
    <row r="90" spans="2:2" x14ac:dyDescent="0.45">
      <c r="B90">
        <v>495</v>
      </c>
    </row>
    <row r="91" spans="2:2" x14ac:dyDescent="0.45">
      <c r="B91">
        <v>704</v>
      </c>
    </row>
    <row r="92" spans="2:2" x14ac:dyDescent="0.45">
      <c r="B92">
        <v>307</v>
      </c>
    </row>
    <row r="93" spans="2:2" x14ac:dyDescent="0.45">
      <c r="B93">
        <v>9</v>
      </c>
    </row>
    <row r="94" spans="2:2" x14ac:dyDescent="0.45">
      <c r="B94">
        <v>4</v>
      </c>
    </row>
    <row r="95" spans="2:2" x14ac:dyDescent="0.45">
      <c r="B95">
        <v>13</v>
      </c>
    </row>
    <row r="96" spans="2:2" x14ac:dyDescent="0.45">
      <c r="B96">
        <v>48</v>
      </c>
    </row>
    <row r="97" spans="2:2" x14ac:dyDescent="0.45">
      <c r="B97">
        <v>135</v>
      </c>
    </row>
    <row r="98" spans="2:2" x14ac:dyDescent="0.45">
      <c r="B98">
        <v>267</v>
      </c>
    </row>
    <row r="99" spans="2:2" x14ac:dyDescent="0.45">
      <c r="B99">
        <v>524</v>
      </c>
    </row>
    <row r="100" spans="2:2" x14ac:dyDescent="0.45">
      <c r="B100">
        <v>573</v>
      </c>
    </row>
    <row r="101" spans="2:2" x14ac:dyDescent="0.45">
      <c r="B101">
        <v>366</v>
      </c>
    </row>
    <row r="102" spans="2:2" x14ac:dyDescent="0.45">
      <c r="B102">
        <v>61</v>
      </c>
    </row>
    <row r="103" spans="2:2" x14ac:dyDescent="0.45">
      <c r="B103">
        <v>7</v>
      </c>
    </row>
    <row r="104" spans="2:2" x14ac:dyDescent="0.45">
      <c r="B104">
        <v>5</v>
      </c>
    </row>
    <row r="105" spans="2:2" x14ac:dyDescent="0.45">
      <c r="B105">
        <v>7</v>
      </c>
    </row>
    <row r="106" spans="2:2" x14ac:dyDescent="0.45">
      <c r="B106">
        <v>19</v>
      </c>
    </row>
    <row r="107" spans="2:2" x14ac:dyDescent="0.45">
      <c r="B107">
        <v>41</v>
      </c>
    </row>
    <row r="108" spans="2:2" x14ac:dyDescent="0.45">
      <c r="B108">
        <v>130</v>
      </c>
    </row>
    <row r="109" spans="2:2" x14ac:dyDescent="0.45">
      <c r="B109">
        <v>465</v>
      </c>
    </row>
    <row r="110" spans="2:2" x14ac:dyDescent="0.45">
      <c r="B110">
        <v>1035</v>
      </c>
    </row>
    <row r="111" spans="2:2" x14ac:dyDescent="0.45">
      <c r="B111">
        <v>251</v>
      </c>
    </row>
    <row r="112" spans="2:2" x14ac:dyDescent="0.45">
      <c r="B112">
        <v>40</v>
      </c>
    </row>
    <row r="113" spans="2:2" x14ac:dyDescent="0.45">
      <c r="B113">
        <v>1269</v>
      </c>
    </row>
    <row r="114" spans="2:2" x14ac:dyDescent="0.45">
      <c r="B114">
        <v>237</v>
      </c>
    </row>
    <row r="115" spans="2:2" x14ac:dyDescent="0.45">
      <c r="B115">
        <v>179</v>
      </c>
    </row>
    <row r="116" spans="2:2" x14ac:dyDescent="0.45">
      <c r="B116">
        <v>116</v>
      </c>
    </row>
    <row r="117" spans="2:2" x14ac:dyDescent="0.45">
      <c r="B117">
        <v>77</v>
      </c>
    </row>
    <row r="118" spans="2:2" x14ac:dyDescent="0.45">
      <c r="B118">
        <v>62</v>
      </c>
    </row>
    <row r="119" spans="2:2" x14ac:dyDescent="0.45">
      <c r="B119">
        <v>35</v>
      </c>
    </row>
    <row r="120" spans="2:2" x14ac:dyDescent="0.45">
      <c r="B120">
        <v>14</v>
      </c>
    </row>
    <row r="121" spans="2:2" x14ac:dyDescent="0.45">
      <c r="B121">
        <v>9</v>
      </c>
    </row>
    <row r="122" spans="2:2" x14ac:dyDescent="0.45">
      <c r="B122">
        <v>2</v>
      </c>
    </row>
    <row r="123" spans="2:2" x14ac:dyDescent="0.45">
      <c r="B123">
        <v>61</v>
      </c>
    </row>
    <row r="124" spans="2:2" x14ac:dyDescent="0.45">
      <c r="B124">
        <v>372</v>
      </c>
    </row>
    <row r="125" spans="2:2" x14ac:dyDescent="0.45">
      <c r="B125">
        <v>570</v>
      </c>
    </row>
    <row r="126" spans="2:2" x14ac:dyDescent="0.45">
      <c r="B126">
        <v>531</v>
      </c>
    </row>
    <row r="127" spans="2:2" x14ac:dyDescent="0.45">
      <c r="B127">
        <v>260</v>
      </c>
    </row>
    <row r="128" spans="2:2" x14ac:dyDescent="0.45">
      <c r="B128">
        <v>132</v>
      </c>
    </row>
    <row r="129" spans="2:2" x14ac:dyDescent="0.45">
      <c r="B129">
        <v>49</v>
      </c>
    </row>
    <row r="130" spans="2:2" x14ac:dyDescent="0.45">
      <c r="B130">
        <v>12</v>
      </c>
    </row>
    <row r="131" spans="2:2" x14ac:dyDescent="0.45">
      <c r="B131">
        <v>4</v>
      </c>
    </row>
    <row r="132" spans="2:2" x14ac:dyDescent="0.45">
      <c r="B132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88104600-98FF-4650-A715-5155E10FFE49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43</vt:i4>
      </vt:variant>
    </vt:vector>
  </HeadingPairs>
  <TitlesOfParts>
    <vt:vector size="50" baseType="lpstr">
      <vt:lpstr>Описание</vt:lpstr>
      <vt:lpstr>Исходные данные</vt:lpstr>
      <vt:lpstr>Хеджи</vt:lpstr>
      <vt:lpstr>Результаты</vt:lpstr>
      <vt:lpstr>ModelRiskDSN</vt:lpstr>
      <vt:lpstr>ModelRiskSYS1</vt:lpstr>
      <vt:lpstr>ModelRiskCharts</vt:lpstr>
      <vt:lpstr>AvgPrice</vt:lpstr>
      <vt:lpstr>BudgetPrice</vt:lpstr>
      <vt:lpstr>BudgetRevenue</vt:lpstr>
      <vt:lpstr>BudgetUptime</vt:lpstr>
      <vt:lpstr>CallStrike</vt:lpstr>
      <vt:lpstr>Checks</vt:lpstr>
      <vt:lpstr>FirstYear</vt:lpstr>
      <vt:lpstr>HedgeRatio</vt:lpstr>
      <vt:lpstr>InputMeans</vt:lpstr>
      <vt:lpstr>MonthsHedged</vt:lpstr>
      <vt:lpstr>Mu_m</vt:lpstr>
      <vt:lpstr>Outage</vt:lpstr>
      <vt:lpstr>OutageMonths</vt:lpstr>
      <vt:lpstr>OutageStart</vt:lpstr>
      <vt:lpstr>Pay_C</vt:lpstr>
      <vt:lpstr>Pay_P</vt:lpstr>
      <vt:lpstr>Pay_S</vt:lpstr>
      <vt:lpstr>PlanRevenue</vt:lpstr>
      <vt:lpstr>PlanVolume</vt:lpstr>
      <vt:lpstr>PriceNow</vt:lpstr>
      <vt:lpstr>Results!Print_Area</vt:lpstr>
      <vt:lpstr>Hedges!Print_Titles</vt:lpstr>
      <vt:lpstr>Inputs!Print_Titles</vt:lpstr>
      <vt:lpstr>Results!Print_Titles</vt:lpstr>
      <vt:lpstr>Prob_Outage</vt:lpstr>
      <vt:lpstr>PutPremium</vt:lpstr>
      <vt:lpstr>PutStrike</vt:lpstr>
      <vt:lpstr>Rev_C</vt:lpstr>
      <vt:lpstr>Rev_P</vt:lpstr>
      <vt:lpstr>Rev_S</vt:lpstr>
      <vt:lpstr>Rev_U</vt:lpstr>
      <vt:lpstr>Short_C</vt:lpstr>
      <vt:lpstr>Short_P</vt:lpstr>
      <vt:lpstr>Short_S</vt:lpstr>
      <vt:lpstr>Short_U</vt:lpstr>
      <vt:lpstr>Sigma_m</vt:lpstr>
      <vt:lpstr>StartMonth</vt:lpstr>
      <vt:lpstr>SwapPrice</vt:lpstr>
      <vt:lpstr>Uptime_Hi</vt:lpstr>
      <vt:lpstr>Uptime_Lo</vt:lpstr>
      <vt:lpstr>Uptime_Mean</vt:lpstr>
      <vt:lpstr>Uptime_ML</vt:lpstr>
      <vt:lpstr>Volatility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OG-09 Хеджирование добычи свопами и колларами</dc:title>
  <dc:subject>Отраслевые примеры моделей МоделРиск — Нефть и газ</dc:subject>
  <dc:creator>ООО «Стратегия Риска»</dc:creator>
  <cp:keywords>МоделРиск; Монте-Карло; нефть и газ</cp:keywords>
  <dc:description>Сравнение вариантов без хеджирования, со свопом, беззатратным колларом и купленными путами для выручки от добычи нефти за два года.</dc:description>
  <cp:lastModifiedBy>ООО «Стратегия Риска»</cp:lastModifiedBy>
  <cp:lastPrinted>2026-10-05T17:20:10Z</cp:lastPrinted>
  <dcterms:created xsi:type="dcterms:W3CDTF">2026-10-05T17:15:08Z</dcterms:created>
  <dcterms:modified xsi:type="dcterms:W3CDTF">2026-10-05T17:20:11Z</dcterms:modified>
</cp:coreProperties>
</file>