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30812FFE-BB57-43A8-BA25-A9031AA710E8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Описание" sheetId="1" r:id="rId1"/>
    <sheet name="Исходные данные" sheetId="2" r:id="rId2"/>
    <sheet name="История" sheetId="3" r:id="rId3"/>
    <sheet name="Модели" sheetId="4" r:id="rId4"/>
    <sheet name="Прогноз" sheetId="5" r:id="rId5"/>
    <sheet name="Результаты" sheetId="6" r:id="rId6"/>
    <sheet name="ModelRiskDSN" sheetId="7" state="hidden" r:id="rId7"/>
    <sheet name="ModelRiskSYS1" sheetId="8" state="hidden" r:id="rId8"/>
    <sheet name="ModelRiskCharts" sheetId="9" state="hidden" r:id="rId9"/>
  </sheets>
  <definedNames>
    <definedName name="Avg_Y1">'Прогноз'!$J$10</definedName>
    <definedName name="Avg_Y2">'Прогноз'!$J$11</definedName>
    <definedName name="Avg_Y3">'Прогноз'!$J$12</definedName>
    <definedName name="Avg_Y4">'Прогноз'!$J$13</definedName>
    <definedName name="Avg_Y5">'Прогноз'!$J$14</definedName>
    <definedName name="Avg5_AJ">'Прогноз'!$M$14</definedName>
    <definedName name="Avg5_GBM">'Прогноз'!$K$14</definedName>
    <definedName name="Avg5_VR">'Прогноз'!$L$14</definedName>
    <definedName name="Best_No">'Модели'!$C$22</definedName>
    <definedName name="BudgetPrice">'Исходные данные'!$D$11</definedName>
    <definedName name="Checks">'Модели'!$D$64:$D$67</definedName>
    <definedName name="FirstForecastYear">'Исходные данные'!$D$12</definedName>
    <definedName name="Fit_Objects">'Модели'!$C$12:$E$12</definedName>
    <definedName name="Hist_Date">'История'!$B$10:$B$129</definedName>
    <definedName name="Hist_Last">'История'!$C$129</definedName>
    <definedName name="Hist_Price">'История'!$C$10:$C$129</definedName>
    <definedName name="Hist_Ret">'История'!$D$11:$D$129</definedName>
    <definedName name="Model_Names">'Модели'!$C$8:$E$8</definedName>
    <definedName name="Model_No">'Модели'!$C$9:$E$9</definedName>
    <definedName name="ModelUsed">'Модели'!$C$36</definedName>
    <definedName name="ModelUsedName">'Модели'!$C$37</definedName>
    <definedName name="Obj_AJ">'Модели'!$E$12</definedName>
    <definedName name="Obj_GBM">'Модели'!$C$12</definedName>
    <definedName name="Obj_VR">'Модели'!$D$12</definedName>
    <definedName name="_xlnm.Print_Area" localSheetId="5">'Результаты'!$A$1:$R$46</definedName>
    <definedName name="_xlnm.Print_Titles" localSheetId="4">'Прогноз'!$1:$9</definedName>
    <definedName name="_xlnm.Print_Titles" localSheetId="2">'История'!$1:$9</definedName>
    <definedName name="_xlnm.Print_Titles" localSheetId="1">'Исходные данные'!$1:$4</definedName>
    <definedName name="_xlnm.Print_Titles" localSheetId="5">'Результаты'!$1:$4</definedName>
    <definedName name="Prior_AJ">'Исходные данные'!$D$21</definedName>
    <definedName name="Prior_GBM">'Исходные данные'!$D$19</definedName>
    <definedName name="Prior_VR">'Исходные данные'!$D$20</definedName>
    <definedName name="SIC_All">'Модели'!$C$13:$E$13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0</definedName>
    <definedName name="SimOpt_RefreshExcel" hidden="1">0</definedName>
    <definedName name="SimOpt_RefreshRate" hidden="1">1</definedName>
    <definedName name="SimOpt_SamplesCount" hidden="1">10000</definedName>
    <definedName name="SimOpt_Seed0" hidden="1">1</definedName>
    <definedName name="SimOpt_SeedFixed" hidden="1">1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0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"MODELRISK"</definedName>
    <definedName name="SimOpt_UploadRemotely" hidden="1">0</definedName>
    <definedName name="SimOpt_UseTurboByDefault" hidden="1">0</definedName>
    <definedName name="UseAveraging">'Исходные данные'!$D$18</definedName>
    <definedName name="UseParamUncertainty">'Исходные данные'!$D$13</definedName>
    <definedName name="W_Used">'Модели'!$C$20:$E$20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1" i="6" l="1"/>
  <c r="C100" i="6"/>
  <c r="C99" i="6"/>
  <c r="C98" i="6"/>
  <c r="C97" i="6"/>
  <c r="C96" i="6"/>
  <c r="C95" i="6"/>
  <c r="C94" i="6"/>
  <c r="C93" i="6"/>
  <c r="C92" i="6"/>
  <c r="C91" i="6"/>
  <c r="C90" i="6"/>
  <c r="C89" i="6"/>
  <c r="C88" i="6"/>
  <c r="C87" i="6"/>
  <c r="C86" i="6"/>
  <c r="C85" i="6"/>
  <c r="C84" i="6"/>
  <c r="C83" i="6"/>
  <c r="C82" i="6"/>
  <c r="C81" i="6"/>
  <c r="C80" i="6"/>
  <c r="C79" i="6"/>
  <c r="C78" i="6"/>
  <c r="C77" i="6"/>
  <c r="C76" i="6"/>
  <c r="C75" i="6"/>
  <c r="C74" i="6"/>
  <c r="C73" i="6"/>
  <c r="C72" i="6"/>
  <c r="C71" i="6"/>
  <c r="C70" i="6"/>
  <c r="C69" i="6"/>
  <c r="C68" i="6"/>
  <c r="C67" i="6"/>
  <c r="C66" i="6"/>
  <c r="C65" i="6"/>
  <c r="C64" i="6"/>
  <c r="C63" i="6"/>
  <c r="C62" i="6"/>
  <c r="C61" i="6"/>
  <c r="C60" i="6"/>
  <c r="C59" i="6"/>
  <c r="C58" i="6"/>
  <c r="C57" i="6"/>
  <c r="C56" i="6"/>
  <c r="C55" i="6"/>
  <c r="C54" i="6"/>
  <c r="C53" i="6"/>
  <c r="C52" i="6"/>
  <c r="B33" i="6"/>
  <c r="B32" i="6"/>
  <c r="B31" i="6"/>
  <c r="D21" i="6"/>
  <c r="C54" i="5"/>
  <c r="B148" i="6"/>
  <c r="D66" i="4"/>
  <c r="D65" i="4"/>
  <c r="D64" i="4"/>
  <c r="E17" i="4"/>
  <c r="D17" i="4"/>
  <c r="C17" i="4"/>
  <c r="E11" i="4"/>
  <c r="D11" i="4"/>
  <c r="C11" i="4"/>
  <c r="D10" i="4"/>
  <c r="C10" i="4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H16" i="3" s="1"/>
  <c r="D20" i="3"/>
  <c r="D19" i="3"/>
  <c r="D18" i="3"/>
  <c r="D17" i="3"/>
  <c r="D16" i="3"/>
  <c r="H15" i="3"/>
  <c r="D15" i="3"/>
  <c r="H14" i="3"/>
  <c r="D14" i="3"/>
  <c r="H13" i="3"/>
  <c r="D13" i="3"/>
  <c r="H12" i="3"/>
  <c r="D12" i="3"/>
  <c r="H11" i="3"/>
  <c r="D11" i="3"/>
  <c r="H10" i="3"/>
  <c r="H9" i="3"/>
  <c r="D12" i="2"/>
  <c r="C64" i="5" s="1"/>
  <c r="B158" i="6" s="1"/>
  <c r="B14" i="6"/>
  <c r="C28" i="5"/>
  <c r="B122" i="6"/>
  <c r="I14" i="5"/>
  <c r="C38" i="5"/>
  <c r="B132" i="6"/>
  <c r="C22" i="5"/>
  <c r="B116" i="6" s="1"/>
  <c r="C48" i="5"/>
  <c r="B142" i="6"/>
  <c r="C16" i="5"/>
  <c r="B110" i="6"/>
  <c r="C32" i="5"/>
  <c r="B126" i="6" s="1"/>
  <c r="C58" i="5"/>
  <c r="B152" i="6" s="1"/>
  <c r="I10" i="5"/>
  <c r="C13" i="5"/>
  <c r="B107" i="6"/>
  <c r="C42" i="5"/>
  <c r="B136" i="6" s="1"/>
  <c r="C66" i="5"/>
  <c r="B160" i="6"/>
  <c r="I11" i="5"/>
  <c r="C17" i="5"/>
  <c r="B111" i="6"/>
  <c r="C26" i="5"/>
  <c r="B120" i="6"/>
  <c r="C50" i="5"/>
  <c r="B144" i="6" s="1"/>
  <c r="B24" i="6"/>
  <c r="B16" i="6"/>
  <c r="C69" i="5"/>
  <c r="B163" i="6"/>
  <c r="C65" i="5"/>
  <c r="B159" i="6"/>
  <c r="C61" i="5"/>
  <c r="B155" i="6" s="1"/>
  <c r="C57" i="5"/>
  <c r="B151" i="6" s="1"/>
  <c r="C53" i="5"/>
  <c r="B147" i="6"/>
  <c r="C49" i="5"/>
  <c r="B143" i="6"/>
  <c r="C45" i="5"/>
  <c r="B139" i="6" s="1"/>
  <c r="C41" i="5"/>
  <c r="B135" i="6" s="1"/>
  <c r="C37" i="5"/>
  <c r="B131" i="6"/>
  <c r="C33" i="5"/>
  <c r="B127" i="6"/>
  <c r="C29" i="5"/>
  <c r="B123" i="6" s="1"/>
  <c r="C25" i="5"/>
  <c r="B119" i="6" s="1"/>
  <c r="C21" i="5"/>
  <c r="B115" i="6"/>
  <c r="B26" i="6"/>
  <c r="B12" i="6"/>
  <c r="C67" i="5"/>
  <c r="B161" i="6" s="1"/>
  <c r="C63" i="5"/>
  <c r="B157" i="6" s="1"/>
  <c r="C59" i="5"/>
  <c r="B153" i="6"/>
  <c r="C55" i="5"/>
  <c r="B149" i="6"/>
  <c r="C51" i="5"/>
  <c r="B145" i="6" s="1"/>
  <c r="C47" i="5"/>
  <c r="B141" i="6" s="1"/>
  <c r="C43" i="5"/>
  <c r="B137" i="6"/>
  <c r="C39" i="5"/>
  <c r="B133" i="6"/>
  <c r="C35" i="5"/>
  <c r="B129" i="6" s="1"/>
  <c r="C31" i="5"/>
  <c r="B125" i="6" s="1"/>
  <c r="C27" i="5"/>
  <c r="B121" i="6"/>
  <c r="C23" i="5"/>
  <c r="B117" i="6"/>
  <c r="C19" i="5"/>
  <c r="B113" i="6" s="1"/>
  <c r="C14" i="5"/>
  <c r="B108" i="6" s="1"/>
  <c r="B23" i="6"/>
  <c r="B15" i="6"/>
  <c r="B13" i="6"/>
  <c r="C68" i="5"/>
  <c r="B162" i="6" s="1"/>
  <c r="C52" i="5"/>
  <c r="B146" i="6"/>
  <c r="C36" i="5"/>
  <c r="B130" i="6"/>
  <c r="C20" i="5"/>
  <c r="B114" i="6"/>
  <c r="C15" i="5"/>
  <c r="B109" i="6" s="1"/>
  <c r="I12" i="5"/>
  <c r="C11" i="5"/>
  <c r="B105" i="6" s="1"/>
  <c r="C12" i="5"/>
  <c r="B106" i="6"/>
  <c r="C62" i="5"/>
  <c r="B156" i="6"/>
  <c r="C46" i="5"/>
  <c r="B140" i="6" s="1"/>
  <c r="C30" i="5"/>
  <c r="B124" i="6" s="1"/>
  <c r="B27" i="6"/>
  <c r="C40" i="5"/>
  <c r="B134" i="6"/>
  <c r="C24" i="5"/>
  <c r="B118" i="6" s="1"/>
  <c r="C56" i="5"/>
  <c r="B150" i="6"/>
  <c r="I13" i="5"/>
  <c r="C10" i="5"/>
  <c r="B104" i="6"/>
  <c r="C34" i="5"/>
  <c r="B128" i="6"/>
  <c r="C60" i="5"/>
  <c r="B154" i="6" s="1"/>
  <c r="C18" i="5"/>
  <c r="B112" i="6" s="1"/>
  <c r="C44" i="5"/>
  <c r="B138" i="6"/>
  <c r="B25" i="6"/>
  <c r="D47" i="4" a="1"/>
  <c r="C12" i="4" a="1"/>
  <c r="E12" i="4" a="1"/>
  <c r="D12" i="4" a="1"/>
  <c r="D42" i="4" a="1"/>
  <c r="D53" i="4" a="1"/>
  <c r="H17" i="3" l="1"/>
  <c r="D58" i="4"/>
  <c r="D60" i="4" s="1"/>
  <c r="D53" i="4"/>
  <c r="D59" i="4"/>
  <c r="D55" i="4"/>
  <c r="D56" i="4"/>
  <c r="D54" i="4"/>
  <c r="D57" i="4"/>
  <c r="D42" i="4"/>
  <c r="D43" i="4"/>
  <c r="D44" i="4" s="1"/>
  <c r="D12" i="4"/>
  <c r="E12" i="4"/>
  <c r="C12" i="4"/>
  <c r="D48" i="4"/>
  <c r="D47" i="4"/>
  <c r="D49" i="4"/>
  <c r="D50" i="4" s="1"/>
  <c r="H18" i="3"/>
  <c r="F10" i="5" a="1"/>
  <c r="G10" i="5" a="1"/>
  <c r="E10" i="5" a="1"/>
  <c r="D14" i="4" a="1"/>
  <c r="D13" i="4" a="1"/>
  <c r="D15" i="4" a="1"/>
  <c r="E15" i="4" a="1"/>
  <c r="E14" i="4" a="1"/>
  <c r="E13" i="4" a="1"/>
  <c r="C15" i="4" a="1"/>
  <c r="C24" i="4" a="1"/>
  <c r="C14" i="4" a="1"/>
  <c r="C13" i="4" a="1"/>
  <c r="E57" i="5" l="1"/>
  <c r="E17" i="5"/>
  <c r="E37" i="5"/>
  <c r="E32" i="5"/>
  <c r="E66" i="5"/>
  <c r="E33" i="5"/>
  <c r="E52" i="5"/>
  <c r="E12" i="5"/>
  <c r="E29" i="5"/>
  <c r="E36" i="5"/>
  <c r="E10" i="5"/>
  <c r="E30" i="5"/>
  <c r="E42" i="5"/>
  <c r="E47" i="5"/>
  <c r="E69" i="5"/>
  <c r="E48" i="5"/>
  <c r="E55" i="5"/>
  <c r="E26" i="5"/>
  <c r="E54" i="5"/>
  <c r="E24" i="5"/>
  <c r="E11" i="5"/>
  <c r="E43" i="5"/>
  <c r="E40" i="5"/>
  <c r="E67" i="5"/>
  <c r="E21" i="5"/>
  <c r="E23" i="5"/>
  <c r="E35" i="5"/>
  <c r="E38" i="5"/>
  <c r="E27" i="5"/>
  <c r="E13" i="5"/>
  <c r="E61" i="5"/>
  <c r="E56" i="5"/>
  <c r="E53" i="5"/>
  <c r="E16" i="5"/>
  <c r="E63" i="5"/>
  <c r="E49" i="5"/>
  <c r="E44" i="5"/>
  <c r="E51" i="5"/>
  <c r="E46" i="5"/>
  <c r="E25" i="5"/>
  <c r="E60" i="5"/>
  <c r="E41" i="5"/>
  <c r="E15" i="5"/>
  <c r="E64" i="5"/>
  <c r="E18" i="5"/>
  <c r="E31" i="5"/>
  <c r="E65" i="5"/>
  <c r="E14" i="5"/>
  <c r="E59" i="5"/>
  <c r="E68" i="5"/>
  <c r="E50" i="5"/>
  <c r="E34" i="5"/>
  <c r="E45" i="5"/>
  <c r="E22" i="5"/>
  <c r="E39" i="5"/>
  <c r="E20" i="5"/>
  <c r="E28" i="5"/>
  <c r="E19" i="5"/>
  <c r="E58" i="5"/>
  <c r="E62" i="5"/>
  <c r="G56" i="5"/>
  <c r="G65" i="5"/>
  <c r="G19" i="5"/>
  <c r="G46" i="5"/>
  <c r="G44" i="5"/>
  <c r="G55" i="5"/>
  <c r="G20" i="5"/>
  <c r="G58" i="5"/>
  <c r="G47" i="5"/>
  <c r="G15" i="5"/>
  <c r="G34" i="5"/>
  <c r="G49" i="5"/>
  <c r="G68" i="5"/>
  <c r="G22" i="5"/>
  <c r="G10" i="5"/>
  <c r="G57" i="5"/>
  <c r="G28" i="5"/>
  <c r="G48" i="5"/>
  <c r="G66" i="5"/>
  <c r="G24" i="5"/>
  <c r="G64" i="5"/>
  <c r="G30" i="5"/>
  <c r="G17" i="5"/>
  <c r="G27" i="5"/>
  <c r="G40" i="5"/>
  <c r="G32" i="5"/>
  <c r="G62" i="5"/>
  <c r="G13" i="5"/>
  <c r="G18" i="5"/>
  <c r="G16" i="5"/>
  <c r="G43" i="5"/>
  <c r="G63" i="5"/>
  <c r="G25" i="5"/>
  <c r="G61" i="5"/>
  <c r="G31" i="5"/>
  <c r="G11" i="5"/>
  <c r="G59" i="5"/>
  <c r="G50" i="5"/>
  <c r="G38" i="5"/>
  <c r="G69" i="5"/>
  <c r="G35" i="5"/>
  <c r="G53" i="5"/>
  <c r="G37" i="5"/>
  <c r="G26" i="5"/>
  <c r="G60" i="5"/>
  <c r="G29" i="5"/>
  <c r="G39" i="5"/>
  <c r="G51" i="5"/>
  <c r="G42" i="5"/>
  <c r="G41" i="5"/>
  <c r="G67" i="5"/>
  <c r="G45" i="5"/>
  <c r="G21" i="5"/>
  <c r="G52" i="5"/>
  <c r="G36" i="5"/>
  <c r="G33" i="5"/>
  <c r="G14" i="5"/>
  <c r="G12" i="5"/>
  <c r="G23" i="5"/>
  <c r="G54" i="5"/>
  <c r="F23" i="5"/>
  <c r="F39" i="5"/>
  <c r="F40" i="5"/>
  <c r="F34" i="5"/>
  <c r="F53" i="5"/>
  <c r="F63" i="5"/>
  <c r="F45" i="5"/>
  <c r="F68" i="5"/>
  <c r="F47" i="5"/>
  <c r="F64" i="5"/>
  <c r="F54" i="5"/>
  <c r="F50" i="5"/>
  <c r="F44" i="5"/>
  <c r="F42" i="5"/>
  <c r="F15" i="5"/>
  <c r="F56" i="5"/>
  <c r="F66" i="5"/>
  <c r="F51" i="5"/>
  <c r="F67" i="5"/>
  <c r="F58" i="5"/>
  <c r="F59" i="5"/>
  <c r="F16" i="5"/>
  <c r="F32" i="5"/>
  <c r="F19" i="5"/>
  <c r="F49" i="5"/>
  <c r="F30" i="5"/>
  <c r="F65" i="5"/>
  <c r="F29" i="5"/>
  <c r="F37" i="5"/>
  <c r="F33" i="5"/>
  <c r="F69" i="5"/>
  <c r="F20" i="5"/>
  <c r="F21" i="5"/>
  <c r="F36" i="5"/>
  <c r="F22" i="5"/>
  <c r="F25" i="5"/>
  <c r="F52" i="5"/>
  <c r="F14" i="5"/>
  <c r="F38" i="5"/>
  <c r="F26" i="5"/>
  <c r="F61" i="5"/>
  <c r="F31" i="5"/>
  <c r="F18" i="5"/>
  <c r="F10" i="5"/>
  <c r="F57" i="5"/>
  <c r="F41" i="5"/>
  <c r="F27" i="5"/>
  <c r="F28" i="5"/>
  <c r="F55" i="5"/>
  <c r="F35" i="5"/>
  <c r="F17" i="5"/>
  <c r="F12" i="5"/>
  <c r="F60" i="5"/>
  <c r="F46" i="5"/>
  <c r="F13" i="5"/>
  <c r="F24" i="5"/>
  <c r="F11" i="5"/>
  <c r="F62" i="5"/>
  <c r="F48" i="5"/>
  <c r="F43" i="5"/>
  <c r="C13" i="4"/>
  <c r="C14" i="4"/>
  <c r="C24" i="4"/>
  <c r="C15" i="4"/>
  <c r="E13" i="4"/>
  <c r="E14" i="4"/>
  <c r="E15" i="4"/>
  <c r="D15" i="4"/>
  <c r="D13" i="4"/>
  <c r="D14" i="4"/>
  <c r="D32" i="6" l="1"/>
  <c r="C32" i="6"/>
  <c r="D31" i="6"/>
  <c r="C31" i="6"/>
  <c r="D33" i="6"/>
  <c r="C33" i="6"/>
  <c r="M13" i="5"/>
  <c r="M12" i="5"/>
  <c r="K13" i="5"/>
  <c r="L13" i="5"/>
  <c r="K11" i="5"/>
  <c r="L10" i="5"/>
  <c r="L14" i="5" a="1"/>
  <c r="L14" i="5" s="1"/>
  <c r="L12" i="5"/>
  <c r="M14" i="5" a="1"/>
  <c r="M14" i="5" s="1"/>
  <c r="K12" i="5"/>
  <c r="L11" i="5"/>
  <c r="M10" i="5"/>
  <c r="K14" i="5" a="1"/>
  <c r="K14" i="5" s="1"/>
  <c r="K10" i="5"/>
  <c r="M11" i="5"/>
  <c r="E16" i="4"/>
  <c r="E18" i="4" s="1"/>
  <c r="G14" i="4"/>
  <c r="G15" i="4"/>
  <c r="D16" i="4"/>
  <c r="D18" i="4" s="1"/>
  <c r="G13" i="4"/>
  <c r="C22" i="4"/>
  <c r="C23" i="4" s="1" a="1"/>
  <c r="C23" i="4" s="1"/>
  <c r="C16" i="4"/>
  <c r="C18" i="4" s="1"/>
  <c r="G91" i="6" a="1"/>
  <c r="G60" i="6" a="1"/>
  <c r="G92" i="6" a="1"/>
  <c r="G77" i="6" a="1"/>
  <c r="G61" i="6" a="1"/>
  <c r="G59" i="6" a="1"/>
  <c r="G76" i="6" a="1"/>
  <c r="G93" i="6" a="1"/>
  <c r="G75" i="6" a="1"/>
  <c r="G58" i="6" a="1"/>
  <c r="G101" i="6" a="1"/>
  <c r="G85" i="6" a="1"/>
  <c r="G69" i="6" a="1"/>
  <c r="G53" i="6" a="1"/>
  <c r="G100" i="6" a="1"/>
  <c r="G84" i="6" a="1"/>
  <c r="G68" i="6" a="1"/>
  <c r="G52" i="6" a="1"/>
  <c r="G90" i="6" a="1"/>
  <c r="G99" i="6" a="1"/>
  <c r="G83" i="6" a="1"/>
  <c r="G67" i="6" a="1"/>
  <c r="G38" i="6" a="1"/>
  <c r="G74" i="6" a="1"/>
  <c r="G98" i="6" a="1"/>
  <c r="G82" i="6" a="1"/>
  <c r="G66" i="6" a="1"/>
  <c r="F38" i="6" a="1"/>
  <c r="G97" i="6" a="1"/>
  <c r="G89" i="6" a="1"/>
  <c r="G81" i="6" a="1"/>
  <c r="G73" i="6" a="1"/>
  <c r="G65" i="6" a="1"/>
  <c r="G57" i="6" a="1"/>
  <c r="E38" i="6" a="1"/>
  <c r="G96" i="6" a="1"/>
  <c r="G88" i="6" a="1"/>
  <c r="G80" i="6" a="1"/>
  <c r="G72" i="6" a="1"/>
  <c r="G64" i="6" a="1"/>
  <c r="G56" i="6" a="1"/>
  <c r="D38" i="6" a="1"/>
  <c r="G95" i="6" a="1"/>
  <c r="G87" i="6" a="1"/>
  <c r="G79" i="6" a="1"/>
  <c r="G71" i="6" a="1"/>
  <c r="G63" i="6" a="1"/>
  <c r="G55" i="6" a="1"/>
  <c r="G94" i="6" a="1"/>
  <c r="G86" i="6" a="1"/>
  <c r="G78" i="6" a="1"/>
  <c r="G70" i="6" a="1"/>
  <c r="G62" i="6" a="1"/>
  <c r="G54" i="6" a="1"/>
  <c r="E56" i="6" a="1"/>
  <c r="E79" i="6" a="1"/>
  <c r="E66" i="6" a="1"/>
  <c r="E60" i="6" a="1"/>
  <c r="E99" i="6" a="1"/>
  <c r="E93" i="6" a="1"/>
  <c r="E83" i="6" a="1"/>
  <c r="E73" i="6" a="1"/>
  <c r="E81" i="6" a="1"/>
  <c r="E70" i="6" a="1"/>
  <c r="E65" i="6" a="1"/>
  <c r="E75" i="6" a="1"/>
  <c r="E64" i="6" a="1"/>
  <c r="E62" i="6" a="1"/>
  <c r="E52" i="6" a="1"/>
  <c r="E63" i="6" a="1"/>
  <c r="E72" i="6" a="1"/>
  <c r="E97" i="6" a="1"/>
  <c r="E68" i="6" a="1"/>
  <c r="E54" i="6" a="1"/>
  <c r="E36" i="6" a="1"/>
  <c r="E67" i="6" a="1"/>
  <c r="E53" i="6" a="1"/>
  <c r="F36" i="6" a="1"/>
  <c r="E100" i="6" a="1"/>
  <c r="E96" i="6" a="1"/>
  <c r="G36" i="6" a="1"/>
  <c r="E95" i="6" a="1"/>
  <c r="E91" i="6" a="1"/>
  <c r="E74" i="6" a="1"/>
  <c r="D36" i="6" a="1"/>
  <c r="E90" i="6" a="1"/>
  <c r="E92" i="6" a="1"/>
  <c r="E94" i="6" a="1"/>
  <c r="E87" i="6" a="1"/>
  <c r="E85" i="6" a="1"/>
  <c r="E61" i="6" a="1"/>
  <c r="E71" i="6" a="1"/>
  <c r="E84" i="6" a="1"/>
  <c r="E101" i="6" a="1"/>
  <c r="E86" i="6" a="1"/>
  <c r="E88" i="6" a="1"/>
  <c r="E82" i="6" a="1"/>
  <c r="E57" i="6" a="1"/>
  <c r="E58" i="6" a="1"/>
  <c r="E76" i="6" a="1"/>
  <c r="E80" i="6" a="1"/>
  <c r="E78" i="6" a="1"/>
  <c r="E77" i="6" a="1"/>
  <c r="E69" i="6" a="1"/>
  <c r="E89" i="6" a="1"/>
  <c r="E98" i="6" a="1"/>
  <c r="E55" i="6" a="1"/>
  <c r="E59" i="6" a="1"/>
  <c r="F98" i="6" a="1"/>
  <c r="F84" i="6" a="1"/>
  <c r="F80" i="6" a="1"/>
  <c r="F91" i="6" a="1"/>
  <c r="F76" i="6" a="1"/>
  <c r="F72" i="6" a="1"/>
  <c r="F77" i="6" a="1"/>
  <c r="F63" i="6" a="1"/>
  <c r="F53" i="6" a="1"/>
  <c r="F82" i="6" a="1"/>
  <c r="F88" i="6" a="1"/>
  <c r="F37" i="6" a="1"/>
  <c r="F94" i="6" a="1"/>
  <c r="F58" i="6" a="1"/>
  <c r="F55" i="6" a="1"/>
  <c r="F92" i="6" a="1"/>
  <c r="F78" i="6" a="1"/>
  <c r="F101" i="6" a="1"/>
  <c r="D37" i="6" a="1"/>
  <c r="F64" i="6" a="1"/>
  <c r="F69" i="6" a="1"/>
  <c r="F74" i="6" a="1"/>
  <c r="F95" i="6" a="1"/>
  <c r="F73" i="6" a="1"/>
  <c r="F99" i="6" a="1"/>
  <c r="F61" i="6" a="1"/>
  <c r="F71" i="6" a="1"/>
  <c r="F60" i="6" a="1"/>
  <c r="F56" i="6" a="1"/>
  <c r="F57" i="6" a="1"/>
  <c r="F86" i="6" a="1"/>
  <c r="F67" i="6" a="1"/>
  <c r="F93" i="6" a="1"/>
  <c r="F65" i="6" a="1"/>
  <c r="F97" i="6" a="1"/>
  <c r="F83" i="6" a="1"/>
  <c r="F79" i="6" a="1"/>
  <c r="F54" i="6" a="1"/>
  <c r="F87" i="6" a="1"/>
  <c r="F52" i="6" a="1"/>
  <c r="G37" i="6" a="1"/>
  <c r="F89" i="6" a="1"/>
  <c r="F70" i="6" a="1"/>
  <c r="F75" i="6" a="1"/>
  <c r="E37" i="6" a="1"/>
  <c r="F81" i="6" a="1"/>
  <c r="F59" i="6" a="1"/>
  <c r="F96" i="6" a="1"/>
  <c r="F100" i="6" a="1"/>
  <c r="F66" i="6" a="1"/>
  <c r="F62" i="6" a="1"/>
  <c r="F90" i="6" a="1"/>
  <c r="F68" i="6" a="1"/>
  <c r="F85" i="6" a="1"/>
  <c r="F85" i="6" l="1"/>
  <c r="F68" i="6"/>
  <c r="F90" i="6"/>
  <c r="F62" i="6"/>
  <c r="F66" i="6"/>
  <c r="F100" i="6"/>
  <c r="F96" i="6"/>
  <c r="F59" i="6"/>
  <c r="F81" i="6"/>
  <c r="E37" i="6"/>
  <c r="F75" i="6"/>
  <c r="F70" i="6"/>
  <c r="F89" i="6"/>
  <c r="G37" i="6"/>
  <c r="F52" i="6"/>
  <c r="F87" i="6"/>
  <c r="F54" i="6"/>
  <c r="F79" i="6"/>
  <c r="F83" i="6"/>
  <c r="F97" i="6"/>
  <c r="F65" i="6"/>
  <c r="F93" i="6"/>
  <c r="F67" i="6"/>
  <c r="F86" i="6"/>
  <c r="F57" i="6"/>
  <c r="F56" i="6"/>
  <c r="F60" i="6"/>
  <c r="F71" i="6"/>
  <c r="F61" i="6"/>
  <c r="F99" i="6"/>
  <c r="F73" i="6"/>
  <c r="F95" i="6"/>
  <c r="F74" i="6"/>
  <c r="F69" i="6"/>
  <c r="F64" i="6"/>
  <c r="D37" i="6"/>
  <c r="F101" i="6"/>
  <c r="F78" i="6"/>
  <c r="F92" i="6"/>
  <c r="F55" i="6"/>
  <c r="F58" i="6"/>
  <c r="F94" i="6"/>
  <c r="F37" i="6"/>
  <c r="F88" i="6"/>
  <c r="F82" i="6"/>
  <c r="F53" i="6"/>
  <c r="F63" i="6"/>
  <c r="F77" i="6"/>
  <c r="F72" i="6"/>
  <c r="F76" i="6"/>
  <c r="F91" i="6"/>
  <c r="F80" i="6"/>
  <c r="F84" i="6"/>
  <c r="F98" i="6"/>
  <c r="E59" i="6"/>
  <c r="E55" i="6"/>
  <c r="E98" i="6"/>
  <c r="E89" i="6"/>
  <c r="E69" i="6"/>
  <c r="E77" i="6"/>
  <c r="E78" i="6"/>
  <c r="E80" i="6"/>
  <c r="E76" i="6"/>
  <c r="E58" i="6"/>
  <c r="E57" i="6"/>
  <c r="E82" i="6"/>
  <c r="E88" i="6"/>
  <c r="E86" i="6"/>
  <c r="E101" i="6"/>
  <c r="E84" i="6"/>
  <c r="E71" i="6"/>
  <c r="E61" i="6"/>
  <c r="E85" i="6"/>
  <c r="E87" i="6"/>
  <c r="E94" i="6"/>
  <c r="E92" i="6"/>
  <c r="E90" i="6"/>
  <c r="D36" i="6"/>
  <c r="E74" i="6"/>
  <c r="E91" i="6"/>
  <c r="E95" i="6"/>
  <c r="G36" i="6"/>
  <c r="E96" i="6"/>
  <c r="E100" i="6"/>
  <c r="F36" i="6"/>
  <c r="E53" i="6"/>
  <c r="E67" i="6"/>
  <c r="E36" i="6"/>
  <c r="E54" i="6"/>
  <c r="E68" i="6"/>
  <c r="E97" i="6"/>
  <c r="E72" i="6"/>
  <c r="E63" i="6"/>
  <c r="E52" i="6"/>
  <c r="E62" i="6"/>
  <c r="E64" i="6"/>
  <c r="E75" i="6"/>
  <c r="E65" i="6"/>
  <c r="E70" i="6"/>
  <c r="E81" i="6"/>
  <c r="E73" i="6"/>
  <c r="E83" i="6"/>
  <c r="E93" i="6"/>
  <c r="E99" i="6"/>
  <c r="E60" i="6"/>
  <c r="E66" i="6"/>
  <c r="E79" i="6"/>
  <c r="E56" i="6"/>
  <c r="G54" i="6"/>
  <c r="G62" i="6"/>
  <c r="G70" i="6"/>
  <c r="G78" i="6"/>
  <c r="G86" i="6"/>
  <c r="G94" i="6"/>
  <c r="G55" i="6"/>
  <c r="G63" i="6"/>
  <c r="G71" i="6"/>
  <c r="G79" i="6"/>
  <c r="G87" i="6"/>
  <c r="G95" i="6"/>
  <c r="D38" i="6"/>
  <c r="G56" i="6"/>
  <c r="G64" i="6"/>
  <c r="G72" i="6"/>
  <c r="G80" i="6"/>
  <c r="G88" i="6"/>
  <c r="G96" i="6"/>
  <c r="E38" i="6"/>
  <c r="G57" i="6"/>
  <c r="G65" i="6"/>
  <c r="G73" i="6"/>
  <c r="G81" i="6"/>
  <c r="G89" i="6"/>
  <c r="G97" i="6"/>
  <c r="F38" i="6"/>
  <c r="G66" i="6"/>
  <c r="G82" i="6"/>
  <c r="G98" i="6"/>
  <c r="G74" i="6"/>
  <c r="G38" i="6"/>
  <c r="G67" i="6"/>
  <c r="G83" i="6"/>
  <c r="G99" i="6"/>
  <c r="G90" i="6"/>
  <c r="G52" i="6"/>
  <c r="G68" i="6"/>
  <c r="G84" i="6"/>
  <c r="G100" i="6"/>
  <c r="G53" i="6"/>
  <c r="G69" i="6"/>
  <c r="G85" i="6"/>
  <c r="G101" i="6"/>
  <c r="G58" i="6"/>
  <c r="G75" i="6"/>
  <c r="G93" i="6"/>
  <c r="G76" i="6"/>
  <c r="G59" i="6"/>
  <c r="G61" i="6"/>
  <c r="G77" i="6"/>
  <c r="G92" i="6"/>
  <c r="G60" i="6"/>
  <c r="G91" i="6"/>
  <c r="C19" i="4"/>
  <c r="C20" i="4" s="1"/>
  <c r="E31" i="6" s="1"/>
  <c r="D19" i="4"/>
  <c r="D20" i="4" s="1"/>
  <c r="E32" i="6" s="1"/>
  <c r="E19" i="4"/>
  <c r="E20" i="4" s="1"/>
  <c r="E33" i="6" s="1"/>
  <c r="C36" i="4" a="1"/>
  <c r="C36" i="4" l="1"/>
  <c r="D67" i="4"/>
  <c r="B7" i="6" s="1"/>
  <c r="C37" i="4" l="1" a="1"/>
  <c r="C37" i="4" s="1"/>
  <c r="K17" i="5" s="1"/>
  <c r="D63" i="5" a="1"/>
  <c r="D63" i="5" s="1"/>
  <c r="D59" i="5" a="1"/>
  <c r="D59" i="5" s="1"/>
  <c r="D27" i="5" a="1"/>
  <c r="D27" i="5" s="1"/>
  <c r="D31" i="5" a="1"/>
  <c r="D31" i="5" s="1"/>
  <c r="D49" i="5" a="1"/>
  <c r="D49" i="5" s="1"/>
  <c r="D39" i="5" a="1"/>
  <c r="D39" i="5" s="1"/>
  <c r="D44" i="5" a="1"/>
  <c r="D44" i="5" s="1"/>
  <c r="D28" i="5" a="1"/>
  <c r="D28" i="5" s="1"/>
  <c r="D61" i="5" a="1"/>
  <c r="D61" i="5" s="1"/>
  <c r="D16" i="5" a="1"/>
  <c r="D16" i="5" s="1"/>
  <c r="D66" i="5" a="1"/>
  <c r="D66" i="5" s="1"/>
  <c r="D35" i="5" a="1"/>
  <c r="D35" i="5" s="1"/>
  <c r="D15" i="5" a="1"/>
  <c r="D15" i="5" s="1"/>
  <c r="D18" i="5" a="1"/>
  <c r="D18" i="5" s="1"/>
  <c r="D55" i="5" a="1"/>
  <c r="D55" i="5" s="1"/>
  <c r="D38" i="5" a="1"/>
  <c r="D38" i="5" s="1"/>
  <c r="D25" i="5" a="1"/>
  <c r="D25" i="5" s="1"/>
  <c r="D24" i="5" a="1"/>
  <c r="D24" i="5" s="1"/>
  <c r="D65" i="5" a="1"/>
  <c r="D65" i="5" s="1"/>
  <c r="D40" i="5" a="1"/>
  <c r="D40" i="5" s="1"/>
  <c r="D62" i="5" a="1"/>
  <c r="D62" i="5" s="1"/>
  <c r="D12" i="5" a="1"/>
  <c r="D12" i="5" s="1"/>
  <c r="D11" i="5" a="1"/>
  <c r="D11" i="5" s="1"/>
  <c r="D10" i="5" a="1"/>
  <c r="D10" i="5" s="1"/>
  <c r="D46" i="5" a="1"/>
  <c r="D46" i="5" s="1"/>
  <c r="D36" i="5" a="1"/>
  <c r="D36" i="5" s="1"/>
  <c r="D53" i="5" a="1"/>
  <c r="D53" i="5" s="1"/>
  <c r="D37" i="5" a="1"/>
  <c r="D37" i="5" s="1"/>
  <c r="D42" i="5" a="1"/>
  <c r="D42" i="5" s="1"/>
  <c r="D13" i="5" a="1"/>
  <c r="D13" i="5" s="1"/>
  <c r="D67" i="5" a="1"/>
  <c r="D67" i="5" s="1"/>
  <c r="D50" i="5" a="1"/>
  <c r="D50" i="5" s="1"/>
  <c r="D45" i="5" a="1"/>
  <c r="D45" i="5" s="1"/>
  <c r="D58" i="5" a="1"/>
  <c r="D58" i="5" s="1"/>
  <c r="D30" i="5" a="1"/>
  <c r="D30" i="5" s="1"/>
  <c r="D17" i="5" a="1"/>
  <c r="D17" i="5" s="1"/>
  <c r="D51" i="5" a="1"/>
  <c r="D51" i="5" s="1"/>
  <c r="D14" i="5" a="1"/>
  <c r="D14" i="5" s="1"/>
  <c r="D20" i="5" a="1"/>
  <c r="D20" i="5" s="1"/>
  <c r="D32" i="5" a="1"/>
  <c r="D32" i="5" s="1"/>
  <c r="D41" i="5" a="1"/>
  <c r="D41" i="5" s="1"/>
  <c r="D21" i="5" a="1"/>
  <c r="D21" i="5" s="1"/>
  <c r="D43" i="5" a="1"/>
  <c r="D43" i="5" s="1"/>
  <c r="D60" i="5" a="1"/>
  <c r="D60" i="5" s="1"/>
  <c r="D69" i="5" a="1"/>
  <c r="D69" i="5" s="1"/>
  <c r="D22" i="5" a="1"/>
  <c r="D22" i="5" s="1"/>
  <c r="D52" i="5" a="1"/>
  <c r="D52" i="5" s="1"/>
  <c r="D57" i="5" a="1"/>
  <c r="D57" i="5" s="1"/>
  <c r="D26" i="5" a="1"/>
  <c r="D26" i="5" s="1"/>
  <c r="D56" i="5" a="1"/>
  <c r="D56" i="5" s="1"/>
  <c r="D47" i="5" a="1"/>
  <c r="D47" i="5" s="1"/>
  <c r="D29" i="5" a="1"/>
  <c r="D29" i="5" s="1"/>
  <c r="D33" i="5" a="1"/>
  <c r="D33" i="5" s="1"/>
  <c r="D64" i="5" a="1"/>
  <c r="D64" i="5" s="1"/>
  <c r="D34" i="5" a="1"/>
  <c r="D34" i="5" s="1"/>
  <c r="D54" i="5" a="1"/>
  <c r="D54" i="5" s="1"/>
  <c r="D19" i="5" a="1"/>
  <c r="D19" i="5" s="1"/>
  <c r="D68" i="5" a="1"/>
  <c r="D68" i="5" s="1"/>
  <c r="D48" i="5" a="1"/>
  <c r="D48" i="5" s="1"/>
  <c r="D23" i="5" a="1"/>
  <c r="D23" i="5" s="1"/>
  <c r="E122" i="6" a="1"/>
  <c r="D122" i="6" a="1"/>
  <c r="C122" i="6" a="1"/>
  <c r="F122" i="6" a="1"/>
  <c r="C132" i="6" a="1"/>
  <c r="E132" i="6" a="1"/>
  <c r="D132" i="6" a="1"/>
  <c r="F132" i="6" a="1"/>
  <c r="F104" i="6" a="1"/>
  <c r="D104" i="6" a="1"/>
  <c r="C104" i="6" a="1"/>
  <c r="E104" i="6" a="1"/>
  <c r="F144" i="6" a="1"/>
  <c r="D144" i="6" a="1"/>
  <c r="E144" i="6" a="1"/>
  <c r="C144" i="6" a="1"/>
  <c r="F126" i="6" a="1"/>
  <c r="C126" i="6" a="1"/>
  <c r="E126" i="6" a="1"/>
  <c r="D126" i="6" a="1"/>
  <c r="C151" i="6" a="1"/>
  <c r="D151" i="6" a="1"/>
  <c r="E151" i="6" a="1"/>
  <c r="F151" i="6" a="1"/>
  <c r="D148" i="6" a="1"/>
  <c r="C148" i="6" a="1"/>
  <c r="E148" i="6" a="1"/>
  <c r="F148" i="6" a="1"/>
  <c r="E125" i="6" a="1"/>
  <c r="C125" i="6" a="1"/>
  <c r="D125" i="6" a="1"/>
  <c r="F125" i="6" a="1"/>
  <c r="C111" i="6" a="1"/>
  <c r="E111" i="6" a="1"/>
  <c r="D111" i="6" a="1"/>
  <c r="F111" i="6" a="1"/>
  <c r="F109" i="6" a="1"/>
  <c r="E109" i="6" a="1"/>
  <c r="D109" i="6" a="1"/>
  <c r="C109" i="6" a="1"/>
  <c r="D127" i="6" a="1"/>
  <c r="C127" i="6" a="1"/>
  <c r="E127" i="6" a="1"/>
  <c r="F127" i="6" a="1"/>
  <c r="E107" i="6" a="1"/>
  <c r="C107" i="6" a="1"/>
  <c r="D107" i="6" a="1"/>
  <c r="F107" i="6" a="1"/>
  <c r="E138" i="6" a="1"/>
  <c r="D138" i="6" a="1"/>
  <c r="C138" i="6" a="1"/>
  <c r="F138" i="6" a="1"/>
  <c r="F146" i="6" a="1"/>
  <c r="E146" i="6" a="1"/>
  <c r="D146" i="6" a="1"/>
  <c r="C146" i="6" a="1"/>
  <c r="F157" i="6" a="1"/>
  <c r="D157" i="6" a="1"/>
  <c r="C157" i="6" a="1"/>
  <c r="E157" i="6" a="1"/>
  <c r="F155" i="6" a="1"/>
  <c r="E155" i="6" a="1"/>
  <c r="D155" i="6" a="1"/>
  <c r="C155" i="6" a="1"/>
  <c r="C119" i="6" a="1"/>
  <c r="E119" i="6" a="1"/>
  <c r="D119" i="6" a="1"/>
  <c r="F119" i="6" a="1"/>
  <c r="F140" i="6" a="1"/>
  <c r="E140" i="6" a="1"/>
  <c r="D140" i="6" a="1"/>
  <c r="C140" i="6" a="1"/>
  <c r="E139" i="6" a="1"/>
  <c r="C139" i="6" a="1"/>
  <c r="D139" i="6" a="1"/>
  <c r="F139" i="6" a="1"/>
  <c r="F135" i="6" a="1"/>
  <c r="C135" i="6" a="1"/>
  <c r="E135" i="6" a="1"/>
  <c r="D135" i="6" a="1"/>
  <c r="F120" i="6" a="1"/>
  <c r="D120" i="6" a="1"/>
  <c r="E120" i="6" a="1"/>
  <c r="C120" i="6" a="1"/>
  <c r="F113" i="6" a="1"/>
  <c r="D113" i="6" a="1"/>
  <c r="C113" i="6" a="1"/>
  <c r="E113" i="6" a="1"/>
  <c r="C134" i="6" a="1"/>
  <c r="E134" i="6" a="1"/>
  <c r="D134" i="6" a="1"/>
  <c r="F134" i="6" a="1"/>
  <c r="C123" i="6" a="1"/>
  <c r="D123" i="6" a="1"/>
  <c r="E123" i="6" a="1"/>
  <c r="F123" i="6" a="1"/>
  <c r="F156" i="6" a="1"/>
  <c r="C156" i="6" a="1"/>
  <c r="E156" i="6" a="1"/>
  <c r="D156" i="6" a="1"/>
  <c r="F163" i="6" a="1"/>
  <c r="E163" i="6" a="1"/>
  <c r="D163" i="6" a="1"/>
  <c r="C163" i="6" a="1"/>
  <c r="E106" i="6" a="1"/>
  <c r="D106" i="6" a="1"/>
  <c r="C106" i="6" a="1"/>
  <c r="F106" i="6" a="1"/>
  <c r="F158" i="6" a="1"/>
  <c r="C158" i="6" a="1"/>
  <c r="E158" i="6" a="1"/>
  <c r="D158" i="6" a="1"/>
  <c r="D161" i="6" a="1"/>
  <c r="C161" i="6" a="1"/>
  <c r="E161" i="6" a="1"/>
  <c r="F161" i="6" a="1"/>
  <c r="F153" i="6" a="1"/>
  <c r="D153" i="6" a="1"/>
  <c r="E153" i="6" a="1"/>
  <c r="C153" i="6" a="1"/>
  <c r="C110" i="6" a="1"/>
  <c r="D110" i="6" a="1"/>
  <c r="E110" i="6" a="1"/>
  <c r="F110" i="6" a="1"/>
  <c r="F118" i="6" a="1"/>
  <c r="C118" i="6" a="1"/>
  <c r="E118" i="6" a="1"/>
  <c r="D118" i="6" a="1"/>
  <c r="F130" i="6" a="1"/>
  <c r="E130" i="6" a="1"/>
  <c r="C130" i="6" a="1"/>
  <c r="D130" i="6" a="1"/>
  <c r="D152" i="6" a="1"/>
  <c r="E152" i="6" a="1"/>
  <c r="C152" i="6" a="1"/>
  <c r="F152" i="6" a="1"/>
  <c r="F115" i="6" a="1"/>
  <c r="E115" i="6" a="1"/>
  <c r="D115" i="6" a="1"/>
  <c r="C115" i="6" a="1"/>
  <c r="F150" i="6" a="1"/>
  <c r="C150" i="6" a="1"/>
  <c r="E150" i="6" a="1"/>
  <c r="D150" i="6" a="1"/>
  <c r="F162" i="6" a="1"/>
  <c r="E162" i="6" a="1"/>
  <c r="C162" i="6" a="1"/>
  <c r="D162" i="6" a="1"/>
  <c r="F131" i="6" a="1"/>
  <c r="E131" i="6" a="1"/>
  <c r="D131" i="6" a="1"/>
  <c r="C131" i="6" a="1"/>
  <c r="E117" i="6" a="1"/>
  <c r="D117" i="6" a="1"/>
  <c r="C117" i="6" a="1"/>
  <c r="F117" i="6" a="1"/>
  <c r="C136" i="6" a="1"/>
  <c r="D136" i="6" a="1"/>
  <c r="E136" i="6" a="1"/>
  <c r="F136" i="6" a="1"/>
  <c r="E133" i="6" a="1"/>
  <c r="D133" i="6" a="1"/>
  <c r="C133" i="6" a="1"/>
  <c r="F133" i="6" a="1"/>
  <c r="E108" i="6" a="1"/>
  <c r="D108" i="6" a="1"/>
  <c r="C108" i="6" a="1"/>
  <c r="F108" i="6" a="1"/>
  <c r="F149" i="6" a="1"/>
  <c r="E149" i="6" a="1"/>
  <c r="D149" i="6" a="1"/>
  <c r="C149" i="6" a="1"/>
  <c r="E114" i="6" a="1"/>
  <c r="D114" i="6" a="1"/>
  <c r="C114" i="6" a="1"/>
  <c r="F114" i="6" a="1"/>
  <c r="D121" i="6" a="1"/>
  <c r="E121" i="6" a="1"/>
  <c r="C121" i="6" a="1"/>
  <c r="F121" i="6" a="1"/>
  <c r="C160" i="6" a="1"/>
  <c r="D160" i="6" a="1"/>
  <c r="E160" i="6" a="1"/>
  <c r="F160" i="6" a="1"/>
  <c r="F159" i="6" a="1"/>
  <c r="C159" i="6" a="1"/>
  <c r="E159" i="6" a="1"/>
  <c r="D159" i="6" a="1"/>
  <c r="F147" i="6" a="1"/>
  <c r="E147" i="6" a="1"/>
  <c r="D147" i="6" a="1"/>
  <c r="C147" i="6" a="1"/>
  <c r="C124" i="6" a="1"/>
  <c r="D124" i="6" a="1"/>
  <c r="E124" i="6" a="1"/>
  <c r="F124" i="6" a="1"/>
  <c r="F137" i="6" a="1"/>
  <c r="D137" i="6" a="1"/>
  <c r="E137" i="6" a="1"/>
  <c r="C137" i="6" a="1"/>
  <c r="E141" i="6" a="1"/>
  <c r="D141" i="6" a="1"/>
  <c r="C141" i="6" a="1"/>
  <c r="F141" i="6" a="1"/>
  <c r="C142" i="6" a="1"/>
  <c r="D142" i="6" a="1"/>
  <c r="E142" i="6" a="1"/>
  <c r="F142" i="6" a="1"/>
  <c r="F129" i="6" a="1"/>
  <c r="D129" i="6" a="1"/>
  <c r="E129" i="6" a="1"/>
  <c r="C129" i="6" a="1"/>
  <c r="F154" i="6" a="1"/>
  <c r="E154" i="6" a="1"/>
  <c r="D154" i="6" a="1"/>
  <c r="C154" i="6" a="1"/>
  <c r="F143" i="6" a="1"/>
  <c r="C143" i="6" a="1"/>
  <c r="E143" i="6" a="1"/>
  <c r="D143" i="6" a="1"/>
  <c r="D145" i="6" a="1"/>
  <c r="C145" i="6" a="1"/>
  <c r="E145" i="6" a="1"/>
  <c r="F145" i="6" a="1"/>
  <c r="F112" i="6" a="1"/>
  <c r="D112" i="6" a="1"/>
  <c r="E112" i="6" a="1"/>
  <c r="C112" i="6" a="1"/>
  <c r="F116" i="6" a="1"/>
  <c r="D116" i="6" a="1"/>
  <c r="C116" i="6" a="1"/>
  <c r="E116" i="6" a="1"/>
  <c r="D105" i="6" a="1"/>
  <c r="E105" i="6" a="1"/>
  <c r="C105" i="6" a="1"/>
  <c r="F105" i="6" a="1"/>
  <c r="D128" i="6" a="1"/>
  <c r="E128" i="6" a="1"/>
  <c r="C128" i="6" a="1"/>
  <c r="F128" i="6" a="1"/>
  <c r="F128" i="6" l="1"/>
  <c r="C128" i="6"/>
  <c r="E128" i="6"/>
  <c r="D128" i="6"/>
  <c r="F105" i="6"/>
  <c r="C105" i="6"/>
  <c r="E105" i="6"/>
  <c r="D105" i="6"/>
  <c r="E116" i="6"/>
  <c r="C116" i="6"/>
  <c r="D116" i="6"/>
  <c r="F116" i="6"/>
  <c r="C112" i="6"/>
  <c r="E112" i="6"/>
  <c r="D112" i="6"/>
  <c r="F112" i="6"/>
  <c r="F145" i="6"/>
  <c r="E145" i="6"/>
  <c r="C145" i="6"/>
  <c r="D145" i="6"/>
  <c r="D143" i="6"/>
  <c r="E143" i="6"/>
  <c r="C143" i="6"/>
  <c r="F143" i="6"/>
  <c r="C154" i="6"/>
  <c r="D154" i="6"/>
  <c r="E154" i="6"/>
  <c r="F154" i="6"/>
  <c r="C129" i="6"/>
  <c r="E129" i="6"/>
  <c r="D129" i="6"/>
  <c r="F129" i="6"/>
  <c r="F142" i="6"/>
  <c r="E142" i="6"/>
  <c r="D142" i="6"/>
  <c r="C142" i="6"/>
  <c r="F141" i="6"/>
  <c r="C141" i="6"/>
  <c r="D141" i="6"/>
  <c r="E141" i="6"/>
  <c r="C137" i="6"/>
  <c r="E137" i="6"/>
  <c r="D137" i="6"/>
  <c r="F137" i="6"/>
  <c r="F124" i="6"/>
  <c r="E124" i="6"/>
  <c r="D124" i="6"/>
  <c r="C124" i="6"/>
  <c r="C147" i="6"/>
  <c r="D147" i="6"/>
  <c r="E147" i="6"/>
  <c r="F147" i="6"/>
  <c r="D159" i="6"/>
  <c r="E159" i="6"/>
  <c r="C159" i="6"/>
  <c r="F159" i="6"/>
  <c r="F160" i="6"/>
  <c r="E160" i="6"/>
  <c r="D160" i="6"/>
  <c r="C160" i="6"/>
  <c r="F121" i="6"/>
  <c r="C121" i="6"/>
  <c r="E121" i="6"/>
  <c r="D121" i="6"/>
  <c r="F114" i="6"/>
  <c r="C114" i="6"/>
  <c r="D114" i="6"/>
  <c r="E114" i="6"/>
  <c r="C149" i="6"/>
  <c r="D149" i="6"/>
  <c r="E149" i="6"/>
  <c r="F149" i="6"/>
  <c r="F108" i="6"/>
  <c r="C108" i="6"/>
  <c r="D108" i="6"/>
  <c r="E108" i="6"/>
  <c r="F133" i="6"/>
  <c r="C133" i="6"/>
  <c r="D133" i="6"/>
  <c r="E133" i="6"/>
  <c r="F136" i="6"/>
  <c r="E136" i="6"/>
  <c r="D136" i="6"/>
  <c r="C136" i="6"/>
  <c r="F117" i="6"/>
  <c r="C117" i="6"/>
  <c r="D117" i="6"/>
  <c r="E117" i="6"/>
  <c r="C131" i="6"/>
  <c r="D131" i="6"/>
  <c r="E131" i="6"/>
  <c r="F131" i="6"/>
  <c r="D162" i="6"/>
  <c r="C162" i="6"/>
  <c r="E162" i="6"/>
  <c r="F162" i="6"/>
  <c r="D150" i="6"/>
  <c r="E150" i="6"/>
  <c r="C150" i="6"/>
  <c r="F150" i="6"/>
  <c r="C115" i="6"/>
  <c r="D115" i="6"/>
  <c r="E115" i="6"/>
  <c r="F115" i="6"/>
  <c r="F152" i="6"/>
  <c r="C152" i="6"/>
  <c r="E152" i="6"/>
  <c r="D152" i="6"/>
  <c r="D130" i="6"/>
  <c r="C130" i="6"/>
  <c r="E130" i="6"/>
  <c r="F130" i="6"/>
  <c r="D118" i="6"/>
  <c r="E118" i="6"/>
  <c r="C118" i="6"/>
  <c r="F118" i="6"/>
  <c r="F110" i="6"/>
  <c r="E110" i="6"/>
  <c r="D110" i="6"/>
  <c r="C110" i="6"/>
  <c r="C153" i="6"/>
  <c r="E153" i="6"/>
  <c r="D153" i="6"/>
  <c r="F153" i="6"/>
  <c r="F161" i="6"/>
  <c r="E161" i="6"/>
  <c r="C161" i="6"/>
  <c r="D161" i="6"/>
  <c r="D158" i="6"/>
  <c r="E158" i="6"/>
  <c r="C158" i="6"/>
  <c r="F158" i="6"/>
  <c r="F106" i="6"/>
  <c r="C106" i="6"/>
  <c r="D106" i="6"/>
  <c r="E106" i="6"/>
  <c r="C163" i="6"/>
  <c r="D163" i="6"/>
  <c r="E163" i="6"/>
  <c r="F163" i="6"/>
  <c r="D156" i="6"/>
  <c r="E156" i="6"/>
  <c r="C156" i="6"/>
  <c r="F156" i="6"/>
  <c r="F123" i="6"/>
  <c r="E123" i="6"/>
  <c r="D123" i="6"/>
  <c r="C123" i="6"/>
  <c r="F134" i="6"/>
  <c r="D134" i="6"/>
  <c r="E134" i="6"/>
  <c r="C134" i="6"/>
  <c r="E113" i="6"/>
  <c r="C113" i="6"/>
  <c r="D113" i="6"/>
  <c r="F113" i="6"/>
  <c r="C120" i="6"/>
  <c r="E120" i="6"/>
  <c r="D120" i="6"/>
  <c r="F120" i="6"/>
  <c r="D135" i="6"/>
  <c r="E135" i="6"/>
  <c r="C135" i="6"/>
  <c r="F135" i="6"/>
  <c r="F139" i="6"/>
  <c r="D139" i="6"/>
  <c r="C139" i="6"/>
  <c r="E139" i="6"/>
  <c r="C140" i="6"/>
  <c r="D140" i="6"/>
  <c r="E140" i="6"/>
  <c r="F140" i="6"/>
  <c r="F119" i="6"/>
  <c r="D119" i="6"/>
  <c r="E119" i="6"/>
  <c r="C119" i="6"/>
  <c r="C155" i="6"/>
  <c r="D155" i="6"/>
  <c r="E155" i="6"/>
  <c r="F155" i="6"/>
  <c r="E157" i="6"/>
  <c r="C157" i="6"/>
  <c r="D157" i="6"/>
  <c r="F157" i="6"/>
  <c r="C146" i="6"/>
  <c r="D146" i="6"/>
  <c r="E146" i="6"/>
  <c r="F146" i="6"/>
  <c r="F138" i="6"/>
  <c r="C138" i="6"/>
  <c r="D138" i="6"/>
  <c r="E138" i="6"/>
  <c r="F107" i="6"/>
  <c r="D107" i="6"/>
  <c r="C107" i="6"/>
  <c r="E107" i="6"/>
  <c r="F127" i="6"/>
  <c r="E127" i="6"/>
  <c r="C127" i="6"/>
  <c r="D127" i="6"/>
  <c r="C109" i="6"/>
  <c r="D109" i="6"/>
  <c r="E109" i="6"/>
  <c r="F109" i="6"/>
  <c r="F111" i="6"/>
  <c r="D111" i="6"/>
  <c r="E111" i="6"/>
  <c r="C111" i="6"/>
  <c r="F125" i="6"/>
  <c r="D125" i="6"/>
  <c r="C125" i="6"/>
  <c r="E125" i="6"/>
  <c r="F148" i="6"/>
  <c r="E148" i="6"/>
  <c r="C148" i="6"/>
  <c r="D148" i="6"/>
  <c r="F151" i="6"/>
  <c r="E151" i="6"/>
  <c r="D151" i="6"/>
  <c r="C151" i="6"/>
  <c r="D126" i="6"/>
  <c r="E126" i="6"/>
  <c r="C126" i="6"/>
  <c r="F126" i="6"/>
  <c r="C144" i="6"/>
  <c r="E144" i="6"/>
  <c r="D144" i="6"/>
  <c r="F144" i="6"/>
  <c r="E104" i="6"/>
  <c r="C104" i="6"/>
  <c r="D104" i="6"/>
  <c r="F104" i="6"/>
  <c r="F132" i="6"/>
  <c r="D132" i="6"/>
  <c r="E132" i="6"/>
  <c r="C132" i="6"/>
  <c r="F122" i="6"/>
  <c r="C122" i="6"/>
  <c r="D122" i="6"/>
  <c r="E122" i="6"/>
  <c r="J12" i="5" a="1"/>
  <c r="J12" i="5" s="1"/>
  <c r="J11" i="5" a="1"/>
  <c r="J11" i="5" s="1"/>
  <c r="J14" i="5" a="1"/>
  <c r="J14" i="5" s="1"/>
  <c r="J13" i="5" a="1"/>
  <c r="J13" i="5" s="1"/>
  <c r="J10" i="5" a="1"/>
  <c r="J10" i="5" s="1"/>
  <c r="D14" i="6" a="1"/>
  <c r="E14" i="6" a="1"/>
  <c r="F14" i="6" a="1"/>
  <c r="D25" i="6" a="1"/>
  <c r="G14" i="6" a="1"/>
  <c r="B6" i="6" a="1"/>
  <c r="G12" i="6" a="1"/>
  <c r="E12" i="6" a="1"/>
  <c r="F12" i="6" a="1"/>
  <c r="D23" i="6" a="1"/>
  <c r="D12" i="6" a="1"/>
  <c r="G13" i="6" a="1"/>
  <c r="D13" i="6" a="1"/>
  <c r="F13" i="6" a="1"/>
  <c r="D24" i="6" a="1"/>
  <c r="E13" i="6" a="1"/>
  <c r="D54" i="6" a="1"/>
  <c r="D96" i="6" a="1"/>
  <c r="D81" i="6" a="1"/>
  <c r="D77" i="6" a="1"/>
  <c r="D85" i="6" a="1"/>
  <c r="D57" i="6" a="1"/>
  <c r="D89" i="6" a="1"/>
  <c r="D64" i="6" a="1"/>
  <c r="D84" i="6" a="1"/>
  <c r="D56" i="6" a="1"/>
  <c r="D71" i="6" a="1"/>
  <c r="D83" i="6" a="1"/>
  <c r="D97" i="6" a="1"/>
  <c r="D53" i="6" a="1"/>
  <c r="D95" i="6" a="1"/>
  <c r="D92" i="6" a="1"/>
  <c r="D76" i="6" a="1"/>
  <c r="D98" i="6" a="1"/>
  <c r="D93" i="6" a="1"/>
  <c r="D91" i="6" a="1"/>
  <c r="D75" i="6" a="1"/>
  <c r="D39" i="6" a="1"/>
  <c r="D58" i="6" a="1"/>
  <c r="D60" i="6" a="1"/>
  <c r="D72" i="6" a="1"/>
  <c r="D94" i="6" a="1"/>
  <c r="D78" i="6" a="1"/>
  <c r="D79" i="6" a="1"/>
  <c r="D87" i="6" a="1"/>
  <c r="D67" i="6" a="1"/>
  <c r="D82" i="6" a="1"/>
  <c r="D80" i="6" a="1"/>
  <c r="G39" i="6" a="1"/>
  <c r="D27" i="6" a="1"/>
  <c r="D52" i="6" a="1"/>
  <c r="D59" i="6" a="1"/>
  <c r="D88" i="6" a="1"/>
  <c r="D65" i="6" a="1"/>
  <c r="D66" i="6" a="1"/>
  <c r="D63" i="6" a="1"/>
  <c r="E39" i="6" a="1"/>
  <c r="D68" i="6" a="1"/>
  <c r="F39" i="6" a="1"/>
  <c r="D16" i="6" a="1"/>
  <c r="F16" i="6" a="1"/>
  <c r="D55" i="6" a="1"/>
  <c r="D73" i="6" a="1"/>
  <c r="D61" i="6" a="1"/>
  <c r="D86" i="6" a="1"/>
  <c r="G16" i="6" a="1"/>
  <c r="E16" i="6" a="1"/>
  <c r="D90" i="6" a="1"/>
  <c r="D100" i="6" a="1"/>
  <c r="D101" i="6" a="1"/>
  <c r="D99" i="6" a="1"/>
  <c r="D69" i="6" a="1"/>
  <c r="D74" i="6" a="1"/>
  <c r="D70" i="6" a="1"/>
  <c r="D62" i="6" a="1"/>
  <c r="G15" i="6" a="1"/>
  <c r="E15" i="6" a="1"/>
  <c r="F15" i="6" a="1"/>
  <c r="D26" i="6" a="1"/>
  <c r="D15" i="6" a="1"/>
  <c r="D15" i="6" l="1"/>
  <c r="D26" i="6"/>
  <c r="F15" i="6"/>
  <c r="E15" i="6"/>
  <c r="G15" i="6"/>
  <c r="D62" i="6"/>
  <c r="D70" i="6"/>
  <c r="D74" i="6"/>
  <c r="D69" i="6"/>
  <c r="D99" i="6"/>
  <c r="D101" i="6"/>
  <c r="D100" i="6"/>
  <c r="D90" i="6"/>
  <c r="E16" i="6"/>
  <c r="G16" i="6"/>
  <c r="D86" i="6"/>
  <c r="D61" i="6"/>
  <c r="D73" i="6"/>
  <c r="D55" i="6"/>
  <c r="F16" i="6"/>
  <c r="D16" i="6"/>
  <c r="F39" i="6"/>
  <c r="D68" i="6"/>
  <c r="E39" i="6"/>
  <c r="D63" i="6"/>
  <c r="D66" i="6"/>
  <c r="D65" i="6"/>
  <c r="D88" i="6"/>
  <c r="D59" i="6"/>
  <c r="D52" i="6"/>
  <c r="D27" i="6"/>
  <c r="G39" i="6"/>
  <c r="D80" i="6"/>
  <c r="D82" i="6"/>
  <c r="D67" i="6"/>
  <c r="D87" i="6"/>
  <c r="D79" i="6"/>
  <c r="D78" i="6"/>
  <c r="D94" i="6"/>
  <c r="D72" i="6"/>
  <c r="D60" i="6"/>
  <c r="D58" i="6"/>
  <c r="D39" i="6"/>
  <c r="D75" i="6"/>
  <c r="D91" i="6"/>
  <c r="D93" i="6"/>
  <c r="D98" i="6"/>
  <c r="D76" i="6"/>
  <c r="D92" i="6"/>
  <c r="D95" i="6"/>
  <c r="D53" i="6"/>
  <c r="D97" i="6"/>
  <c r="D83" i="6"/>
  <c r="D71" i="6"/>
  <c r="D56" i="6"/>
  <c r="D84" i="6"/>
  <c r="D64" i="6"/>
  <c r="D89" i="6"/>
  <c r="D57" i="6"/>
  <c r="D85" i="6"/>
  <c r="D77" i="6"/>
  <c r="D81" i="6"/>
  <c r="D96" i="6"/>
  <c r="D54" i="6"/>
  <c r="E13" i="6"/>
  <c r="D24" i="6"/>
  <c r="F13" i="6"/>
  <c r="D13" i="6"/>
  <c r="G13" i="6"/>
  <c r="D12" i="6"/>
  <c r="D23" i="6"/>
  <c r="F12" i="6"/>
  <c r="E12" i="6"/>
  <c r="G12" i="6"/>
  <c r="B6" i="6"/>
  <c r="G14" i="6"/>
  <c r="D25" i="6"/>
  <c r="F14" i="6"/>
  <c r="E14" i="6"/>
  <c r="D14" i="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<sst xmlns="http://schemas.openxmlformats.org/spreadsheetml/2006/main" count="414" uniqueCount="303">
  <si>
    <t xml:space="preserve">Прогноз цены нефти по истории</t>
  </si>
  <si>
    <t xml:space="preserve">Пример МоделРиск  ·  Нефть и газ  ·  OG-04</t>
  </si>
  <si>
    <t xml:space="preserve">Какой ценовой сценарий заложить в пятилетний план?  Три модели временных рядов, подобранные к десяти годам цен и взвешенные по данным.</t>
  </si>
  <si>
    <t xml:space="preserve">Далее:  Исходные данные  ▸</t>
  </si>
  <si>
    <t xml:space="preserve">Карточка модели</t>
  </si>
  <si>
    <t xml:space="preserve">Отрасль</t>
  </si>
  <si>
    <t xml:space="preserve">Нефть и газ</t>
  </si>
  <si>
    <t xml:space="preserve">Сложность</t>
  </si>
  <si>
    <t xml:space="preserve">★★★★☆   Подбирает к истории цен три модели временных рядов, взвешивает их по данным и усредняет их прогнозы.</t>
  </si>
  <si>
    <t xml:space="preserve">Вопрос бизнеса</t>
  </si>
  <si>
    <t xml:space="preserve">Какой диапазон цен на нефть заложить в план на 2027–2031 годы, насколько вероятно, что средняя цена каждого года окажется ниже бюджетной, и может ли история цен за десять лет отличить случайное блуждание от цены, которая возвращается к долгосрочному уровню?</t>
  </si>
  <si>
    <t xml:space="preserve">Для кого</t>
  </si>
  <si>
    <t xml:space="preserve">Плановикам, коммерческим и финансовым службам, которые задают ценовые сценарии, и аналитикам, прогнозирующим цены на сырье или валютные курсы.</t>
  </si>
  <si>
    <t xml:space="preserve">Основные результаты</t>
  </si>
  <si>
    <t xml:space="preserve">Прогноз месячной цены с полосой от 10-го до 90-го процентиля · среднегодовые цены для плана · вероятность, что средняя цена года окажется ниже бюджетной · свидетельства в пользу каждой модели и что каждая из них дает для 5-го года.</t>
  </si>
  <si>
    <t xml:space="preserve">Приемы МоделРиск</t>
  </si>
  <si>
    <t xml:space="preserve">Подбор временных рядов с неопределенностью параметров (VoseTimeGBMFitObject, VoseTimeGBMVRFitObject, VoseTimeGBMAJVRFitObject) · сравнение моделей по информационному критерию Шварца (VoseSIC, VoseTimeOptimalFitObject) · байесовское усреднение моделей · прогноз по объектам подбора (VoseTimeSimulate).</t>
  </si>
  <si>
    <t xml:space="preserve">Файл</t>
  </si>
  <si>
    <t xml:space="preserve">OG-04 Прогноз цены нефти по истории  ·  Версия 1.0  ·  Ноябрь 2026  ·  создано в МоделРиск</t>
  </si>
  <si>
    <t xml:space="preserve">Вопрос бизнеса</t>
  </si>
  <si>
    <t xml:space="preserve">Пятилетнему плану нужен ценовой сценарий: ожидаемая цена нефти на каждый год и разумный диапазон вокруг нее. У компании есть десять лет месячных цен. Случайное блуждание (геометрическое броуновское движение) говорит, что сегодняшняя цена — лучший ориентир на будущее, а диапазон продолжает расширяться. Модель с возвратом к среднему говорит, что цены притягиваются к долгосрочному уровню, поэтому диапазон перестает расти. Обе модели стандартны, обе почти одинаково хорошо описывают историю — и резко расходятся в оценке 2031 года. Вместо того чтобы выбрать одну и скрыть этот выбор, модель подбирает трех кандидатов функциями подбора временных рядов МоделРиск, оценивает свидетельства в пользу каждого информационным критерием Шварца (SIC) и усредняет их прогнозы с этими весами. Неопределенность подобранных параметров тоже учитывается, потому что десять лет данных определяют долгосрочный уровень лишь приблизительно.</t>
  </si>
  <si>
    <t xml:space="preserve">Как устроена модель</t>
  </si>
  <si>
    <t xml:space="preserve">После этого листа идут еще пять, слева направо. Каждый питает следующий.</t>
  </si>
  <si>
    <t xml:space="preserve">1  Исходные данные</t>
  </si>
  <si>
    <t xml:space="preserve">Проверяемая бюджетная цена и априорный вес каждой модели (по умолчанию равные). Два переключателя: учитывать неопределенность параметров и усреднять модели или брать только лучшую. Первый год прогноза — год после окончания истории.</t>
  </si>
  <si>
    <t xml:space="preserve">2  История</t>
  </si>
  <si>
    <t xml:space="preserve">Десять лет месяцев и среднемесячных цен с их логарифмическими доходностями. Вставьте свои месяцы и цены поверх желтых ячеек, заканчивая декабрем; все дальнейшие расчеты обновятся.</t>
  </si>
  <si>
    <t xml:space="preserve">3  Модели</t>
  </si>
  <si>
    <t xml:space="preserve">VoseTimeGBMFitObject, VoseTimeGBMVRFitObject и VoseTimeGBMAJVRFitObject подбирают к ценам случайное блуждание, модель с возвратом к среднему и модель с возвратом к среднему и скачками. VoseSIC оценивает каждый подбор со штрафом за лишние параметры (чем меньше, тем лучше). Поддержка каждой модели — ее априорный вес × exp(−ΔSIC / 2); ее вес по данным — доля в общей поддержке, стандартное приближение вероятности того, что модель верна.</t>
  </si>
  <si>
    <t xml:space="preserve">4  Прогноз</t>
  </si>
  <si>
    <t xml:space="preserve">В каждой итерации VoseTimeSimulate разыгрывает 60-месячную траекторию из каждой подобранной модели; подборы случайного блуждания и возврата к среднему также разыгрывают свои параметры из их неопределенности. VoseDiscrete выбирает одну модель с вероятностью, равной ее весу, и траектория этой модели становится прогнозом. Среднегодовые значения превращают траекторию в ценовой сценарий.</t>
  </si>
  <si>
    <t xml:space="preserve">5  Результаты</t>
  </si>
  <si>
    <t xml:space="preserve">Процентили месячных и годовых цен, вероятность, что средняя цена года окажется ниже бюджетной, и цена 5-го года по каждой модели и по усреднению.</t>
  </si>
  <si>
    <t xml:space="preserve">Как пользоваться моделью</t>
  </si>
  <si>
    <t xml:space="preserve">Шаг 1</t>
  </si>
  <si>
    <t xml:space="preserve">Вставьте свои месяцы и месячные цены на лист «История» (120 месяцев, начиная с самого раннего, заканчивая декабрем) и задайте бюджетную цену на листе «Исходные данные».</t>
  </si>
  <si>
    <t xml:space="preserve">Шаг 2</t>
  </si>
  <si>
    <t xml:space="preserve">Посмотрите лист «Модели»: SIC и веса по данным показывают, насколько сильно история говорит в пользу каждой модели.</t>
  </si>
  <si>
    <t xml:space="preserve">Шаг 3</t>
  </si>
  <si>
    <t xml:space="preserve">Нажимайте F9 на листе «Прогноз», чтобы увидеть разные траектории, затем запустите моделирование с ленты МоделРиск (10 000 итераций, фиксированное начальное число).</t>
  </si>
  <si>
    <t xml:space="preserve">Шаг 4</t>
  </si>
  <si>
    <t xml:space="preserve">Установите «Усреднять модели» в 0, чтобы использовать только лучшую модель, или измените априорные веса, и запустите моделирование снова.</t>
  </si>
  <si>
    <t xml:space="preserve">Структура модели</t>
  </si>
  <si>
    <t xml:space="preserve">Исходные данные</t>
  </si>
  <si>
    <t xml:space="preserve">Бюджетная цена, априорные веса моделей, два переключателя и первый год прогноза (из истории).</t>
  </si>
  <si>
    <t xml:space="preserve">История</t>
  </si>
  <si>
    <t xml:space="preserve">Десять лет месячных цен, логарифмические доходности, сводная статистика и график.</t>
  </si>
  <si>
    <t xml:space="preserve">Модели</t>
  </si>
  <si>
    <t xml:space="preserve">Три подобранные модели: объекты подбора, SIC, веса по данным, выбранная модель, подобранные параметры, проверки.</t>
  </si>
  <si>
    <t xml:space="preserve">Прогноз</t>
  </si>
  <si>
    <t xml:space="preserve">60 месяцев цен в одной итерации, среднегодовые значения и график трех траекторий.</t>
  </si>
  <si>
    <t xml:space="preserve">Результаты</t>
  </si>
  <si>
    <t xml:space="preserve">Ценовой сценарий с диапазоном, вероятность опуститься ниже бюджета и 5-й год по каждой модели.</t>
  </si>
  <si>
    <t xml:space="preserve">Цветовые обозначения</t>
  </si>
  <si>
    <t xml:space="preserve">Исходное значение</t>
  </si>
  <si>
    <t xml:space="preserve">Допущение, которое можно менять. Исходные данные — только в этих ячейках.</t>
  </si>
  <si>
    <t xml:space="preserve">Неопределенная величина</t>
  </si>
  <si>
    <t xml:space="preserve">Распределение МоделРиск: новое случайное значение выбирается при каждом пересчете (F9) и в каждой итерации моделирования.</t>
  </si>
  <si>
    <t xml:space="preserve">Расчет</t>
  </si>
  <si>
    <t xml:space="preserve">Формула. Не перезаписывайте.</t>
  </si>
  <si>
    <t xml:space="preserve">Ключевой результат</t>
  </si>
  <si>
    <t xml:space="preserve">Отмечен функцией VoseOutput: при моделировании сохраняется его полное распределение.</t>
  </si>
  <si>
    <t xml:space="preserve">Результат моделирования</t>
  </si>
  <si>
    <t xml:space="preserve">Функция VoseSim…: статистика последнего моделирования, заполняется автоматически.</t>
  </si>
  <si>
    <t xml:space="preserve">Единицы и обозначения</t>
  </si>
  <si>
    <t xml:space="preserve">Цены</t>
  </si>
  <si>
    <t xml:space="preserve">долл./барр., среднемесячные цены эталонного сорта нефти (синтетические данные); номинальные цены, без поправки на инфляцию.</t>
  </si>
  <si>
    <t xml:space="preserve">Логарифмическая доходность</t>
  </si>
  <si>
    <t xml:space="preserve">ln(цена этого месяца ÷ цена прошлого месяца): при небольших изменениях близка к процентному изменению.</t>
  </si>
  <si>
    <t>SIC</t>
  </si>
  <si>
    <t xml:space="preserve">Информационный критерий Шварца = k·ln(n) − 2·ln(максимальное правдоподобие); чем меньше, тем лучше. Разница меньше 2 — слабое свидетельство в пользу лучшей модели, больше 6 — сильное.</t>
  </si>
  <si>
    <t xml:space="preserve">Процентили</t>
  </si>
  <si>
    <t xml:space="preserve">10-й процентиль: вероятность 10% получить меньшее значение. 90-й процентиль: вероятность 10% получить большее.</t>
  </si>
  <si>
    <t xml:space="preserve">Основные допущения и ограничения</t>
  </si>
  <si>
    <t xml:space="preserve">Три кандидата. Другие, например модели GARCH с меняющейся волатильностью, можно добавить так же: подобрать, оценить, включить в веса.</t>
  </si>
  <si>
    <t xml:space="preserve">Неопределенность параметров</t>
  </si>
  <si>
    <t xml:space="preserve">Учитывается для подборов случайного блуждания и возврата к среднему. Модель со скачками, у которой почти нет веса, подбирается по наилучшей оценке, чтобы моделирование шло быстро.</t>
  </si>
  <si>
    <t xml:space="preserve">Веса</t>
  </si>
  <si>
    <t xml:space="preserve">Веса по данным используют приближение SIC к байесовскому усреднению моделей, с равными априорными весами, если вы их не меняли.</t>
  </si>
  <si>
    <t xml:space="preserve">Последние десять лет считаются представительными: структурные изменения, политика производителей и энергопереход явно не моделируются.</t>
  </si>
  <si>
    <t xml:space="preserve">Данные</t>
  </si>
  <si>
    <t xml:space="preserve">Ценовой ряд синтетический, создан для этого примера. Он похож на реальные цены нефти, но не воспроизводит их.</t>
  </si>
  <si>
    <t xml:space="preserve">Функции МоделРиск в модели</t>
  </si>
  <si>
    <t>VoseTimeGBMFitObject, VoseTimeGBMVRFitObject, VoseTimeGBMAJVRFitObject</t>
  </si>
  <si>
    <t xml:space="preserve">Подобрать к ценам три модели временных рядов. С Uncertainty = TRUE каждый пересчет разыгрывает параметры.</t>
  </si>
  <si>
    <t>VoseSIC, VoseTimeOptimalFitObject</t>
  </si>
  <si>
    <t xml:space="preserve">Информационный критерий Шварца каждого подбора и модель с наименьшим SIC.</t>
  </si>
  <si>
    <t>VoseTimeGBMFitP, VoseTimeGBMVRFitP, VoseTimeGBMAJVRFitP</t>
  </si>
  <si>
    <t xml:space="preserve">Параметры наилучшего подбора, показаны на листе «Модели».</t>
  </si>
  <si>
    <t>VoseTimeSimulate</t>
  </si>
  <si>
    <t xml:space="preserve">Разыгрывает траекторию прогноза из объекта подобранного временного ряда.</t>
  </si>
  <si>
    <t>VoseDiscrete</t>
  </si>
  <si>
    <t xml:space="preserve">Выбирает модель для каждой итерации с вероятностью, равной ее весу.</t>
  </si>
  <si>
    <t>VoseInput, VoseOutput</t>
  </si>
  <si>
    <t xml:space="preserve">Обозначить выбранную модель и выходы прогноза: каждую месячную цену, среднегодовые значения и 5-й год по моделям.</t>
  </si>
  <si>
    <t>VoseSimPercentile, VoseSimMean, VoseSimProbability</t>
  </si>
  <si>
    <t xml:space="preserve">Статистика моделирования для таблиц и графиков на листе «Результаты».</t>
  </si>
  <si>
    <t xml:space="preserve">Что почитать</t>
  </si>
  <si>
    <t xml:space="preserve">Усреднение моделей</t>
  </si>
  <si>
    <t>Hoeting, J. A., Madigan, D., Raftery, A. E. and Volinsky, C. T. (1999). Bayesian model averaging: a tutorial. Statistical Science 14(4), 382–417.</t>
  </si>
  <si>
    <t xml:space="preserve">Временные ряды</t>
  </si>
  <si>
    <t xml:space="preserve">Подбор распределения по данным (статья)</t>
  </si>
  <si>
    <t xml:space="preserve">Цены на нефть</t>
  </si>
  <si>
    <t>Pindyck, R. S. (1999). The long-run evolution of energy prices. The Energy Journal 20(2), 1–27.</t>
  </si>
  <si>
    <t xml:space="preserve">© 2026 ООО «Стратегия Риска»   ·   www.riskstrategy.ru   ·   Учебный пример: цифры придуманы для обучения и не описывают реальную компанию, проект или актив.</t>
  </si>
  <si>
    <t xml:space="preserve">ИСХОДНЫЕ ДАННЫЕ   ·   Все допущения модели, их неопределенность и обоснование. Меняйте только желтые ячейки.</t>
  </si>
  <si>
    <t xml:space="preserve">◂  Описание</t>
  </si>
  <si>
    <t xml:space="preserve">Далее:  История  ▸</t>
  </si>
  <si>
    <t xml:space="preserve">Как читать этот лист:  желтые ячейки — исходные данные.</t>
  </si>
  <si>
    <t xml:space="preserve">1   Настройки плана</t>
  </si>
  <si>
    <t xml:space="preserve">Бюджетная цена проверяется по прогнозу, который начинается в январе после окончания истории.</t>
  </si>
  <si>
    <t xml:space="preserve">Допущение</t>
  </si>
  <si>
    <t xml:space="preserve">Ед. изм.</t>
  </si>
  <si>
    <t xml:space="preserve">Значение в модели</t>
  </si>
  <si>
    <t xml:space="preserve">Неопределенность</t>
  </si>
  <si>
    <t xml:space="preserve">Обоснование / источник (условно)</t>
  </si>
  <si>
    <t xml:space="preserve">Бюджетная цена</t>
  </si>
  <si>
    <t xml:space="preserve">долл./барр.</t>
  </si>
  <si>
    <t xml:space="preserve">Константа</t>
  </si>
  <si>
    <t xml:space="preserve">Цена, заложенная в бюджет. Лист «Результаты» показывает вероятность, что средняя цена каждого года окажется ниже нее.</t>
  </si>
  <si>
    <t xml:space="preserve">Первый год прогноза</t>
  </si>
  <si>
    <t xml:space="preserve">год</t>
  </si>
  <si>
    <t xml:space="preserve">Расчетное</t>
  </si>
  <si>
    <t xml:space="preserve">Год после последнего месяца истории (лист «История»). Прогноз охватывает пять календарных лет начиная с января.</t>
  </si>
  <si>
    <t xml:space="preserve">Учитывать неопределенность параметров</t>
  </si>
  <si>
    <t xml:space="preserve">1 — да, 0 — нет</t>
  </si>
  <si>
    <t xml:space="preserve">1 — в каждой итерации разыгрываются параметры подборов случайного блуждания и возврата к среднему (аргумент Uncertainty функций подбора); 0 — используется наилучший подбор.</t>
  </si>
  <si>
    <t xml:space="preserve">2   Усреднение моделей</t>
  </si>
  <si>
    <t xml:space="preserve">Как три подобранные модели объединяются в один прогноз.</t>
  </si>
  <si>
    <t xml:space="preserve">Усреднять модели</t>
  </si>
  <si>
    <t xml:space="preserve">1 — модели усредняются по весам по данным; 0 — используется только модель с наименьшим SIC.</t>
  </si>
  <si>
    <t xml:space="preserve">Априорный вес: случайное блуждание  (GBM)</t>
  </si>
  <si>
    <t xml:space="preserve">относительный</t>
  </si>
  <si>
    <t xml:space="preserve">Ваш вес для каждой модели до того, как вы посмотрели на данные. Равные веса позволяют решать данным.</t>
  </si>
  <si>
    <t xml:space="preserve">Априорный вес: возврат к среднему  (GBMVR)</t>
  </si>
  <si>
    <t xml:space="preserve">Экономический довод (производители реагируют на цены) для сырья часто говорит в пользу возврата к среднему.</t>
  </si>
  <si>
    <t xml:space="preserve">Априорный вес: возврат к среднему со скачками  (GBMAJVR)</t>
  </si>
  <si>
    <t xml:space="preserve">Установите вес модели в 0, чтобы исключить ее.</t>
  </si>
  <si>
    <t xml:space="preserve">ИСТОРИЯ   ·   Десять лет среднемесячных цен и их логарифмические доходности.</t>
  </si>
  <si>
    <t xml:space="preserve">◂  Исходные данные</t>
  </si>
  <si>
    <t xml:space="preserve">Далее:  Модели  ▸</t>
  </si>
  <si>
    <t xml:space="preserve">1   Месячные цены</t>
  </si>
  <si>
    <t xml:space="preserve">2   Сводка по истории</t>
  </si>
  <si>
    <t xml:space="preserve">Синтетические данные. Вставьте свой ряд, начиная с самого раннего значения.</t>
  </si>
  <si>
    <t xml:space="preserve">Что видит прогнозист до подбора какой-либо модели.</t>
  </si>
  <si>
    <t xml:space="preserve">Месяц</t>
  </si>
  <si>
    <t xml:space="preserve">Цена</t>
  </si>
  <si>
    <t xml:space="preserve">Показатель</t>
  </si>
  <si>
    <t xml:space="preserve">Значение</t>
  </si>
  <si>
    <t xml:space="preserve">Примечание</t>
  </si>
  <si>
    <t xml:space="preserve">в месяц</t>
  </si>
  <si>
    <t xml:space="preserve">Месяцев истории</t>
  </si>
  <si>
    <t xml:space="preserve">мес.</t>
  </si>
  <si>
    <t xml:space="preserve">Десять лет среднемесячных значений</t>
  </si>
  <si>
    <t xml:space="preserve">Первый месяц</t>
  </si>
  <si>
    <t xml:space="preserve">Последний месяц</t>
  </si>
  <si>
    <t xml:space="preserve">Декабрь: прогноз начинается со следующего января</t>
  </si>
  <si>
    <t xml:space="preserve">Последняя цена  (начало каждой траектории прогноза)</t>
  </si>
  <si>
    <t xml:space="preserve">Средняя цена</t>
  </si>
  <si>
    <t xml:space="preserve">Самая низкая цена</t>
  </si>
  <si>
    <t xml:space="preserve">Самая высокая цена</t>
  </si>
  <si>
    <t xml:space="preserve">Средняя месячная логарифмическая доходность</t>
  </si>
  <si>
    <t xml:space="preserve">Снос, который предполагало бы случайное блуждание</t>
  </si>
  <si>
    <t xml:space="preserve">Месячная волатильность</t>
  </si>
  <si>
    <t xml:space="preserve">Стандартное отклонение месячных логарифмических доходностей</t>
  </si>
  <si>
    <t xml:space="preserve">Годовая волатильность</t>
  </si>
  <si>
    <t xml:space="preserve">в год</t>
  </si>
  <si>
    <t xml:space="preserve">Месячная волатильность × √12</t>
  </si>
  <si>
    <t xml:space="preserve">3   История цен</t>
  </si>
  <si>
    <t xml:space="preserve">МОДЕЛИ   ·   Три модели временных рядов, подобранные к истории цен, оцененные по SIC и взвешенные по данным.</t>
  </si>
  <si>
    <t xml:space="preserve">◂  История</t>
  </si>
  <si>
    <t xml:space="preserve">Далее:  Прогноз  ▸</t>
  </si>
  <si>
    <t xml:space="preserve">1   Модели-кандидаты</t>
  </si>
  <si>
    <t xml:space="preserve">По столбцу на модель. Чем меньше информационный критерий, тем лучше подбор с учетом числа параметров.</t>
  </si>
  <si>
    <t xml:space="preserve">Случайное блуждание  (GBM)</t>
  </si>
  <si>
    <t xml:space="preserve">Возврат к среднему  (GBMVR)</t>
  </si>
  <si>
    <t xml:space="preserve">Возврат к среднему со скачками  (GBMAJVR)</t>
  </si>
  <si>
    <t xml:space="preserve">Номер модели</t>
  </si>
  <si>
    <t xml:space="preserve">Используется в VoseDiscrete ниже.</t>
  </si>
  <si>
    <t xml:space="preserve">Аргумент подбора: неопределенность параметров</t>
  </si>
  <si>
    <t xml:space="preserve">TRUE — подобранные параметры заново разыгрываются при каждом пересчете (переключатель на листе «Исходные данные»); у модели со скачками всегда FALSE (см. ниже)</t>
  </si>
  <si>
    <t xml:space="preserve">Аргумент подбора: начальное значение  (последняя цена)</t>
  </si>
  <si>
    <t xml:space="preserve">Каждая траектория прогноза начинается с последней цены истории</t>
  </si>
  <si>
    <t xml:space="preserve">Объект подбора МоделРиск</t>
  </si>
  <si>
    <t xml:space="preserve">Подобрано к ценам с листа «История» с двумя аргументами выше (подробнее в примечаниях под таблицей)</t>
  </si>
  <si>
    <t xml:space="preserve">SIC  (информационный критерий Шварца)</t>
  </si>
  <si>
    <t xml:space="preserve">AIC  (информационный критерий Акаике)</t>
  </si>
  <si>
    <t xml:space="preserve">HQIC  (критерий Ханнана — Куинна)</t>
  </si>
  <si>
    <t xml:space="preserve">ΔSIC  (отличие от наименьшего SIC)</t>
  </si>
  <si>
    <t xml:space="preserve">Меньше 2 — слабое свидетельство в пользу одной из двух моделей; больше 6 — сильное.</t>
  </si>
  <si>
    <t xml:space="preserve">Априорный вес  (лист «Исходные данные»)</t>
  </si>
  <si>
    <t xml:space="preserve">Относительный; равные веса позволяют решать данным.</t>
  </si>
  <si>
    <t xml:space="preserve">Поддержка  (априорный вес × exp(−ΔSIC / 2))</t>
  </si>
  <si>
    <t xml:space="preserve">Свидетельство в пользу каждой модели до нормировки: 1 для наименьшего SIC при априорном весе 1</t>
  </si>
  <si>
    <t xml:space="preserve">Вес по данным</t>
  </si>
  <si>
    <t xml:space="preserve">Поддержка ÷ общая поддержка, так что веса в сумме дают 100%: приближенная вероятность того, что верна именно эта модель.</t>
  </si>
  <si>
    <t xml:space="preserve">Используемый вес</t>
  </si>
  <si>
    <t xml:space="preserve">Веса по данным или 100% на лучшую модель, если «Усреднять модели» равно 0.</t>
  </si>
  <si>
    <t xml:space="preserve">Номер лучшей отдельной модели  (наименьший SIC)</t>
  </si>
  <si>
    <t xml:space="preserve">Лучшая отдельная модель</t>
  </si>
  <si>
    <t xml:space="preserve">Выбор МоделРиск:  VoseTimeOptimalFitObject, по SIC</t>
  </si>
  <si>
    <t xml:space="preserve">Тот же выбор одной функцией.</t>
  </si>
  <si>
    <t xml:space="preserve">INDEX(…, 1) оставляет сам объект подбора. В Excel 365 объект подбора также выводит статистику подбора в ячейки под собой, но во время моделирования эти ячейки пусты, поэтому веса рассчитываются через VoseSIC.</t>
  </si>
  <si>
    <t xml:space="preserve">Модель со скачками всегда подбирается по наилучшей оценке: веса у нее здесь почти нет, а повторный подбор семи ее параметров в каждой итерации замедлил бы моделирование примерно в 17 раз.</t>
  </si>
  <si>
    <t xml:space="preserve">Функция подбора случайного блуждания принимает также необязательные метки времени (не заполнены) и флаг логарифмических доходностей (FALSE: данные — цены, а не логарифмические доходности).</t>
  </si>
  <si>
    <t xml:space="preserve">2   Что предполагает каждая модель</t>
  </si>
  <si>
    <t xml:space="preserve">Цены блуждают без притяжения; диапазон со временем продолжает расширяться.</t>
  </si>
  <si>
    <t xml:space="preserve">Цены притягиваются к долгосрочному уровню; диапазон выравнивается.</t>
  </si>
  <si>
    <t xml:space="preserve">Возврат к среднему плюс редкие резкие скачки вверх или вниз.</t>
  </si>
  <si>
    <t xml:space="preserve">3   Модель, используемая в этой итерации</t>
  </si>
  <si>
    <t xml:space="preserve">VoseDiscrete разыгрывает модель 1, 2 или 3 с вероятностью, равной ее используемому весу. Нажмите F9, чтобы разыграть снова.</t>
  </si>
  <si>
    <t xml:space="preserve">Модель, выбранная для этой итерации  (номер)</t>
  </si>
  <si>
    <t xml:space="preserve">Байесовское усреднение моделей: каждая модель используется в доле итераций, равной ее весу.</t>
  </si>
  <si>
    <t xml:space="preserve">Модель, выбранная для этой итерации</t>
  </si>
  <si>
    <t xml:space="preserve">4   Подобранные параметры</t>
  </si>
  <si>
    <t xml:space="preserve">Значения наилучшего подбора (без неопределенности параметров) из VoseTimeGBMFitP, VoseTimeGBMVRFitP и VoseTimeGBMAJVRFitP.</t>
  </si>
  <si>
    <t xml:space="preserve">Смысл</t>
  </si>
  <si>
    <t xml:space="preserve">μ  средняя месячная логарифмическая доходность</t>
  </si>
  <si>
    <t xml:space="preserve">Снос: среднее изменение логарифма цены за месяц</t>
  </si>
  <si>
    <t xml:space="preserve">σ  месячная волатильность</t>
  </si>
  <si>
    <t>σ × √12</t>
  </si>
  <si>
    <t xml:space="preserve">S*  долгосрочный уровень</t>
  </si>
  <si>
    <t xml:space="preserve">Цена, к которой притягивается ряд</t>
  </si>
  <si>
    <t xml:space="preserve">Стандартное отклонение месячных шоков логарифма цены</t>
  </si>
  <si>
    <t xml:space="preserve">α  коэффициент возврата</t>
  </si>
  <si>
    <t xml:space="preserve">Доля разрыва до долгосрочного уровня, закрываемая за месяц (в логарифмах)</t>
  </si>
  <si>
    <t xml:space="preserve">Период полураспада ценового шока</t>
  </si>
  <si>
    <t xml:space="preserve">Месяцев, за которые угасает половина шока</t>
  </si>
  <si>
    <t xml:space="preserve">Волатильность между скачками</t>
  </si>
  <si>
    <t xml:space="preserve">Доля разрыва до долгосрочного уровня, закрываемая за месяц</t>
  </si>
  <si>
    <t xml:space="preserve">μJ  средний размер скачка</t>
  </si>
  <si>
    <t xml:space="preserve">логарифмическая доходность</t>
  </si>
  <si>
    <t xml:space="preserve">Средний размер скачка в логарифмах</t>
  </si>
  <si>
    <t xml:space="preserve">σJ  разброс размеров скачков</t>
  </si>
  <si>
    <t xml:space="preserve">Стандартное отклонение размера скачка</t>
  </si>
  <si>
    <t xml:space="preserve">Вероятность скачка в месяце</t>
  </si>
  <si>
    <t xml:space="preserve">вероятность</t>
  </si>
  <si>
    <t xml:space="preserve">Вероятность, что скачок вверх</t>
  </si>
  <si>
    <t xml:space="preserve">Ожидаемое число скачков в год</t>
  </si>
  <si>
    <t xml:space="preserve">скачков</t>
  </si>
  <si>
    <t xml:space="preserve">12 × месячная вероятность скачка</t>
  </si>
  <si>
    <t xml:space="preserve">5   Проверки модели</t>
  </si>
  <si>
    <t xml:space="preserve">Везде должно быть «ОК». «ПРОВЕРИТЬ» означает, что исходное значение вышло за пределы, на которые рассчитана модель.</t>
  </si>
  <si>
    <t xml:space="preserve">В истории 120 положительных месячных цен</t>
  </si>
  <si>
    <t xml:space="preserve">История заканчивается декабрем  (прогноз начинается в январе)</t>
  </si>
  <si>
    <t xml:space="preserve">Априорные веса не отрицательны и не все равны нулю</t>
  </si>
  <si>
    <t xml:space="preserve">Используемые веса в сумме дают 100%</t>
  </si>
  <si>
    <t xml:space="preserve">ПРОГНОЗ   ·   60 месяцев в этой итерации: по одной траектории из каждой модели и траектория выбранной модели.</t>
  </si>
  <si>
    <t xml:space="preserve">◂  Модели</t>
  </si>
  <si>
    <t xml:space="preserve">Далее:  Результаты  ▸</t>
  </si>
  <si>
    <t xml:space="preserve">1   Месячный прогноз</t>
  </si>
  <si>
    <t xml:space="preserve">2   Среднегодовая цена</t>
  </si>
  <si>
    <t xml:space="preserve">Прогноз следует модели, выбранной на листе «Модели».</t>
  </si>
  <si>
    <t xml:space="preserve">Среднее двенадцати месячных цен каждого календарного года.</t>
  </si>
  <si>
    <t xml:space="preserve">Дата</t>
  </si>
  <si>
    <t xml:space="preserve">Случайное блуждание</t>
  </si>
  <si>
    <t xml:space="preserve">Возврат к среднему</t>
  </si>
  <si>
    <t xml:space="preserve">Со скачками</t>
  </si>
  <si>
    <t xml:space="preserve">Год</t>
  </si>
  <si>
    <t xml:space="preserve">Столбец «Прогноз» — ценовой сценарий: выходы на каждый год.</t>
  </si>
  <si>
    <t xml:space="preserve">5-й год по каждой модели — тоже выход, для сравнения на листе «Результаты».</t>
  </si>
  <si>
    <t xml:space="preserve">3   Эта итерация</t>
  </si>
  <si>
    <t xml:space="preserve">Прогноз следует модели:</t>
  </si>
  <si>
    <t xml:space="preserve">4   По одной траектории из каждой модели</t>
  </si>
  <si>
    <t xml:space="preserve">Нажмите F9, чтобы увидеть другие траектории: очень непохожие траектории получаются из одной и той же модели.</t>
  </si>
  <si>
    <t xml:space="preserve">РЕЗУЛЬТАТЫ   ·   Заполняются автоматически по последнему моделированию. После изменения исходных данных запустите моделирование снова.</t>
  </si>
  <si>
    <t xml:space="preserve">◂  Прогноз</t>
  </si>
  <si>
    <t xml:space="preserve">1   Ценовой сценарий для плана</t>
  </si>
  <si>
    <t xml:space="preserve">Месячная цена — полоса от 10-го до 90-го процентиля</t>
  </si>
  <si>
    <t xml:space="preserve">Среднегодовая цена прогноза, усредненного по моделям.</t>
  </si>
  <si>
    <t xml:space="preserve">Показатель</t>
  </si>
  <si>
    <t xml:space="preserve">10-й проц.</t>
  </si>
  <si>
    <t xml:space="preserve">Медиана</t>
  </si>
  <si>
    <t xml:space="preserve">90-й проц.</t>
  </si>
  <si>
    <t xml:space="preserve">Среднее</t>
  </si>
  <si>
    <t xml:space="preserve">2   Бюджетная цена</t>
  </si>
  <si>
    <t xml:space="preserve">Вероятность, что средняя цена года ниже бюджетной цены с листа «Исходные данные».</t>
  </si>
  <si>
    <t xml:space="preserve">Бюджетная цена  (лист «Исходные данные»)</t>
  </si>
  <si>
    <t xml:space="preserve">Вероятность</t>
  </si>
  <si>
    <t xml:space="preserve">3   Какая модель?  Свидетельства и что каждая модель говорит о 5-м годе</t>
  </si>
  <si>
    <t xml:space="preserve">Средняя цена 5-го года по каждой модели</t>
  </si>
  <si>
    <t xml:space="preserve">SIC и веса с листа «Модели»; средняя цена 5-го года по каждой модели и по усреднению.</t>
  </si>
  <si>
    <t xml:space="preserve">Модель</t>
  </si>
  <si>
    <t>ΔSIC</t>
  </si>
  <si>
    <t xml:space="preserve">Усреднение моделей  (ценовой сценарий)</t>
  </si>
  <si>
    <t xml:space="preserve">4   Как читать результаты</t>
  </si>
  <si>
    <t xml:space="preserve">•  История не позволяет отличить случайное блуждание от возврата к среднему: их значения SIC почти равны, поэтому каждая получает около половины веса. Но о 5-м годе они говорят очень разное. Диапазон случайного блуждания продолжает расширяться; диапазон возврата к среднему выравнивается вокруг долгосрочного уровня.</t>
  </si>
  <si>
    <t xml:space="preserve">•  Усреднение моделей переносит это расхождение в ценовой сценарий, а не скрывает его. Если взять только лучшую модель (установить «Усреднять модели» в 0), весь план будет опираться на разницу SIC в долю пункта.</t>
  </si>
  <si>
    <t xml:space="preserve">•  Неопределенность параметров сильнее всего расширяет диапазон случайного блуждания: десять лет данных оставляют снос неопределенным примерно на ±0,7% в месяц, и за пять лет это накапливается. На прогноз с возвратом к среднему она влияет гораздо меньше. Для сравнения установите «Учитывать неопределенность параметров» в 0.</t>
  </si>
  <si>
    <t xml:space="preserve">•  Вероятность опуститься ниже бюджетной цены — плановый риск этого бюджета: бюджетная цена, которая с вероятностью 40% не будет достигнута в году, — амбициозная цель, а не базовый сценарий.</t>
  </si>
  <si>
    <t xml:space="preserve">•  Функция МоделРиск VoseTimeBMA выполняет байесовское усреднение подобранных временных рядов одной формулой массива. Эта модель расписывает шаги, чтобы каждый вес можно было увидеть и изменить.</t>
  </si>
  <si>
    <t xml:space="preserve">Данные для графиков</t>
  </si>
  <si>
    <t xml:space="preserve">Статистика последнего моделирования для графиков и рейтинга выше. Строки сгруппированы: нажмите «+» на левом поле, чтобы их показать.</t>
  </si>
  <si>
    <t xml:space="preserve">Накопленная вероятность</t>
  </si>
  <si>
    <t xml:space="preserve">Вероятность превышения</t>
  </si>
  <si>
    <t>Avg_Y5</t>
  </si>
  <si>
    <t>Avg5_GBM</t>
  </si>
  <si>
    <t>Avg5_VR</t>
  </si>
  <si>
    <t>Avg5_AJ</t>
  </si>
  <si>
    <t xml:space="preserve">Период</t>
  </si>
  <si>
    <t xml:space="preserve">10-й процентиль</t>
  </si>
  <si>
    <t xml:space="preserve">90-й процентиль</t>
  </si>
  <si>
    <t>DSN Files Count: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</si>
</sst>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.0_);\(#,##0.0\);&quot;–&quot;_)"/>
    <numFmt numFmtId="166" formatCode="mmm\ yyyy"/>
    <numFmt numFmtId="167" formatCode="#,##0.00_);\(#,##0.00\);&quot;–&quot;_)"/>
    <numFmt numFmtId="168" formatCode="0.0%;\-0.0%;0.0%"/>
    <numFmt numFmtId="169" formatCode="0.0%"/>
    <numFmt numFmtId="170" formatCode="0.0"/>
    <numFmt numFmtId="171" formatCode="0.000"/>
    <numFmt numFmtId="172" formatCode="#,##0.0_);\(#,##0.0\);&quot;–&quot;_);&quot;–&quot;"/>
    <numFmt numFmtId="173" formatCode="0.0%;\-0.0%;0.0%;&quot;–&quot;"/>
    <numFmt numFmtId="174" formatCode="yyyy"/>
  </numFmts>
  <fonts count="24" x14ac:knownFonts="1">
    <font>
      <sz val="11"/>
      <color theme="1"/>
      <name val="Calibri"/>
      <family val="2"/>
      <scheme val="minor"/>
    </font>
    <font>
      <sz val="10"/>
      <color rgb="FF1F2328"/>
      <name val="Calibri"/>
    </font>
    <font>
      <sz val="10"/>
      <color rgb="FF9A3412"/>
      <name val="Calibri"/>
    </font>
    <font>
      <sz val="10"/>
      <color rgb="FF111214"/>
      <name val="Calibri"/>
    </font>
    <font>
      <b/>
      <sz val="10"/>
      <color rgb="FF14532D"/>
      <name val="Calibri"/>
    </font>
    <font>
      <b/>
      <sz val="16"/>
      <color rgb="FF111214"/>
      <name val="Calibri"/>
    </font>
    <font>
      <sz val="10"/>
      <color rgb="FF55585F"/>
      <name val="Calibri"/>
    </font>
    <font>
      <sz val="9"/>
      <color rgb="FF55585F"/>
      <name val="Calibri"/>
    </font>
    <font>
      <u/>
      <sz val="9"/>
      <color rgb="FF1F2328"/>
      <name val="Calibri"/>
    </font>
    <font>
      <b/>
      <sz val="20"/>
      <color rgb="FF111214"/>
      <name val="Calibri"/>
    </font>
    <font>
      <b/>
      <sz val="12"/>
      <color rgb="FF1F2328"/>
      <name val="Calibri"/>
    </font>
    <font>
      <b/>
      <sz val="10"/>
      <color rgb="FF55585F"/>
      <name val="Calibri"/>
    </font>
    <font>
      <b/>
      <sz val="10"/>
      <color rgb="FF111214"/>
      <name val="Calibri"/>
    </font>
    <font>
      <i/>
      <sz val="9"/>
      <color rgb="FF55585F"/>
      <name val="Calibri"/>
    </font>
    <font>
      <u/>
      <sz val="10"/>
      <color rgb="FF1F2328"/>
      <name val="Calibri"/>
    </font>
    <font>
      <b/>
      <sz val="10"/>
      <color rgb="FF1F2328"/>
      <name val="Calibri"/>
    </font>
    <font>
      <i/>
      <sz val="9"/>
      <color rgb="FF8B8E95"/>
      <name val="Calibri"/>
    </font>
    <font>
      <b/>
      <sz val="9"/>
      <color rgb="FF55585F"/>
      <name val="Calibri"/>
    </font>
    <font>
      <sz val="9"/>
      <color rgb="FF55585F"/>
      <name val="Calibri"/>
    </font>
    <font>
      <sz val="8"/>
      <color rgb="FF55585F"/>
      <name val="Calibri"/>
    </font>
    <font>
      <sz val="8"/>
      <color rgb="FF9A3412"/>
      <name val="Calibri"/>
    </font>
    <font>
      <sz val="10"/>
      <color rgb="FF55585F"/>
      <name val="Calibri"/>
    </font>
    <font>
      <b/>
      <sz val="10"/>
      <color rgb="FF15803D"/>
      <name val="Calibri"/>
    </font>
    <font>
      <b/>
      <sz val="11"/>
      <color rgb="FF1F2328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4CC"/>
        <bgColor rgb="FFFFF4CC"/>
      </patternFill>
    </fill>
    <fill>
      <patternFill patternType="solid">
        <fgColor rgb="FFFCE4D6"/>
        <bgColor rgb="FFFCE4D6"/>
      </patternFill>
    </fill>
    <fill>
      <patternFill patternType="solid">
        <fgColor rgb="FFE3F1E6"/>
        <bgColor rgb="FFE3F1E6"/>
      </patternFill>
    </fill>
    <fill>
      <patternFill patternType="solid">
        <fgColor rgb="FFEEF0F2"/>
        <bgColor rgb="FFEEF0F2"/>
      </patternFill>
    </fill>
    <fill>
      <patternFill patternType="solid">
        <fgColor rgb="FFF4F4F5"/>
        <bgColor rgb="FFF4F4F5"/>
      </patternFill>
    </fill>
    <fill>
      <patternFill patternType="solid">
        <fgColor rgb="FFF4F4F5"/>
        <bgColor rgb="FFF4F4F5"/>
      </patternFill>
    </fill>
  </fills>
  <borders count="11">
    <border>
      <left/>
      <right/>
      <top/>
      <bottom/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D9DADD"/>
      </bottom>
      <diagonal/>
    </border>
    <border>
      <left/>
      <right/>
      <top/>
      <bottom/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15803D"/>
      </bottom>
      <diagonal/>
    </border>
    <border>
      <left/>
      <right/>
      <top/>
      <bottom style="thin">
        <color rgb="FFD9DADD"/>
      </bottom>
      <diagonal/>
    </border>
    <border>
      <left/>
      <right/>
      <top/>
      <bottom style="medium">
        <color rgb="FF2F3136"/>
      </bottom>
      <diagonal/>
    </border>
    <border>
      <left/>
      <right/>
      <top/>
      <bottom style="thin">
        <color rgb="FFECEDEF"/>
      </bottom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ECEDEF"/>
      </bottom>
      <diagonal/>
    </border>
    <border>
      <left/>
      <right/>
      <top/>
      <bottom style="thin">
        <color rgb="FFECEDEF"/>
      </bottom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ECEDEF"/>
      </bottom>
      <diagonal/>
    </border>
    <border>
      <left/>
      <right/>
      <top style="thin">
        <color rgb="FFD9DADD"/>
      </top>
      <bottom style="thin">
        <color rgb="FFD9DADD"/>
      </bottom>
      <diagonal/>
    </border>
  </borders>
  <cellStyleXfs count="6">
    <xf numFmtId="0" fontId="0" fillId="0" borderId="0"/>
    <xf numFmtId="0" fontId="1" fillId="2" borderId="1">
      <alignment horizontal="right" vertical="center"/>
    </xf>
    <xf numFmtId="0" fontId="2" fillId="3" borderId="1">
      <alignment horizontal="right" vertical="center"/>
    </xf>
    <xf numFmtId="0" fontId="3" fillId="0" borderId="2">
      <alignment horizontal="right" vertical="center"/>
    </xf>
    <xf numFmtId="0" fontId="4" fillId="4" borderId="3">
      <alignment horizontal="right" vertical="center"/>
    </xf>
    <xf numFmtId="0" fontId="1" fillId="5" borderId="1">
      <alignment horizontal="right" vertical="center"/>
    </xf>
  </cellStyleXfs>
  <cellXfs count="76">
    <xf numFmtId="0" fontId="0" fillId="0" borderId="0" xfId="0"/>
    <xf numFmtId="0" fontId="0" fillId="6" borderId="0" xfId="0" applyFill="1"/>
    <xf numFmtId="0" fontId="9" fillId="6" borderId="0" xfId="0" applyFont="1" applyFill="1" applyAlignment="1">
      <alignment vertical="center"/>
    </xf>
    <xf numFmtId="0" fontId="7" fillId="6" borderId="0" xfId="0" applyFont="1" applyFill="1" applyAlignment="1">
      <alignment horizontal="right" vertical="center"/>
    </xf>
    <xf numFmtId="0" fontId="6" fillId="6" borderId="0" xfId="0" applyFont="1" applyFill="1" applyAlignment="1">
      <alignment vertical="center"/>
    </xf>
    <xf numFmtId="0" fontId="0" fillId="7" borderId="4" xfId="0" applyFill="1" applyBorder="1"/>
    <xf numFmtId="0" fontId="8" fillId="7" borderId="4" xfId="0" applyFont="1" applyFill="1" applyBorder="1" applyAlignment="1">
      <alignment horizontal="right" vertical="center"/>
    </xf>
    <xf numFmtId="0" fontId="10" fillId="0" borderId="5" xfId="0" applyFont="1" applyBorder="1"/>
    <xf numFmtId="0" fontId="0" fillId="0" borderId="5" xfId="0" applyBorder="1"/>
    <xf numFmtId="0" fontId="11" fillId="0" borderId="6" xfId="0" applyFont="1" applyBorder="1" applyAlignment="1">
      <alignment horizontal="left" vertical="top" indent="1"/>
    </xf>
    <xf numFmtId="0" fontId="3" fillId="0" borderId="6" xfId="0" applyFont="1" applyBorder="1" applyAlignment="1">
      <alignment horizontal="left" vertical="top" wrapText="1" indent="1"/>
    </xf>
    <xf numFmtId="0" fontId="12" fillId="0" borderId="6" xfId="0" applyFont="1" applyBorder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vertical="center"/>
    </xf>
    <xf numFmtId="0" fontId="14" fillId="0" borderId="6" xfId="0" applyFont="1" applyBorder="1" applyAlignment="1">
      <alignment horizontal="left" vertical="center" indent="1"/>
    </xf>
    <xf numFmtId="0" fontId="1" fillId="2" borderId="1" xfId="1" applyAlignment="1">
      <alignment horizontal="center" vertical="center"/>
    </xf>
    <xf numFmtId="0" fontId="2" fillId="3" borderId="1" xfId="2" applyAlignment="1">
      <alignment horizontal="center" vertical="center"/>
    </xf>
    <xf numFmtId="0" fontId="3" fillId="0" borderId="2" xfId="3" applyAlignment="1">
      <alignment horizontal="center" vertical="center"/>
    </xf>
    <xf numFmtId="0" fontId="4" fillId="4" borderId="3" xfId="4" applyAlignment="1">
      <alignment horizontal="center" vertical="center"/>
    </xf>
    <xf numFmtId="0" fontId="1" fillId="5" borderId="1" xfId="5" applyAlignment="1">
      <alignment horizontal="center" vertical="center"/>
    </xf>
    <xf numFmtId="0" fontId="15" fillId="0" borderId="6" xfId="0" applyFont="1" applyBorder="1" applyAlignment="1">
      <alignment horizontal="left" vertical="top" wrapText="1" indent="1"/>
    </xf>
    <xf numFmtId="0" fontId="5" fillId="6" borderId="0" xfId="0" applyFont="1" applyFill="1" applyAlignment="1">
      <alignment vertical="center"/>
    </xf>
    <xf numFmtId="0" fontId="8" fillId="7" borderId="4" xfId="0" applyFont="1" applyFill="1" applyBorder="1" applyAlignment="1">
      <alignment vertical="center"/>
    </xf>
    <xf numFmtId="0" fontId="17" fillId="7" borderId="4" xfId="0" applyFont="1" applyFill="1" applyBorder="1" applyAlignment="1">
      <alignment horizontal="left" vertical="center" wrapText="1" indent="1"/>
    </xf>
    <xf numFmtId="0" fontId="17" fillId="7" borderId="4" xfId="0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indent="1"/>
    </xf>
    <xf numFmtId="0" fontId="18" fillId="0" borderId="6" xfId="0" applyFont="1" applyBorder="1" applyAlignment="1">
      <alignment horizontal="left" vertical="center" indent="1"/>
    </xf>
    <xf numFmtId="164" fontId="1" fillId="2" borderId="7" xfId="1" applyNumberFormat="1" applyBorder="1">
      <alignment horizontal="right" vertical="center"/>
    </xf>
    <xf numFmtId="0" fontId="0" fillId="0" borderId="6" xfId="0" applyBorder="1"/>
    <xf numFmtId="0" fontId="18" fillId="0" borderId="6" xfId="0" applyFont="1" applyBorder="1" applyAlignment="1">
      <alignment horizontal="left" vertical="center" wrapText="1" indent="1"/>
    </xf>
    <xf numFmtId="1" fontId="3" fillId="0" borderId="8" xfId="3" applyNumberFormat="1" applyBorder="1">
      <alignment horizontal="right" vertical="center"/>
    </xf>
    <xf numFmtId="1" fontId="1" fillId="2" borderId="7" xfId="1" applyNumberFormat="1" applyBorder="1">
      <alignment horizontal="right" vertical="center"/>
    </xf>
    <xf numFmtId="2" fontId="1" fillId="2" borderId="7" xfId="1" applyNumberFormat="1" applyBorder="1">
      <alignment horizontal="right" vertical="center"/>
    </xf>
    <xf numFmtId="0" fontId="17" fillId="7" borderId="2" xfId="0" applyFont="1" applyFill="1" applyBorder="1" applyAlignment="1">
      <alignment horizontal="left" vertical="center" wrapText="1" indent="1"/>
    </xf>
    <xf numFmtId="0" fontId="17" fillId="7" borderId="2" xfId="0" applyFont="1" applyFill="1" applyBorder="1" applyAlignment="1">
      <alignment horizontal="right" vertical="center" wrapText="1"/>
    </xf>
    <xf numFmtId="0" fontId="19" fillId="7" borderId="4" xfId="0" applyFont="1" applyFill="1" applyBorder="1" applyAlignment="1">
      <alignment horizontal="right" vertical="center"/>
    </xf>
    <xf numFmtId="166" fontId="1" fillId="2" borderId="7" xfId="1" applyNumberFormat="1" applyBorder="1" applyAlignment="1">
      <alignment horizontal="left" vertical="center" indent="1"/>
    </xf>
    <xf numFmtId="167" fontId="1" fillId="2" borderId="7" xfId="1" applyNumberFormat="1" applyBorder="1">
      <alignment horizontal="right" vertical="center"/>
    </xf>
    <xf numFmtId="166" fontId="3" fillId="0" borderId="8" xfId="3" applyNumberFormat="1" applyBorder="1">
      <alignment horizontal="right" vertical="center"/>
    </xf>
    <xf numFmtId="168" fontId="3" fillId="0" borderId="8" xfId="3" applyNumberFormat="1" applyBorder="1">
      <alignment horizontal="right" vertical="center"/>
    </xf>
    <xf numFmtId="167" fontId="3" fillId="0" borderId="8" xfId="3" applyNumberFormat="1" applyBorder="1">
      <alignment horizontal="right" vertical="center"/>
    </xf>
    <xf numFmtId="10" fontId="3" fillId="0" borderId="8" xfId="3" applyNumberFormat="1" applyBorder="1">
      <alignment horizontal="right" vertical="center"/>
    </xf>
    <xf numFmtId="169" fontId="3" fillId="0" borderId="8" xfId="3" applyNumberFormat="1" applyBorder="1">
      <alignment horizontal="right" vertical="center"/>
    </xf>
    <xf numFmtId="0" fontId="3" fillId="0" borderId="8" xfId="3" applyBorder="1">
      <alignment horizontal="right" vertical="center"/>
    </xf>
    <xf numFmtId="0" fontId="20" fillId="3" borderId="7" xfId="2" applyFont="1" applyBorder="1" applyAlignment="1">
      <alignment horizontal="left" vertical="center" indent="1"/>
    </xf>
    <xf numFmtId="170" fontId="3" fillId="0" borderId="8" xfId="3" applyNumberFormat="1" applyBorder="1">
      <alignment horizontal="right" vertical="center"/>
    </xf>
    <xf numFmtId="2" fontId="3" fillId="0" borderId="8" xfId="3" applyNumberFormat="1" applyBorder="1">
      <alignment horizontal="right" vertical="center"/>
    </xf>
    <xf numFmtId="171" fontId="3" fillId="0" borderId="8" xfId="3" applyNumberFormat="1" applyBorder="1">
      <alignment horizontal="right" vertical="center"/>
    </xf>
    <xf numFmtId="0" fontId="12" fillId="0" borderId="6" xfId="0" applyFont="1" applyBorder="1" applyAlignment="1">
      <alignment horizontal="left" vertical="center" indent="1"/>
    </xf>
    <xf numFmtId="0" fontId="3" fillId="0" borderId="8" xfId="3" applyBorder="1" applyAlignment="1">
      <alignment horizontal="left" vertical="center" indent="1"/>
    </xf>
    <xf numFmtId="0" fontId="19" fillId="0" borderId="8" xfId="3" applyFont="1" applyBorder="1" applyAlignment="1">
      <alignment horizontal="left" vertical="center" indent="1"/>
    </xf>
    <xf numFmtId="0" fontId="13" fillId="0" borderId="0" xfId="0" applyFont="1" applyAlignment="1">
      <alignment horizontal="left" vertical="center" indent="1"/>
    </xf>
    <xf numFmtId="1" fontId="2" fillId="3" borderId="7" xfId="2" applyNumberFormat="1" applyBorder="1">
      <alignment horizontal="right" vertical="center"/>
    </xf>
    <xf numFmtId="0" fontId="21" fillId="0" borderId="6" xfId="0" applyFont="1" applyBorder="1" applyAlignment="1">
      <alignment horizontal="left" vertical="center" indent="1"/>
    </xf>
    <xf numFmtId="164" fontId="3" fillId="0" borderId="8" xfId="3" applyNumberFormat="1" applyBorder="1">
      <alignment horizontal="right" vertical="center"/>
    </xf>
    <xf numFmtId="9" fontId="3" fillId="0" borderId="8" xfId="3" applyNumberFormat="1" applyBorder="1">
      <alignment horizontal="right" vertical="center"/>
    </xf>
    <xf numFmtId="0" fontId="22" fillId="0" borderId="6" xfId="0" applyFont="1" applyBorder="1" applyAlignment="1">
      <alignment horizontal="center" vertical="center"/>
    </xf>
    <xf numFmtId="0" fontId="0" fillId="7" borderId="2" xfId="0" applyFill="1" applyBorder="1"/>
    <xf numFmtId="166" fontId="3" fillId="0" borderId="8" xfId="3" applyNumberFormat="1" applyBorder="1" applyAlignment="1">
      <alignment horizontal="left" vertical="center" indent="1"/>
    </xf>
    <xf numFmtId="167" fontId="4" fillId="4" borderId="9" xfId="4" applyNumberFormat="1" applyBorder="1">
      <alignment horizontal="right" vertical="center"/>
    </xf>
    <xf numFmtId="167" fontId="2" fillId="3" borderId="7" xfId="2" applyNumberFormat="1" applyBorder="1">
      <alignment horizontal="right" vertical="center"/>
    </xf>
    <xf numFmtId="1" fontId="3" fillId="0" borderId="8" xfId="3" applyNumberFormat="1" applyBorder="1" applyAlignment="1">
      <alignment horizontal="left" vertical="center" indent="1"/>
    </xf>
    <xf numFmtId="0" fontId="15" fillId="5" borderId="10" xfId="0" applyFont="1" applyFill="1" applyBorder="1" applyAlignment="1">
      <alignment horizontal="left" vertical="center" indent="1"/>
    </xf>
    <xf numFmtId="0" fontId="0" fillId="5" borderId="10" xfId="0" applyFill="1" applyBorder="1"/>
    <xf numFmtId="0" fontId="18" fillId="0" borderId="0" xfId="0" applyFont="1" applyAlignment="1">
      <alignment horizontal="left" vertical="center" indent="1"/>
    </xf>
    <xf numFmtId="0" fontId="23" fillId="0" borderId="5" xfId="0" applyFont="1" applyBorder="1"/>
    <xf numFmtId="172" fontId="1" fillId="5" borderId="7" xfId="5" applyNumberFormat="1" applyBorder="1">
      <alignment horizontal="right" vertical="center"/>
    </xf>
    <xf numFmtId="173" fontId="1" fillId="5" borderId="7" xfId="5" applyNumberFormat="1" applyBorder="1">
      <alignment horizontal="right" vertical="center"/>
    </xf>
    <xf numFmtId="9" fontId="3" fillId="0" borderId="2" xfId="3" applyNumberFormat="1">
      <alignment horizontal="right" vertical="center"/>
    </xf>
    <xf numFmtId="4" fontId="3" fillId="0" borderId="2" xfId="3" applyNumberFormat="1">
      <alignment horizontal="right" vertical="center"/>
    </xf>
    <xf numFmtId="174" fontId="21" fillId="0" borderId="0" xfId="0" applyNumberFormat="1" applyFont="1" applyAlignment="1">
      <alignment horizontal="left" vertical="center" indent="1"/>
    </xf>
    <xf numFmtId="0" fontId="3" fillId="0" borderId="0" xfId="0" applyFont="1" applyAlignment="1">
      <alignment horizontal="left" vertical="top" wrapText="1" indent="1"/>
    </xf>
    <xf numFmtId="0" fontId="0" fillId="0" borderId="0" xfId="0"/>
    <xf numFmtId="0" fontId="16" fillId="0" borderId="0" xfId="0" applyFont="1"/>
    <xf numFmtId="0" fontId="13" fillId="0" borderId="0" xfId="0" applyFont="1" applyAlignment="1">
      <alignment horizontal="left" vertical="center" wrapText="1" indent="1"/>
    </xf>
    <xf numFmtId="0" fontId="0" fillId="0" borderId="0" xfId="0" applyAlignment="1"/>
  </cellXfs>
  <cellStyles count="6">
    <cellStyle name="Normal" xfId="0" builtinId="0"/>
    <cellStyle name="Расчет" xfId="3" xr:uid="{00000000-0005-0000-0000-000003000000}"/>
    <cellStyle name="Исходное значение" xfId="1" xr:uid="{00000000-0005-0000-0000-000001000000}"/>
    <cellStyle name="Ключевой результат" xfId="4" xr:uid="{00000000-0005-0000-0000-000004000000}"/>
    <cellStyle name="Результат моделирования" xfId="5" xr:uid="{00000000-0005-0000-0000-000005000000}"/>
    <cellStyle name="Неопределенная величина" xfId="2" xr:uid="{00000000-0005-0000-0000-000002000000}"/>
  </cellStyles>
  <dxfs count="5">
    <dxf>
      <font>
        <color rgb="FF8B8E95"/>
      </font>
    </dxf>
    <dxf>
      <font>
        <color rgb="FF8B8E95"/>
      </font>
    </dxf>
    <dxf>
      <font>
        <color rgb="FFB45309"/>
      </font>
      <fill>
        <patternFill patternType="solid">
          <fgColor rgb="FFFEF3C7"/>
          <bgColor rgb="FFFEF3C7"/>
        </patternFill>
      </fill>
    </dxf>
    <dxf>
      <font>
        <b/>
        <color rgb="FFB91C1C"/>
      </font>
    </dxf>
    <dxf>
      <font>
        <b/>
        <color rgb="FFB91C1C"/>
      </font>
      <fill>
        <patternFill patternType="solid">
          <fgColor rgb="FFFEE2E2"/>
          <bgColor rgb="FFFEE2E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tx>
            <c:v>Среднемесячная цена</c:v>
          </c:tx>
          <c:spPr>
            <a:ln w="19050">
              <a:solidFill>
                <a:srgbClr val="2F3136"/>
              </a:solidFill>
              <a:prstDash val="solid"/>
            </a:ln>
          </c:spPr>
          <c:marker>
            <c:symbol val="none"/>
          </c:marker>
          <c:cat>
            <c:numRef>
              <c:f>'История'!$B$10:$B$129</c:f>
              <c:numCache>
                <c:formatCode>mmm\ yyyy</c:formatCode>
                <c:ptCount val="120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  <c:pt idx="117">
                  <c:v>46296</c:v>
                </c:pt>
                <c:pt idx="118">
                  <c:v>46327</c:v>
                </c:pt>
                <c:pt idx="119">
                  <c:v>46357</c:v>
                </c:pt>
              </c:numCache>
            </c:numRef>
          </c:cat>
          <c:val>
            <c:numRef>
              <c:f>'История'!$C$10:$C$129</c:f>
              <c:numCache>
                <c:formatCode>#,##0.00_);\(#,##0.00\);"–"_)</c:formatCode>
                <c:ptCount val="120"/>
                <c:pt idx="0">
                  <c:v>54</c:v>
                </c:pt>
                <c:pt idx="1">
                  <c:v>54.95</c:v>
                </c:pt>
                <c:pt idx="2">
                  <c:v>57.11</c:v>
                </c:pt>
                <c:pt idx="3">
                  <c:v>56.73</c:v>
                </c:pt>
                <c:pt idx="4">
                  <c:v>53.83</c:v>
                </c:pt>
                <c:pt idx="5">
                  <c:v>52.94</c:v>
                </c:pt>
                <c:pt idx="6">
                  <c:v>50.06</c:v>
                </c:pt>
                <c:pt idx="7">
                  <c:v>51.4</c:v>
                </c:pt>
                <c:pt idx="8">
                  <c:v>57.99</c:v>
                </c:pt>
                <c:pt idx="9">
                  <c:v>56.62</c:v>
                </c:pt>
                <c:pt idx="10">
                  <c:v>54.83</c:v>
                </c:pt>
                <c:pt idx="11">
                  <c:v>57.82</c:v>
                </c:pt>
                <c:pt idx="12">
                  <c:v>60.18</c:v>
                </c:pt>
                <c:pt idx="13">
                  <c:v>61.31</c:v>
                </c:pt>
                <c:pt idx="14">
                  <c:v>57.73</c:v>
                </c:pt>
                <c:pt idx="15">
                  <c:v>58.37</c:v>
                </c:pt>
                <c:pt idx="16">
                  <c:v>62.28</c:v>
                </c:pt>
                <c:pt idx="17">
                  <c:v>56.8</c:v>
                </c:pt>
                <c:pt idx="18">
                  <c:v>55.67</c:v>
                </c:pt>
                <c:pt idx="19">
                  <c:v>49.02</c:v>
                </c:pt>
                <c:pt idx="20">
                  <c:v>45.54</c:v>
                </c:pt>
                <c:pt idx="21">
                  <c:v>40.770000000000003</c:v>
                </c:pt>
                <c:pt idx="22">
                  <c:v>41.45</c:v>
                </c:pt>
                <c:pt idx="23">
                  <c:v>38.96</c:v>
                </c:pt>
                <c:pt idx="24">
                  <c:v>41.25</c:v>
                </c:pt>
                <c:pt idx="25">
                  <c:v>43.16</c:v>
                </c:pt>
                <c:pt idx="26">
                  <c:v>43.88</c:v>
                </c:pt>
                <c:pt idx="27">
                  <c:v>37.43</c:v>
                </c:pt>
                <c:pt idx="28">
                  <c:v>37.39</c:v>
                </c:pt>
                <c:pt idx="29">
                  <c:v>38.75</c:v>
                </c:pt>
                <c:pt idx="30">
                  <c:v>40.56</c:v>
                </c:pt>
                <c:pt idx="31">
                  <c:v>37.43</c:v>
                </c:pt>
                <c:pt idx="32">
                  <c:v>37.56</c:v>
                </c:pt>
                <c:pt idx="33">
                  <c:v>36.29</c:v>
                </c:pt>
                <c:pt idx="34">
                  <c:v>35.590000000000003</c:v>
                </c:pt>
                <c:pt idx="35">
                  <c:v>40.200000000000003</c:v>
                </c:pt>
                <c:pt idx="36">
                  <c:v>39.18</c:v>
                </c:pt>
                <c:pt idx="37">
                  <c:v>40.54</c:v>
                </c:pt>
                <c:pt idx="38">
                  <c:v>44.84</c:v>
                </c:pt>
                <c:pt idx="39">
                  <c:v>35.43</c:v>
                </c:pt>
                <c:pt idx="40">
                  <c:v>29.43</c:v>
                </c:pt>
                <c:pt idx="41">
                  <c:v>31.31</c:v>
                </c:pt>
                <c:pt idx="42">
                  <c:v>33.07</c:v>
                </c:pt>
                <c:pt idx="43">
                  <c:v>31.61</c:v>
                </c:pt>
                <c:pt idx="44">
                  <c:v>33.4</c:v>
                </c:pt>
                <c:pt idx="45">
                  <c:v>38.729999999999997</c:v>
                </c:pt>
                <c:pt idx="46">
                  <c:v>35.79</c:v>
                </c:pt>
                <c:pt idx="47">
                  <c:v>39.81</c:v>
                </c:pt>
                <c:pt idx="48">
                  <c:v>41.62</c:v>
                </c:pt>
                <c:pt idx="49">
                  <c:v>40.99</c:v>
                </c:pt>
                <c:pt idx="50">
                  <c:v>49.26</c:v>
                </c:pt>
                <c:pt idx="51">
                  <c:v>53.36</c:v>
                </c:pt>
                <c:pt idx="52">
                  <c:v>49.66</c:v>
                </c:pt>
                <c:pt idx="53">
                  <c:v>51.06</c:v>
                </c:pt>
                <c:pt idx="54">
                  <c:v>54.43</c:v>
                </c:pt>
                <c:pt idx="55">
                  <c:v>54.57</c:v>
                </c:pt>
                <c:pt idx="56">
                  <c:v>58.4</c:v>
                </c:pt>
                <c:pt idx="57">
                  <c:v>58.85</c:v>
                </c:pt>
                <c:pt idx="58">
                  <c:v>62.62</c:v>
                </c:pt>
                <c:pt idx="59">
                  <c:v>70.34</c:v>
                </c:pt>
                <c:pt idx="60">
                  <c:v>66.959999999999994</c:v>
                </c:pt>
                <c:pt idx="61">
                  <c:v>68.28</c:v>
                </c:pt>
                <c:pt idx="62">
                  <c:v>66.16</c:v>
                </c:pt>
                <c:pt idx="63">
                  <c:v>86.2</c:v>
                </c:pt>
                <c:pt idx="64">
                  <c:v>78.010000000000005</c:v>
                </c:pt>
                <c:pt idx="65">
                  <c:v>74.34</c:v>
                </c:pt>
                <c:pt idx="66">
                  <c:v>73.11</c:v>
                </c:pt>
                <c:pt idx="67">
                  <c:v>78.14</c:v>
                </c:pt>
                <c:pt idx="68">
                  <c:v>84.73</c:v>
                </c:pt>
                <c:pt idx="69">
                  <c:v>75.98</c:v>
                </c:pt>
                <c:pt idx="70">
                  <c:v>71.349999999999994</c:v>
                </c:pt>
                <c:pt idx="71">
                  <c:v>74.94</c:v>
                </c:pt>
                <c:pt idx="72">
                  <c:v>64.38</c:v>
                </c:pt>
                <c:pt idx="73">
                  <c:v>62.6</c:v>
                </c:pt>
                <c:pt idx="74">
                  <c:v>62.67</c:v>
                </c:pt>
                <c:pt idx="75">
                  <c:v>69.44</c:v>
                </c:pt>
                <c:pt idx="76">
                  <c:v>73.290000000000006</c:v>
                </c:pt>
                <c:pt idx="77">
                  <c:v>71.430000000000007</c:v>
                </c:pt>
                <c:pt idx="78">
                  <c:v>69.52</c:v>
                </c:pt>
                <c:pt idx="79">
                  <c:v>68.37</c:v>
                </c:pt>
                <c:pt idx="80">
                  <c:v>76.88</c:v>
                </c:pt>
                <c:pt idx="81">
                  <c:v>74.16</c:v>
                </c:pt>
                <c:pt idx="82">
                  <c:v>72.36</c:v>
                </c:pt>
                <c:pt idx="83">
                  <c:v>74.28</c:v>
                </c:pt>
                <c:pt idx="84">
                  <c:v>73.47</c:v>
                </c:pt>
                <c:pt idx="85">
                  <c:v>72.31</c:v>
                </c:pt>
                <c:pt idx="86">
                  <c:v>66.489999999999995</c:v>
                </c:pt>
                <c:pt idx="87">
                  <c:v>66.75</c:v>
                </c:pt>
                <c:pt idx="88">
                  <c:v>64.86</c:v>
                </c:pt>
                <c:pt idx="89">
                  <c:v>71.239999999999995</c:v>
                </c:pt>
                <c:pt idx="90">
                  <c:v>74.86</c:v>
                </c:pt>
                <c:pt idx="91">
                  <c:v>74.55</c:v>
                </c:pt>
                <c:pt idx="92">
                  <c:v>78.22</c:v>
                </c:pt>
                <c:pt idx="93">
                  <c:v>75.87</c:v>
                </c:pt>
                <c:pt idx="94">
                  <c:v>81.84</c:v>
                </c:pt>
                <c:pt idx="95">
                  <c:v>81.19</c:v>
                </c:pt>
                <c:pt idx="96">
                  <c:v>84.21</c:v>
                </c:pt>
                <c:pt idx="97">
                  <c:v>75.72</c:v>
                </c:pt>
                <c:pt idx="98">
                  <c:v>77.48</c:v>
                </c:pt>
                <c:pt idx="99">
                  <c:v>67.97</c:v>
                </c:pt>
                <c:pt idx="100">
                  <c:v>58.55</c:v>
                </c:pt>
                <c:pt idx="101">
                  <c:v>57.94</c:v>
                </c:pt>
                <c:pt idx="102">
                  <c:v>54.87</c:v>
                </c:pt>
                <c:pt idx="103">
                  <c:v>56.46</c:v>
                </c:pt>
                <c:pt idx="104">
                  <c:v>67.8</c:v>
                </c:pt>
                <c:pt idx="105">
                  <c:v>63.93</c:v>
                </c:pt>
                <c:pt idx="106">
                  <c:v>61.44</c:v>
                </c:pt>
                <c:pt idx="107">
                  <c:v>62.99</c:v>
                </c:pt>
                <c:pt idx="108">
                  <c:v>65.89</c:v>
                </c:pt>
                <c:pt idx="109">
                  <c:v>65.37</c:v>
                </c:pt>
                <c:pt idx="110">
                  <c:v>64.739999999999995</c:v>
                </c:pt>
                <c:pt idx="111">
                  <c:v>68.680000000000007</c:v>
                </c:pt>
                <c:pt idx="112">
                  <c:v>71.62</c:v>
                </c:pt>
                <c:pt idx="113">
                  <c:v>66.290000000000006</c:v>
                </c:pt>
                <c:pt idx="114">
                  <c:v>66.23</c:v>
                </c:pt>
                <c:pt idx="115">
                  <c:v>66.739999999999995</c:v>
                </c:pt>
                <c:pt idx="116">
                  <c:v>61.95</c:v>
                </c:pt>
                <c:pt idx="117">
                  <c:v>63.74</c:v>
                </c:pt>
                <c:pt idx="118">
                  <c:v>60.2</c:v>
                </c:pt>
                <c:pt idx="119">
                  <c:v>65.459999999999994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88-4872-80FD-392A73D5C3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dateAx>
        <c:axId val="10"/>
        <c:scaling>
          <c:orientation val="minMax"/>
        </c:scaling>
        <c:delete val="0"/>
        <c:axPos val="b"/>
        <c:numFmt formatCode="yyyy" sourceLinked="0"/>
        <c:majorTickMark val="none"/>
        <c:minorTickMark val="none"/>
        <c:tickLblPos val="nextTo"/>
        <c:crossAx val="100"/>
        <c:crosses val="autoZero"/>
        <c:auto val="1"/>
        <c:lblOffset val="100"/>
        <c:baseTimeUnit val="months"/>
        <c:majorUnit val="12"/>
        <c:minorUnit val="12"/>
      </c:dateAx>
      <c:valAx>
        <c:axId val="100"/>
        <c:scaling>
          <c:orientation val="minMax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Цена (долл./барр.)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tx>
            <c:v>Случайное блуждание (GBM)</c:v>
          </c:tx>
          <c:spPr>
            <a:ln w="19050">
              <a:solidFill>
                <a:srgbClr val="2F3136"/>
              </a:solidFill>
              <a:prstDash val="solid"/>
            </a:ln>
          </c:spPr>
          <c:marker>
            <c:symbol val="none"/>
          </c:marker>
          <c:cat>
            <c:numRef>
              <c:f>'Прогноз'!$C$10:$C$69</c:f>
              <c:numCache>
                <c:formatCode>mmm\ yyyy</c:formatCode>
                <c:ptCount val="60"/>
                <c:pt idx="0">
                  <c:v>46388</c:v>
                </c:pt>
                <c:pt idx="1">
                  <c:v>46419</c:v>
                </c:pt>
                <c:pt idx="2">
                  <c:v>46447</c:v>
                </c:pt>
                <c:pt idx="3">
                  <c:v>46478</c:v>
                </c:pt>
                <c:pt idx="4">
                  <c:v>46508</c:v>
                </c:pt>
                <c:pt idx="5">
                  <c:v>46539</c:v>
                </c:pt>
                <c:pt idx="6">
                  <c:v>46569</c:v>
                </c:pt>
                <c:pt idx="7">
                  <c:v>46600</c:v>
                </c:pt>
                <c:pt idx="8">
                  <c:v>46631</c:v>
                </c:pt>
                <c:pt idx="9">
                  <c:v>46661</c:v>
                </c:pt>
                <c:pt idx="10">
                  <c:v>46692</c:v>
                </c:pt>
                <c:pt idx="11">
                  <c:v>46722</c:v>
                </c:pt>
                <c:pt idx="12">
                  <c:v>46753</c:v>
                </c:pt>
                <c:pt idx="13">
                  <c:v>46784</c:v>
                </c:pt>
                <c:pt idx="14">
                  <c:v>46813</c:v>
                </c:pt>
                <c:pt idx="15">
                  <c:v>46844</c:v>
                </c:pt>
                <c:pt idx="16">
                  <c:v>46874</c:v>
                </c:pt>
                <c:pt idx="17">
                  <c:v>46905</c:v>
                </c:pt>
                <c:pt idx="18">
                  <c:v>46935</c:v>
                </c:pt>
                <c:pt idx="19">
                  <c:v>46966</c:v>
                </c:pt>
                <c:pt idx="20">
                  <c:v>46997</c:v>
                </c:pt>
                <c:pt idx="21">
                  <c:v>47027</c:v>
                </c:pt>
                <c:pt idx="22">
                  <c:v>47058</c:v>
                </c:pt>
                <c:pt idx="23">
                  <c:v>47088</c:v>
                </c:pt>
                <c:pt idx="24">
                  <c:v>47119</c:v>
                </c:pt>
                <c:pt idx="25">
                  <c:v>47150</c:v>
                </c:pt>
                <c:pt idx="26">
                  <c:v>47178</c:v>
                </c:pt>
                <c:pt idx="27">
                  <c:v>47209</c:v>
                </c:pt>
                <c:pt idx="28">
                  <c:v>47239</c:v>
                </c:pt>
                <c:pt idx="29">
                  <c:v>47270</c:v>
                </c:pt>
                <c:pt idx="30">
                  <c:v>47300</c:v>
                </c:pt>
                <c:pt idx="31">
                  <c:v>47331</c:v>
                </c:pt>
                <c:pt idx="32">
                  <c:v>47362</c:v>
                </c:pt>
                <c:pt idx="33">
                  <c:v>47392</c:v>
                </c:pt>
                <c:pt idx="34">
                  <c:v>47423</c:v>
                </c:pt>
                <c:pt idx="35">
                  <c:v>47453</c:v>
                </c:pt>
                <c:pt idx="36">
                  <c:v>47484</c:v>
                </c:pt>
                <c:pt idx="37">
                  <c:v>47515</c:v>
                </c:pt>
                <c:pt idx="38">
                  <c:v>47543</c:v>
                </c:pt>
                <c:pt idx="39">
                  <c:v>47574</c:v>
                </c:pt>
                <c:pt idx="40">
                  <c:v>47604</c:v>
                </c:pt>
                <c:pt idx="41">
                  <c:v>47635</c:v>
                </c:pt>
                <c:pt idx="42">
                  <c:v>47665</c:v>
                </c:pt>
                <c:pt idx="43">
                  <c:v>47696</c:v>
                </c:pt>
                <c:pt idx="44">
                  <c:v>47727</c:v>
                </c:pt>
                <c:pt idx="45">
                  <c:v>47757</c:v>
                </c:pt>
                <c:pt idx="46">
                  <c:v>47788</c:v>
                </c:pt>
                <c:pt idx="47">
                  <c:v>47818</c:v>
                </c:pt>
                <c:pt idx="48">
                  <c:v>47849</c:v>
                </c:pt>
                <c:pt idx="49">
                  <c:v>47880</c:v>
                </c:pt>
                <c:pt idx="50">
                  <c:v>47908</c:v>
                </c:pt>
                <c:pt idx="51">
                  <c:v>47939</c:v>
                </c:pt>
                <c:pt idx="52">
                  <c:v>47969</c:v>
                </c:pt>
                <c:pt idx="53">
                  <c:v>48000</c:v>
                </c:pt>
                <c:pt idx="54">
                  <c:v>48030</c:v>
                </c:pt>
                <c:pt idx="55">
                  <c:v>48061</c:v>
                </c:pt>
                <c:pt idx="56">
                  <c:v>48092</c:v>
                </c:pt>
                <c:pt idx="57">
                  <c:v>48122</c:v>
                </c:pt>
                <c:pt idx="58">
                  <c:v>48153</c:v>
                </c:pt>
                <c:pt idx="59">
                  <c:v>48183</c:v>
                </c:pt>
              </c:numCache>
            </c:numRef>
          </c:cat>
          <c:val>
            <c:numRef>
              <c:f>'Прогноз'!$E$10:$E$69</c:f>
              <c:numCache>
                <c:formatCode>#,##0.00_);\(#,##0.00\);"–"_)</c:formatCode>
                <c:ptCount val="60"/>
                <c:pt idx="0">
                  <c:v>70.167095906794444</c:v>
                </c:pt>
                <c:pt idx="1">
                  <c:v>72.926920201950665</c:v>
                </c:pt>
                <c:pt idx="2">
                  <c:v>76.523066991330708</c:v>
                </c:pt>
                <c:pt idx="3">
                  <c:v>75.004719693909692</c:v>
                </c:pt>
                <c:pt idx="4">
                  <c:v>81.259044951912188</c:v>
                </c:pt>
                <c:pt idx="5">
                  <c:v>78.070759932486411</c:v>
                </c:pt>
                <c:pt idx="6">
                  <c:v>75.40882457934903</c:v>
                </c:pt>
                <c:pt idx="7">
                  <c:v>71.939240832204121</c:v>
                </c:pt>
                <c:pt idx="8">
                  <c:v>71.9916770716234</c:v>
                </c:pt>
                <c:pt idx="9">
                  <c:v>65.394432315383781</c:v>
                </c:pt>
                <c:pt idx="10">
                  <c:v>65.231552571711816</c:v>
                </c:pt>
                <c:pt idx="11">
                  <c:v>66.761807587595243</c:v>
                </c:pt>
                <c:pt idx="12">
                  <c:v>64.518484104848511</c:v>
                </c:pt>
                <c:pt idx="13">
                  <c:v>52.905856170929802</c:v>
                </c:pt>
                <c:pt idx="14">
                  <c:v>51.033495273720121</c:v>
                </c:pt>
                <c:pt idx="15">
                  <c:v>52.613800277671842</c:v>
                </c:pt>
                <c:pt idx="16">
                  <c:v>50.304478473874276</c:v>
                </c:pt>
                <c:pt idx="17">
                  <c:v>56.520061397714827</c:v>
                </c:pt>
                <c:pt idx="18">
                  <c:v>47.651513430072093</c:v>
                </c:pt>
                <c:pt idx="19">
                  <c:v>43.960898519444179</c:v>
                </c:pt>
                <c:pt idx="20">
                  <c:v>44.213367621341057</c:v>
                </c:pt>
                <c:pt idx="21">
                  <c:v>43.839455246759009</c:v>
                </c:pt>
                <c:pt idx="22">
                  <c:v>37.350184892281284</c:v>
                </c:pt>
                <c:pt idx="23">
                  <c:v>33.533115885152938</c:v>
                </c:pt>
                <c:pt idx="24">
                  <c:v>31.721881732643247</c:v>
                </c:pt>
                <c:pt idx="25">
                  <c:v>35.441382238832354</c:v>
                </c:pt>
                <c:pt idx="26">
                  <c:v>36.807938573547965</c:v>
                </c:pt>
                <c:pt idx="27">
                  <c:v>34.528672787707698</c:v>
                </c:pt>
                <c:pt idx="28">
                  <c:v>31.787217400959268</c:v>
                </c:pt>
                <c:pt idx="29">
                  <c:v>31.317608233976223</c:v>
                </c:pt>
                <c:pt idx="30">
                  <c:v>30.367737893422181</c:v>
                </c:pt>
                <c:pt idx="31">
                  <c:v>32.218890200160416</c:v>
                </c:pt>
                <c:pt idx="32">
                  <c:v>34.501594717939618</c:v>
                </c:pt>
                <c:pt idx="33">
                  <c:v>34.910507967712569</c:v>
                </c:pt>
                <c:pt idx="34">
                  <c:v>34.717241627350745</c:v>
                </c:pt>
                <c:pt idx="35">
                  <c:v>34.315499598716762</c:v>
                </c:pt>
                <c:pt idx="36">
                  <c:v>36.41956451312263</c:v>
                </c:pt>
                <c:pt idx="37">
                  <c:v>38.560376706803254</c:v>
                </c:pt>
                <c:pt idx="38">
                  <c:v>37.10662464334618</c:v>
                </c:pt>
                <c:pt idx="39">
                  <c:v>43.644035836573622</c:v>
                </c:pt>
                <c:pt idx="40">
                  <c:v>46.103203183213736</c:v>
                </c:pt>
                <c:pt idx="41">
                  <c:v>46.605998727791395</c:v>
                </c:pt>
                <c:pt idx="42">
                  <c:v>42.332082998819729</c:v>
                </c:pt>
                <c:pt idx="43">
                  <c:v>40.044120869490236</c:v>
                </c:pt>
                <c:pt idx="44">
                  <c:v>39.499197644160006</c:v>
                </c:pt>
                <c:pt idx="45">
                  <c:v>39.418559518035885</c:v>
                </c:pt>
                <c:pt idx="46">
                  <c:v>42.994823205823245</c:v>
                </c:pt>
                <c:pt idx="47">
                  <c:v>39.282450007462153</c:v>
                </c:pt>
                <c:pt idx="48">
                  <c:v>37.853906741253333</c:v>
                </c:pt>
                <c:pt idx="49">
                  <c:v>39.503800556600979</c:v>
                </c:pt>
                <c:pt idx="50">
                  <c:v>37.557484094246107</c:v>
                </c:pt>
                <c:pt idx="51">
                  <c:v>33.945379716315017</c:v>
                </c:pt>
                <c:pt idx="52">
                  <c:v>38.572611838976911</c:v>
                </c:pt>
                <c:pt idx="53">
                  <c:v>40.552810885738097</c:v>
                </c:pt>
                <c:pt idx="54">
                  <c:v>42.573640126877955</c:v>
                </c:pt>
                <c:pt idx="55">
                  <c:v>40.009651347137599</c:v>
                </c:pt>
                <c:pt idx="56">
                  <c:v>43.902551934100174</c:v>
                </c:pt>
                <c:pt idx="57">
                  <c:v>51.379660255476409</c:v>
                </c:pt>
                <c:pt idx="58">
                  <c:v>50.34321110974664</c:v>
                </c:pt>
                <c:pt idx="59">
                  <c:v>46.381128818113844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FC-44A5-B84A-7AA3DEA9C639}"/>
            </c:ext>
          </c:extLst>
        </c:ser>
        <c:ser>
          <c:idx val="1"/>
          <c:order val="1"/>
          <c:tx>
            <c:v>Возврат к среднему (GBMVR)</c:v>
          </c:tx>
          <c:spPr>
            <a:ln w="19050">
              <a:solidFill>
                <a:srgbClr val="B45309"/>
              </a:solidFill>
              <a:prstDash val="solid"/>
            </a:ln>
          </c:spPr>
          <c:marker>
            <c:symbol val="none"/>
          </c:marker>
          <c:cat>
            <c:numRef>
              <c:f>'Прогноз'!$C$10:$C$69</c:f>
              <c:numCache>
                <c:formatCode>mmm\ yyyy</c:formatCode>
                <c:ptCount val="60"/>
                <c:pt idx="0">
                  <c:v>46388</c:v>
                </c:pt>
                <c:pt idx="1">
                  <c:v>46419</c:v>
                </c:pt>
                <c:pt idx="2">
                  <c:v>46447</c:v>
                </c:pt>
                <c:pt idx="3">
                  <c:v>46478</c:v>
                </c:pt>
                <c:pt idx="4">
                  <c:v>46508</c:v>
                </c:pt>
                <c:pt idx="5">
                  <c:v>46539</c:v>
                </c:pt>
                <c:pt idx="6">
                  <c:v>46569</c:v>
                </c:pt>
                <c:pt idx="7">
                  <c:v>46600</c:v>
                </c:pt>
                <c:pt idx="8">
                  <c:v>46631</c:v>
                </c:pt>
                <c:pt idx="9">
                  <c:v>46661</c:v>
                </c:pt>
                <c:pt idx="10">
                  <c:v>46692</c:v>
                </c:pt>
                <c:pt idx="11">
                  <c:v>46722</c:v>
                </c:pt>
                <c:pt idx="12">
                  <c:v>46753</c:v>
                </c:pt>
                <c:pt idx="13">
                  <c:v>46784</c:v>
                </c:pt>
                <c:pt idx="14">
                  <c:v>46813</c:v>
                </c:pt>
                <c:pt idx="15">
                  <c:v>46844</c:v>
                </c:pt>
                <c:pt idx="16">
                  <c:v>46874</c:v>
                </c:pt>
                <c:pt idx="17">
                  <c:v>46905</c:v>
                </c:pt>
                <c:pt idx="18">
                  <c:v>46935</c:v>
                </c:pt>
                <c:pt idx="19">
                  <c:v>46966</c:v>
                </c:pt>
                <c:pt idx="20">
                  <c:v>46997</c:v>
                </c:pt>
                <c:pt idx="21">
                  <c:v>47027</c:v>
                </c:pt>
                <c:pt idx="22">
                  <c:v>47058</c:v>
                </c:pt>
                <c:pt idx="23">
                  <c:v>47088</c:v>
                </c:pt>
                <c:pt idx="24">
                  <c:v>47119</c:v>
                </c:pt>
                <c:pt idx="25">
                  <c:v>47150</c:v>
                </c:pt>
                <c:pt idx="26">
                  <c:v>47178</c:v>
                </c:pt>
                <c:pt idx="27">
                  <c:v>47209</c:v>
                </c:pt>
                <c:pt idx="28">
                  <c:v>47239</c:v>
                </c:pt>
                <c:pt idx="29">
                  <c:v>47270</c:v>
                </c:pt>
                <c:pt idx="30">
                  <c:v>47300</c:v>
                </c:pt>
                <c:pt idx="31">
                  <c:v>47331</c:v>
                </c:pt>
                <c:pt idx="32">
                  <c:v>47362</c:v>
                </c:pt>
                <c:pt idx="33">
                  <c:v>47392</c:v>
                </c:pt>
                <c:pt idx="34">
                  <c:v>47423</c:v>
                </c:pt>
                <c:pt idx="35">
                  <c:v>47453</c:v>
                </c:pt>
                <c:pt idx="36">
                  <c:v>47484</c:v>
                </c:pt>
                <c:pt idx="37">
                  <c:v>47515</c:v>
                </c:pt>
                <c:pt idx="38">
                  <c:v>47543</c:v>
                </c:pt>
                <c:pt idx="39">
                  <c:v>47574</c:v>
                </c:pt>
                <c:pt idx="40">
                  <c:v>47604</c:v>
                </c:pt>
                <c:pt idx="41">
                  <c:v>47635</c:v>
                </c:pt>
                <c:pt idx="42">
                  <c:v>47665</c:v>
                </c:pt>
                <c:pt idx="43">
                  <c:v>47696</c:v>
                </c:pt>
                <c:pt idx="44">
                  <c:v>47727</c:v>
                </c:pt>
                <c:pt idx="45">
                  <c:v>47757</c:v>
                </c:pt>
                <c:pt idx="46">
                  <c:v>47788</c:v>
                </c:pt>
                <c:pt idx="47">
                  <c:v>47818</c:v>
                </c:pt>
                <c:pt idx="48">
                  <c:v>47849</c:v>
                </c:pt>
                <c:pt idx="49">
                  <c:v>47880</c:v>
                </c:pt>
                <c:pt idx="50">
                  <c:v>47908</c:v>
                </c:pt>
                <c:pt idx="51">
                  <c:v>47939</c:v>
                </c:pt>
                <c:pt idx="52">
                  <c:v>47969</c:v>
                </c:pt>
                <c:pt idx="53">
                  <c:v>48000</c:v>
                </c:pt>
                <c:pt idx="54">
                  <c:v>48030</c:v>
                </c:pt>
                <c:pt idx="55">
                  <c:v>48061</c:v>
                </c:pt>
                <c:pt idx="56">
                  <c:v>48092</c:v>
                </c:pt>
                <c:pt idx="57">
                  <c:v>48122</c:v>
                </c:pt>
                <c:pt idx="58">
                  <c:v>48153</c:v>
                </c:pt>
                <c:pt idx="59">
                  <c:v>48183</c:v>
                </c:pt>
              </c:numCache>
            </c:numRef>
          </c:cat>
          <c:val>
            <c:numRef>
              <c:f>'Прогноз'!$F$10:$F$69</c:f>
              <c:numCache>
                <c:formatCode>#,##0.00_);\(#,##0.00\);"–"_)</c:formatCode>
                <c:ptCount val="60"/>
                <c:pt idx="0">
                  <c:v>53.235941568146139</c:v>
                </c:pt>
                <c:pt idx="1">
                  <c:v>50.659313729711215</c:v>
                </c:pt>
                <c:pt idx="2">
                  <c:v>50.70570603196024</c:v>
                </c:pt>
                <c:pt idx="3">
                  <c:v>55.176560923651692</c:v>
                </c:pt>
                <c:pt idx="4">
                  <c:v>59.836305772166106</c:v>
                </c:pt>
                <c:pt idx="5">
                  <c:v>64.153104800085416</c:v>
                </c:pt>
                <c:pt idx="6">
                  <c:v>63.429171401887444</c:v>
                </c:pt>
                <c:pt idx="7">
                  <c:v>71.78537524572333</c:v>
                </c:pt>
                <c:pt idx="8">
                  <c:v>72.000496074229929</c:v>
                </c:pt>
                <c:pt idx="9">
                  <c:v>68.799014218598643</c:v>
                </c:pt>
                <c:pt idx="10">
                  <c:v>63.247136697976416</c:v>
                </c:pt>
                <c:pt idx="11">
                  <c:v>63.331601702863175</c:v>
                </c:pt>
                <c:pt idx="12">
                  <c:v>61.482105353735562</c:v>
                </c:pt>
                <c:pt idx="13">
                  <c:v>59.288301803201456</c:v>
                </c:pt>
                <c:pt idx="14">
                  <c:v>68.582694670853513</c:v>
                </c:pt>
                <c:pt idx="15">
                  <c:v>65.192836885825983</c:v>
                </c:pt>
                <c:pt idx="16">
                  <c:v>67.783063816979137</c:v>
                </c:pt>
                <c:pt idx="17">
                  <c:v>63.07635702028324</c:v>
                </c:pt>
                <c:pt idx="18">
                  <c:v>59.679855878328596</c:v>
                </c:pt>
                <c:pt idx="19">
                  <c:v>52.096747363209502</c:v>
                </c:pt>
                <c:pt idx="20">
                  <c:v>52.137898290057542</c:v>
                </c:pt>
                <c:pt idx="21">
                  <c:v>49.251588792388844</c:v>
                </c:pt>
                <c:pt idx="22">
                  <c:v>47.089265814320711</c:v>
                </c:pt>
                <c:pt idx="23">
                  <c:v>49.924040064426109</c:v>
                </c:pt>
                <c:pt idx="24">
                  <c:v>58.058072985459795</c:v>
                </c:pt>
                <c:pt idx="25">
                  <c:v>47.662226486544853</c:v>
                </c:pt>
                <c:pt idx="26">
                  <c:v>48.923518166972343</c:v>
                </c:pt>
                <c:pt idx="27">
                  <c:v>51.165719647632258</c:v>
                </c:pt>
                <c:pt idx="28">
                  <c:v>58.148089958365134</c:v>
                </c:pt>
                <c:pt idx="29">
                  <c:v>56.676870007350736</c:v>
                </c:pt>
                <c:pt idx="30">
                  <c:v>58.868928741407636</c:v>
                </c:pt>
                <c:pt idx="31">
                  <c:v>63.632254536865823</c:v>
                </c:pt>
                <c:pt idx="32">
                  <c:v>65.836524963390403</c:v>
                </c:pt>
                <c:pt idx="33">
                  <c:v>63.819174440835994</c:v>
                </c:pt>
                <c:pt idx="34">
                  <c:v>55.923838823530694</c:v>
                </c:pt>
                <c:pt idx="35">
                  <c:v>46.701856372620774</c:v>
                </c:pt>
                <c:pt idx="36">
                  <c:v>50.853959835705325</c:v>
                </c:pt>
                <c:pt idx="37">
                  <c:v>50.959377850539354</c:v>
                </c:pt>
                <c:pt idx="38">
                  <c:v>52.732770486475523</c:v>
                </c:pt>
                <c:pt idx="39">
                  <c:v>52.719445034715633</c:v>
                </c:pt>
                <c:pt idx="40">
                  <c:v>56.728616029744401</c:v>
                </c:pt>
                <c:pt idx="41">
                  <c:v>50.090647039333525</c:v>
                </c:pt>
                <c:pt idx="42">
                  <c:v>52.909026068478219</c:v>
                </c:pt>
                <c:pt idx="43">
                  <c:v>64.321036307770143</c:v>
                </c:pt>
                <c:pt idx="44">
                  <c:v>60.574397614508484</c:v>
                </c:pt>
                <c:pt idx="45">
                  <c:v>58.678153017279989</c:v>
                </c:pt>
                <c:pt idx="46">
                  <c:v>63.627034275444586</c:v>
                </c:pt>
                <c:pt idx="47">
                  <c:v>68.86653719643536</c:v>
                </c:pt>
                <c:pt idx="48">
                  <c:v>77.653808326763482</c:v>
                </c:pt>
                <c:pt idx="49">
                  <c:v>59.69711429237806</c:v>
                </c:pt>
                <c:pt idx="50">
                  <c:v>60.729897032738272</c:v>
                </c:pt>
                <c:pt idx="51">
                  <c:v>72.874719793669115</c:v>
                </c:pt>
                <c:pt idx="52">
                  <c:v>74.284673118419235</c:v>
                </c:pt>
                <c:pt idx="53">
                  <c:v>70.084971526430522</c:v>
                </c:pt>
                <c:pt idx="54">
                  <c:v>65.673010288651184</c:v>
                </c:pt>
                <c:pt idx="55">
                  <c:v>70.24931762594899</c:v>
                </c:pt>
                <c:pt idx="56">
                  <c:v>69.027044271645423</c:v>
                </c:pt>
                <c:pt idx="57">
                  <c:v>70.553709552919614</c:v>
                </c:pt>
                <c:pt idx="58">
                  <c:v>68.279322520816251</c:v>
                </c:pt>
                <c:pt idx="59">
                  <c:v>71.913567472464479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FC-44A5-B84A-7AA3DEA9C639}"/>
            </c:ext>
          </c:extLst>
        </c:ser>
        <c:ser>
          <c:idx val="2"/>
          <c:order val="2"/>
          <c:tx>
            <c:v>Со скачками (GBMAJVR)</c:v>
          </c:tx>
          <c:spPr>
            <a:ln w="19050">
              <a:solidFill>
                <a:srgbClr val="15803D"/>
              </a:solidFill>
              <a:prstDash val="solid"/>
            </a:ln>
          </c:spPr>
          <c:marker>
            <c:symbol val="none"/>
          </c:marker>
          <c:cat>
            <c:numRef>
              <c:f>'Прогноз'!$C$10:$C$69</c:f>
              <c:numCache>
                <c:formatCode>mmm\ yyyy</c:formatCode>
                <c:ptCount val="60"/>
                <c:pt idx="0">
                  <c:v>46388</c:v>
                </c:pt>
                <c:pt idx="1">
                  <c:v>46419</c:v>
                </c:pt>
                <c:pt idx="2">
                  <c:v>46447</c:v>
                </c:pt>
                <c:pt idx="3">
                  <c:v>46478</c:v>
                </c:pt>
                <c:pt idx="4">
                  <c:v>46508</c:v>
                </c:pt>
                <c:pt idx="5">
                  <c:v>46539</c:v>
                </c:pt>
                <c:pt idx="6">
                  <c:v>46569</c:v>
                </c:pt>
                <c:pt idx="7">
                  <c:v>46600</c:v>
                </c:pt>
                <c:pt idx="8">
                  <c:v>46631</c:v>
                </c:pt>
                <c:pt idx="9">
                  <c:v>46661</c:v>
                </c:pt>
                <c:pt idx="10">
                  <c:v>46692</c:v>
                </c:pt>
                <c:pt idx="11">
                  <c:v>46722</c:v>
                </c:pt>
                <c:pt idx="12">
                  <c:v>46753</c:v>
                </c:pt>
                <c:pt idx="13">
                  <c:v>46784</c:v>
                </c:pt>
                <c:pt idx="14">
                  <c:v>46813</c:v>
                </c:pt>
                <c:pt idx="15">
                  <c:v>46844</c:v>
                </c:pt>
                <c:pt idx="16">
                  <c:v>46874</c:v>
                </c:pt>
                <c:pt idx="17">
                  <c:v>46905</c:v>
                </c:pt>
                <c:pt idx="18">
                  <c:v>46935</c:v>
                </c:pt>
                <c:pt idx="19">
                  <c:v>46966</c:v>
                </c:pt>
                <c:pt idx="20">
                  <c:v>46997</c:v>
                </c:pt>
                <c:pt idx="21">
                  <c:v>47027</c:v>
                </c:pt>
                <c:pt idx="22">
                  <c:v>47058</c:v>
                </c:pt>
                <c:pt idx="23">
                  <c:v>47088</c:v>
                </c:pt>
                <c:pt idx="24">
                  <c:v>47119</c:v>
                </c:pt>
                <c:pt idx="25">
                  <c:v>47150</c:v>
                </c:pt>
                <c:pt idx="26">
                  <c:v>47178</c:v>
                </c:pt>
                <c:pt idx="27">
                  <c:v>47209</c:v>
                </c:pt>
                <c:pt idx="28">
                  <c:v>47239</c:v>
                </c:pt>
                <c:pt idx="29">
                  <c:v>47270</c:v>
                </c:pt>
                <c:pt idx="30">
                  <c:v>47300</c:v>
                </c:pt>
                <c:pt idx="31">
                  <c:v>47331</c:v>
                </c:pt>
                <c:pt idx="32">
                  <c:v>47362</c:v>
                </c:pt>
                <c:pt idx="33">
                  <c:v>47392</c:v>
                </c:pt>
                <c:pt idx="34">
                  <c:v>47423</c:v>
                </c:pt>
                <c:pt idx="35">
                  <c:v>47453</c:v>
                </c:pt>
                <c:pt idx="36">
                  <c:v>47484</c:v>
                </c:pt>
                <c:pt idx="37">
                  <c:v>47515</c:v>
                </c:pt>
                <c:pt idx="38">
                  <c:v>47543</c:v>
                </c:pt>
                <c:pt idx="39">
                  <c:v>47574</c:v>
                </c:pt>
                <c:pt idx="40">
                  <c:v>47604</c:v>
                </c:pt>
                <c:pt idx="41">
                  <c:v>47635</c:v>
                </c:pt>
                <c:pt idx="42">
                  <c:v>47665</c:v>
                </c:pt>
                <c:pt idx="43">
                  <c:v>47696</c:v>
                </c:pt>
                <c:pt idx="44">
                  <c:v>47727</c:v>
                </c:pt>
                <c:pt idx="45">
                  <c:v>47757</c:v>
                </c:pt>
                <c:pt idx="46">
                  <c:v>47788</c:v>
                </c:pt>
                <c:pt idx="47">
                  <c:v>47818</c:v>
                </c:pt>
                <c:pt idx="48">
                  <c:v>47849</c:v>
                </c:pt>
                <c:pt idx="49">
                  <c:v>47880</c:v>
                </c:pt>
                <c:pt idx="50">
                  <c:v>47908</c:v>
                </c:pt>
                <c:pt idx="51">
                  <c:v>47939</c:v>
                </c:pt>
                <c:pt idx="52">
                  <c:v>47969</c:v>
                </c:pt>
                <c:pt idx="53">
                  <c:v>48000</c:v>
                </c:pt>
                <c:pt idx="54">
                  <c:v>48030</c:v>
                </c:pt>
                <c:pt idx="55">
                  <c:v>48061</c:v>
                </c:pt>
                <c:pt idx="56">
                  <c:v>48092</c:v>
                </c:pt>
                <c:pt idx="57">
                  <c:v>48122</c:v>
                </c:pt>
                <c:pt idx="58">
                  <c:v>48153</c:v>
                </c:pt>
                <c:pt idx="59">
                  <c:v>48183</c:v>
                </c:pt>
              </c:numCache>
            </c:numRef>
          </c:cat>
          <c:val>
            <c:numRef>
              <c:f>'Прогноз'!$G$10:$G$69</c:f>
              <c:numCache>
                <c:formatCode>#,##0.00_);\(#,##0.00\);"–"_)</c:formatCode>
                <c:ptCount val="60"/>
                <c:pt idx="0">
                  <c:v>65.404324520360689</c:v>
                </c:pt>
                <c:pt idx="1">
                  <c:v>58.104727703237849</c:v>
                </c:pt>
                <c:pt idx="2">
                  <c:v>52.130704928474913</c:v>
                </c:pt>
                <c:pt idx="3">
                  <c:v>50.437734038255513</c:v>
                </c:pt>
                <c:pt idx="4">
                  <c:v>50.674355779316947</c:v>
                </c:pt>
                <c:pt idx="5">
                  <c:v>53.344260958086991</c:v>
                </c:pt>
                <c:pt idx="6">
                  <c:v>54.114784627011296</c:v>
                </c:pt>
                <c:pt idx="7">
                  <c:v>55.520498199208461</c:v>
                </c:pt>
                <c:pt idx="8">
                  <c:v>55.969113821909787</c:v>
                </c:pt>
                <c:pt idx="9">
                  <c:v>60.995909325123407</c:v>
                </c:pt>
                <c:pt idx="10">
                  <c:v>62.778395938392151</c:v>
                </c:pt>
                <c:pt idx="11">
                  <c:v>58.173072278390691</c:v>
                </c:pt>
                <c:pt idx="12">
                  <c:v>59.960685651808099</c:v>
                </c:pt>
                <c:pt idx="13">
                  <c:v>56.994937810180332</c:v>
                </c:pt>
                <c:pt idx="14">
                  <c:v>57.875135621132216</c:v>
                </c:pt>
                <c:pt idx="15">
                  <c:v>65.833410311012642</c:v>
                </c:pt>
                <c:pt idx="16">
                  <c:v>69.262973426834193</c:v>
                </c:pt>
                <c:pt idx="17">
                  <c:v>65.58448564232792</c:v>
                </c:pt>
                <c:pt idx="18">
                  <c:v>62.581252969354189</c:v>
                </c:pt>
                <c:pt idx="19">
                  <c:v>56.044524821594642</c:v>
                </c:pt>
                <c:pt idx="20">
                  <c:v>58.332057738888913</c:v>
                </c:pt>
                <c:pt idx="21">
                  <c:v>62.260457515572796</c:v>
                </c:pt>
                <c:pt idx="22">
                  <c:v>55.804266670914132</c:v>
                </c:pt>
                <c:pt idx="23">
                  <c:v>55.606688707449507</c:v>
                </c:pt>
                <c:pt idx="24">
                  <c:v>53.684798324801243</c:v>
                </c:pt>
                <c:pt idx="25">
                  <c:v>54.61387410482412</c:v>
                </c:pt>
                <c:pt idx="26">
                  <c:v>56.842545325925322</c:v>
                </c:pt>
                <c:pt idx="27">
                  <c:v>53.892894410035034</c:v>
                </c:pt>
                <c:pt idx="28">
                  <c:v>48.552832109204623</c:v>
                </c:pt>
                <c:pt idx="29">
                  <c:v>50.013819344857971</c:v>
                </c:pt>
                <c:pt idx="30">
                  <c:v>56.970195648494631</c:v>
                </c:pt>
                <c:pt idx="31">
                  <c:v>55.684666844310811</c:v>
                </c:pt>
                <c:pt idx="32">
                  <c:v>54.635047535818558</c:v>
                </c:pt>
                <c:pt idx="33">
                  <c:v>42.987002523234366</c:v>
                </c:pt>
                <c:pt idx="34">
                  <c:v>47.064538456695011</c:v>
                </c:pt>
                <c:pt idx="35">
                  <c:v>55.974827153204785</c:v>
                </c:pt>
                <c:pt idx="36">
                  <c:v>52.869944338256296</c:v>
                </c:pt>
                <c:pt idx="37">
                  <c:v>53.506254170060927</c:v>
                </c:pt>
                <c:pt idx="38">
                  <c:v>48.811412964348769</c:v>
                </c:pt>
                <c:pt idx="39">
                  <c:v>48.820623703185575</c:v>
                </c:pt>
                <c:pt idx="40">
                  <c:v>46.064142063162329</c:v>
                </c:pt>
                <c:pt idx="41">
                  <c:v>46.900196672107711</c:v>
                </c:pt>
                <c:pt idx="42">
                  <c:v>44.91351164142803</c:v>
                </c:pt>
                <c:pt idx="43">
                  <c:v>47.19559516119029</c:v>
                </c:pt>
                <c:pt idx="44">
                  <c:v>48.284871612172559</c:v>
                </c:pt>
                <c:pt idx="45">
                  <c:v>51.669708595483591</c:v>
                </c:pt>
                <c:pt idx="46">
                  <c:v>56.185858694258712</c:v>
                </c:pt>
                <c:pt idx="47">
                  <c:v>55.59786486400877</c:v>
                </c:pt>
                <c:pt idx="48">
                  <c:v>55.493654807807438</c:v>
                </c:pt>
                <c:pt idx="49">
                  <c:v>57.445942728299258</c:v>
                </c:pt>
                <c:pt idx="50">
                  <c:v>63.354555558885686</c:v>
                </c:pt>
                <c:pt idx="51">
                  <c:v>63.441230582995495</c:v>
                </c:pt>
                <c:pt idx="52">
                  <c:v>63.008845073840945</c:v>
                </c:pt>
                <c:pt idx="53">
                  <c:v>64.972119072689196</c:v>
                </c:pt>
                <c:pt idx="54">
                  <c:v>67.106133368205789</c:v>
                </c:pt>
                <c:pt idx="55">
                  <c:v>62.764059207163946</c:v>
                </c:pt>
                <c:pt idx="56">
                  <c:v>60.749923110472523</c:v>
                </c:pt>
                <c:pt idx="57">
                  <c:v>59.768572875332559</c:v>
                </c:pt>
                <c:pt idx="58">
                  <c:v>53.413893586169465</c:v>
                </c:pt>
                <c:pt idx="59">
                  <c:v>54.151358459339988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FFC-44A5-B84A-7AA3DEA9C6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dateAx>
        <c:axId val="10"/>
        <c:scaling>
          <c:orientation val="minMax"/>
        </c:scaling>
        <c:delete val="0"/>
        <c:axPos val="b"/>
        <c:numFmt formatCode="yyyy" sourceLinked="0"/>
        <c:majorTickMark val="none"/>
        <c:minorTickMark val="none"/>
        <c:tickLblPos val="nextTo"/>
        <c:crossAx val="100"/>
        <c:crosses val="autoZero"/>
        <c:auto val="1"/>
        <c:lblOffset val="100"/>
        <c:baseTimeUnit val="months"/>
        <c:majorUnit val="12"/>
        <c:minorUnit val="12"/>
      </c:dateAx>
      <c:valAx>
        <c:axId val="100"/>
        <c:scaling>
          <c:orientation val="minMax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Цена (долл./барр.)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tx>
            <c:v>90-й процентиль</c:v>
          </c:tx>
          <c:spPr>
            <a:ln w="15875">
              <a:solidFill>
                <a:srgbClr val="2F3136"/>
              </a:solidFill>
              <a:prstDash val="dash"/>
            </a:ln>
          </c:spPr>
          <c:marker>
            <c:symbol val="none"/>
          </c:marker>
          <c:cat>
            <c:numRef>
              <c:f>'Результаты'!$B$104:$B$163</c:f>
              <c:numCache>
                <c:formatCode>yyyy</c:formatCode>
                <c:ptCount val="60"/>
                <c:pt idx="0">
                  <c:v>46388</c:v>
                </c:pt>
                <c:pt idx="1">
                  <c:v>46419</c:v>
                </c:pt>
                <c:pt idx="2">
                  <c:v>46447</c:v>
                </c:pt>
                <c:pt idx="3">
                  <c:v>46478</c:v>
                </c:pt>
                <c:pt idx="4">
                  <c:v>46508</c:v>
                </c:pt>
                <c:pt idx="5">
                  <c:v>46539</c:v>
                </c:pt>
                <c:pt idx="6">
                  <c:v>46569</c:v>
                </c:pt>
                <c:pt idx="7">
                  <c:v>46600</c:v>
                </c:pt>
                <c:pt idx="8">
                  <c:v>46631</c:v>
                </c:pt>
                <c:pt idx="9">
                  <c:v>46661</c:v>
                </c:pt>
                <c:pt idx="10">
                  <c:v>46692</c:v>
                </c:pt>
                <c:pt idx="11">
                  <c:v>46722</c:v>
                </c:pt>
                <c:pt idx="12">
                  <c:v>46753</c:v>
                </c:pt>
                <c:pt idx="13">
                  <c:v>46784</c:v>
                </c:pt>
                <c:pt idx="14">
                  <c:v>46813</c:v>
                </c:pt>
                <c:pt idx="15">
                  <c:v>46844</c:v>
                </c:pt>
                <c:pt idx="16">
                  <c:v>46874</c:v>
                </c:pt>
                <c:pt idx="17">
                  <c:v>46905</c:v>
                </c:pt>
                <c:pt idx="18">
                  <c:v>46935</c:v>
                </c:pt>
                <c:pt idx="19">
                  <c:v>46966</c:v>
                </c:pt>
                <c:pt idx="20">
                  <c:v>46997</c:v>
                </c:pt>
                <c:pt idx="21">
                  <c:v>47027</c:v>
                </c:pt>
                <c:pt idx="22">
                  <c:v>47058</c:v>
                </c:pt>
                <c:pt idx="23">
                  <c:v>47088</c:v>
                </c:pt>
                <c:pt idx="24">
                  <c:v>47119</c:v>
                </c:pt>
                <c:pt idx="25">
                  <c:v>47150</c:v>
                </c:pt>
                <c:pt idx="26">
                  <c:v>47178</c:v>
                </c:pt>
                <c:pt idx="27">
                  <c:v>47209</c:v>
                </c:pt>
                <c:pt idx="28">
                  <c:v>47239</c:v>
                </c:pt>
                <c:pt idx="29">
                  <c:v>47270</c:v>
                </c:pt>
                <c:pt idx="30">
                  <c:v>47300</c:v>
                </c:pt>
                <c:pt idx="31">
                  <c:v>47331</c:v>
                </c:pt>
                <c:pt idx="32">
                  <c:v>47362</c:v>
                </c:pt>
                <c:pt idx="33">
                  <c:v>47392</c:v>
                </c:pt>
                <c:pt idx="34">
                  <c:v>47423</c:v>
                </c:pt>
                <c:pt idx="35">
                  <c:v>47453</c:v>
                </c:pt>
                <c:pt idx="36">
                  <c:v>47484</c:v>
                </c:pt>
                <c:pt idx="37">
                  <c:v>47515</c:v>
                </c:pt>
                <c:pt idx="38">
                  <c:v>47543</c:v>
                </c:pt>
                <c:pt idx="39">
                  <c:v>47574</c:v>
                </c:pt>
                <c:pt idx="40">
                  <c:v>47604</c:v>
                </c:pt>
                <c:pt idx="41">
                  <c:v>47635</c:v>
                </c:pt>
                <c:pt idx="42">
                  <c:v>47665</c:v>
                </c:pt>
                <c:pt idx="43">
                  <c:v>47696</c:v>
                </c:pt>
                <c:pt idx="44">
                  <c:v>47727</c:v>
                </c:pt>
                <c:pt idx="45">
                  <c:v>47757</c:v>
                </c:pt>
                <c:pt idx="46">
                  <c:v>47788</c:v>
                </c:pt>
                <c:pt idx="47">
                  <c:v>47818</c:v>
                </c:pt>
                <c:pt idx="48">
                  <c:v>47849</c:v>
                </c:pt>
                <c:pt idx="49">
                  <c:v>47880</c:v>
                </c:pt>
                <c:pt idx="50">
                  <c:v>47908</c:v>
                </c:pt>
                <c:pt idx="51">
                  <c:v>47939</c:v>
                </c:pt>
                <c:pt idx="52">
                  <c:v>47969</c:v>
                </c:pt>
                <c:pt idx="53">
                  <c:v>48000</c:v>
                </c:pt>
                <c:pt idx="54">
                  <c:v>48030</c:v>
                </c:pt>
                <c:pt idx="55">
                  <c:v>48061</c:v>
                </c:pt>
                <c:pt idx="56">
                  <c:v>48092</c:v>
                </c:pt>
                <c:pt idx="57">
                  <c:v>48122</c:v>
                </c:pt>
                <c:pt idx="58">
                  <c:v>48153</c:v>
                </c:pt>
                <c:pt idx="59">
                  <c:v>48183</c:v>
                </c:pt>
              </c:numCache>
            </c:numRef>
          </c:cat>
          <c:val>
            <c:numRef>
              <c:f>'Результаты'!$E$104:$E$163</c:f>
              <c:numCache>
                <c:formatCode>#,##0.00</c:formatCode>
                <c:ptCount val="60"/>
                <c:pt idx="0">
                  <c:v>72.068182573958211</c:v>
                </c:pt>
                <c:pt idx="1">
                  <c:v>74.740745647161489</c:v>
                </c:pt>
                <c:pt idx="2">
                  <c:v>76.934896300851406</c:v>
                </c:pt>
                <c:pt idx="3">
                  <c:v>78.753752712289824</c:v>
                </c:pt>
                <c:pt idx="4">
                  <c:v>80.254971124602903</c:v>
                </c:pt>
                <c:pt idx="5">
                  <c:v>81.920157308421622</c:v>
                </c:pt>
                <c:pt idx="6">
                  <c:v>83.014909245542313</c:v>
                </c:pt>
                <c:pt idx="7">
                  <c:v>83.888404597950213</c:v>
                </c:pt>
                <c:pt idx="8">
                  <c:v>85.181370443568738</c:v>
                </c:pt>
                <c:pt idx="9">
                  <c:v>86.252117361521286</c:v>
                </c:pt>
                <c:pt idx="10">
                  <c:v>87.323848240392621</c:v>
                </c:pt>
                <c:pt idx="11">
                  <c:v>88.745701596938815</c:v>
                </c:pt>
                <c:pt idx="12">
                  <c:v>89.981122979120258</c:v>
                </c:pt>
                <c:pt idx="13">
                  <c:v>91.293184730616048</c:v>
                </c:pt>
                <c:pt idx="14">
                  <c:v>92.368187660899338</c:v>
                </c:pt>
                <c:pt idx="15">
                  <c:v>93.226402222880509</c:v>
                </c:pt>
                <c:pt idx="16">
                  <c:v>94.680816091117777</c:v>
                </c:pt>
                <c:pt idx="17">
                  <c:v>94.779642753898258</c:v>
                </c:pt>
                <c:pt idx="18">
                  <c:v>96.155855906277594</c:v>
                </c:pt>
                <c:pt idx="19">
                  <c:v>96.684445133421136</c:v>
                </c:pt>
                <c:pt idx="20">
                  <c:v>97.706093058296972</c:v>
                </c:pt>
                <c:pt idx="21">
                  <c:v>98.439042810691632</c:v>
                </c:pt>
                <c:pt idx="22">
                  <c:v>99.658730666378489</c:v>
                </c:pt>
                <c:pt idx="23">
                  <c:v>100.57648297291428</c:v>
                </c:pt>
                <c:pt idx="24">
                  <c:v>101.35664036956311</c:v>
                </c:pt>
                <c:pt idx="25">
                  <c:v>101.96763417552467</c:v>
                </c:pt>
                <c:pt idx="26">
                  <c:v>103.75786266766747</c:v>
                </c:pt>
                <c:pt idx="27">
                  <c:v>104.61284183542251</c:v>
                </c:pt>
                <c:pt idx="28">
                  <c:v>105.16267189079041</c:v>
                </c:pt>
                <c:pt idx="29">
                  <c:v>105.64933111926429</c:v>
                </c:pt>
                <c:pt idx="30">
                  <c:v>106.59942893394215</c:v>
                </c:pt>
                <c:pt idx="31">
                  <c:v>107.56147032863639</c:v>
                </c:pt>
                <c:pt idx="32">
                  <c:v>108.60300121844475</c:v>
                </c:pt>
                <c:pt idx="33">
                  <c:v>109.11631553967212</c:v>
                </c:pt>
                <c:pt idx="34">
                  <c:v>110.55603720694032</c:v>
                </c:pt>
                <c:pt idx="35">
                  <c:v>110.59408742279579</c:v>
                </c:pt>
                <c:pt idx="36">
                  <c:v>112.06771345797442</c:v>
                </c:pt>
                <c:pt idx="37">
                  <c:v>112.77172205451394</c:v>
                </c:pt>
                <c:pt idx="38">
                  <c:v>113.45805962002754</c:v>
                </c:pt>
                <c:pt idx="39">
                  <c:v>114.35768960346465</c:v>
                </c:pt>
                <c:pt idx="40">
                  <c:v>115.4688282641644</c:v>
                </c:pt>
                <c:pt idx="41">
                  <c:v>116.50381304612894</c:v>
                </c:pt>
                <c:pt idx="42">
                  <c:v>117.64585503155614</c:v>
                </c:pt>
                <c:pt idx="43">
                  <c:v>118.27086591341445</c:v>
                </c:pt>
                <c:pt idx="44">
                  <c:v>119.0541161288415</c:v>
                </c:pt>
                <c:pt idx="45">
                  <c:v>119.80288730598988</c:v>
                </c:pt>
                <c:pt idx="46">
                  <c:v>121.24385222189009</c:v>
                </c:pt>
                <c:pt idx="47">
                  <c:v>122.28275394259185</c:v>
                </c:pt>
                <c:pt idx="48">
                  <c:v>123.63737606825291</c:v>
                </c:pt>
                <c:pt idx="49">
                  <c:v>124.55476046729042</c:v>
                </c:pt>
                <c:pt idx="50">
                  <c:v>125.44730707729202</c:v>
                </c:pt>
                <c:pt idx="51">
                  <c:v>126.4256711844842</c:v>
                </c:pt>
                <c:pt idx="52">
                  <c:v>127.16294389179247</c:v>
                </c:pt>
                <c:pt idx="53">
                  <c:v>127.87916379737707</c:v>
                </c:pt>
                <c:pt idx="54">
                  <c:v>129.5173391826639</c:v>
                </c:pt>
                <c:pt idx="55">
                  <c:v>131.5295470997938</c:v>
                </c:pt>
                <c:pt idx="56">
                  <c:v>133.35004296012596</c:v>
                </c:pt>
                <c:pt idx="57">
                  <c:v>133.37983009253568</c:v>
                </c:pt>
                <c:pt idx="58">
                  <c:v>136.32386007326699</c:v>
                </c:pt>
                <c:pt idx="59">
                  <c:v>136.28344831428817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31-4AE2-9123-7B9BBDC5628A}"/>
            </c:ext>
          </c:extLst>
        </c:ser>
        <c:ser>
          <c:idx val="1"/>
          <c:order val="1"/>
          <c:tx>
            <c:v>Медиана</c:v>
          </c:tx>
          <c:spPr>
            <a:ln w="28575">
              <a:solidFill>
                <a:srgbClr val="2F3136"/>
              </a:solidFill>
              <a:prstDash val="solid"/>
            </a:ln>
          </c:spPr>
          <c:marker>
            <c:symbol val="none"/>
          </c:marker>
          <c:cat>
            <c:numRef>
              <c:f>'Результаты'!$B$104:$B$163</c:f>
              <c:numCache>
                <c:formatCode>yyyy</c:formatCode>
                <c:ptCount val="60"/>
                <c:pt idx="0">
                  <c:v>46388</c:v>
                </c:pt>
                <c:pt idx="1">
                  <c:v>46419</c:v>
                </c:pt>
                <c:pt idx="2">
                  <c:v>46447</c:v>
                </c:pt>
                <c:pt idx="3">
                  <c:v>46478</c:v>
                </c:pt>
                <c:pt idx="4">
                  <c:v>46508</c:v>
                </c:pt>
                <c:pt idx="5">
                  <c:v>46539</c:v>
                </c:pt>
                <c:pt idx="6">
                  <c:v>46569</c:v>
                </c:pt>
                <c:pt idx="7">
                  <c:v>46600</c:v>
                </c:pt>
                <c:pt idx="8">
                  <c:v>46631</c:v>
                </c:pt>
                <c:pt idx="9">
                  <c:v>46661</c:v>
                </c:pt>
                <c:pt idx="10">
                  <c:v>46692</c:v>
                </c:pt>
                <c:pt idx="11">
                  <c:v>46722</c:v>
                </c:pt>
                <c:pt idx="12">
                  <c:v>46753</c:v>
                </c:pt>
                <c:pt idx="13">
                  <c:v>46784</c:v>
                </c:pt>
                <c:pt idx="14">
                  <c:v>46813</c:v>
                </c:pt>
                <c:pt idx="15">
                  <c:v>46844</c:v>
                </c:pt>
                <c:pt idx="16">
                  <c:v>46874</c:v>
                </c:pt>
                <c:pt idx="17">
                  <c:v>46905</c:v>
                </c:pt>
                <c:pt idx="18">
                  <c:v>46935</c:v>
                </c:pt>
                <c:pt idx="19">
                  <c:v>46966</c:v>
                </c:pt>
                <c:pt idx="20">
                  <c:v>46997</c:v>
                </c:pt>
                <c:pt idx="21">
                  <c:v>47027</c:v>
                </c:pt>
                <c:pt idx="22">
                  <c:v>47058</c:v>
                </c:pt>
                <c:pt idx="23">
                  <c:v>47088</c:v>
                </c:pt>
                <c:pt idx="24">
                  <c:v>47119</c:v>
                </c:pt>
                <c:pt idx="25">
                  <c:v>47150</c:v>
                </c:pt>
                <c:pt idx="26">
                  <c:v>47178</c:v>
                </c:pt>
                <c:pt idx="27">
                  <c:v>47209</c:v>
                </c:pt>
                <c:pt idx="28">
                  <c:v>47239</c:v>
                </c:pt>
                <c:pt idx="29">
                  <c:v>47270</c:v>
                </c:pt>
                <c:pt idx="30">
                  <c:v>47300</c:v>
                </c:pt>
                <c:pt idx="31">
                  <c:v>47331</c:v>
                </c:pt>
                <c:pt idx="32">
                  <c:v>47362</c:v>
                </c:pt>
                <c:pt idx="33">
                  <c:v>47392</c:v>
                </c:pt>
                <c:pt idx="34">
                  <c:v>47423</c:v>
                </c:pt>
                <c:pt idx="35">
                  <c:v>47453</c:v>
                </c:pt>
                <c:pt idx="36">
                  <c:v>47484</c:v>
                </c:pt>
                <c:pt idx="37">
                  <c:v>47515</c:v>
                </c:pt>
                <c:pt idx="38">
                  <c:v>47543</c:v>
                </c:pt>
                <c:pt idx="39">
                  <c:v>47574</c:v>
                </c:pt>
                <c:pt idx="40">
                  <c:v>47604</c:v>
                </c:pt>
                <c:pt idx="41">
                  <c:v>47635</c:v>
                </c:pt>
                <c:pt idx="42">
                  <c:v>47665</c:v>
                </c:pt>
                <c:pt idx="43">
                  <c:v>47696</c:v>
                </c:pt>
                <c:pt idx="44">
                  <c:v>47727</c:v>
                </c:pt>
                <c:pt idx="45">
                  <c:v>47757</c:v>
                </c:pt>
                <c:pt idx="46">
                  <c:v>47788</c:v>
                </c:pt>
                <c:pt idx="47">
                  <c:v>47818</c:v>
                </c:pt>
                <c:pt idx="48">
                  <c:v>47849</c:v>
                </c:pt>
                <c:pt idx="49">
                  <c:v>47880</c:v>
                </c:pt>
                <c:pt idx="50">
                  <c:v>47908</c:v>
                </c:pt>
                <c:pt idx="51">
                  <c:v>47939</c:v>
                </c:pt>
                <c:pt idx="52">
                  <c:v>47969</c:v>
                </c:pt>
                <c:pt idx="53">
                  <c:v>48000</c:v>
                </c:pt>
                <c:pt idx="54">
                  <c:v>48030</c:v>
                </c:pt>
                <c:pt idx="55">
                  <c:v>48061</c:v>
                </c:pt>
                <c:pt idx="56">
                  <c:v>48092</c:v>
                </c:pt>
                <c:pt idx="57">
                  <c:v>48122</c:v>
                </c:pt>
                <c:pt idx="58">
                  <c:v>48153</c:v>
                </c:pt>
                <c:pt idx="59">
                  <c:v>48183</c:v>
                </c:pt>
              </c:numCache>
            </c:numRef>
          </c:cat>
          <c:val>
            <c:numRef>
              <c:f>'Результаты'!$D$104:$D$163</c:f>
              <c:numCache>
                <c:formatCode>#,##0.00</c:formatCode>
                <c:ptCount val="60"/>
                <c:pt idx="0">
                  <c:v>65.366128125215639</c:v>
                </c:pt>
                <c:pt idx="1">
                  <c:v>65.193819948659311</c:v>
                </c:pt>
                <c:pt idx="2">
                  <c:v>64.848796477434377</c:v>
                </c:pt>
                <c:pt idx="3">
                  <c:v>64.685613364859606</c:v>
                </c:pt>
                <c:pt idx="4">
                  <c:v>64.73429259060714</c:v>
                </c:pt>
                <c:pt idx="5">
                  <c:v>64.539883734722324</c:v>
                </c:pt>
                <c:pt idx="6">
                  <c:v>64.413821825599996</c:v>
                </c:pt>
                <c:pt idx="7">
                  <c:v>64.288758039051189</c:v>
                </c:pt>
                <c:pt idx="8">
                  <c:v>64.138250374577453</c:v>
                </c:pt>
                <c:pt idx="9">
                  <c:v>64.145652426012617</c:v>
                </c:pt>
                <c:pt idx="10">
                  <c:v>64.197653835897455</c:v>
                </c:pt>
                <c:pt idx="11">
                  <c:v>63.824693680958305</c:v>
                </c:pt>
                <c:pt idx="12">
                  <c:v>63.664645700809771</c:v>
                </c:pt>
                <c:pt idx="13">
                  <c:v>63.584496940067027</c:v>
                </c:pt>
                <c:pt idx="14">
                  <c:v>63.651860589658668</c:v>
                </c:pt>
                <c:pt idx="15">
                  <c:v>63.461680362703056</c:v>
                </c:pt>
                <c:pt idx="16">
                  <c:v>63.364605722062443</c:v>
                </c:pt>
                <c:pt idx="17">
                  <c:v>63.364062073709526</c:v>
                </c:pt>
                <c:pt idx="18">
                  <c:v>63.303555067984703</c:v>
                </c:pt>
                <c:pt idx="19">
                  <c:v>63.215424053388155</c:v>
                </c:pt>
                <c:pt idx="20">
                  <c:v>63.273680684719999</c:v>
                </c:pt>
                <c:pt idx="21">
                  <c:v>63.110066589570714</c:v>
                </c:pt>
                <c:pt idx="22">
                  <c:v>63.065189218287529</c:v>
                </c:pt>
                <c:pt idx="23">
                  <c:v>63.029876904118893</c:v>
                </c:pt>
                <c:pt idx="24">
                  <c:v>63.17896085869188</c:v>
                </c:pt>
                <c:pt idx="25">
                  <c:v>62.903182008994371</c:v>
                </c:pt>
                <c:pt idx="26">
                  <c:v>63.087972679701537</c:v>
                </c:pt>
                <c:pt idx="27">
                  <c:v>62.944827187795653</c:v>
                </c:pt>
                <c:pt idx="28">
                  <c:v>62.939803342406321</c:v>
                </c:pt>
                <c:pt idx="29">
                  <c:v>62.929950292528758</c:v>
                </c:pt>
                <c:pt idx="30">
                  <c:v>62.859927723636943</c:v>
                </c:pt>
                <c:pt idx="31">
                  <c:v>62.861072781331004</c:v>
                </c:pt>
                <c:pt idx="32">
                  <c:v>62.757861984069081</c:v>
                </c:pt>
                <c:pt idx="33">
                  <c:v>62.712942489147935</c:v>
                </c:pt>
                <c:pt idx="34">
                  <c:v>62.810902624920004</c:v>
                </c:pt>
                <c:pt idx="35">
                  <c:v>62.639260506555189</c:v>
                </c:pt>
                <c:pt idx="36">
                  <c:v>62.632974495198638</c:v>
                </c:pt>
                <c:pt idx="37">
                  <c:v>62.387212186870855</c:v>
                </c:pt>
                <c:pt idx="38">
                  <c:v>62.372155469866243</c:v>
                </c:pt>
                <c:pt idx="39">
                  <c:v>62.723942402093577</c:v>
                </c:pt>
                <c:pt idx="40">
                  <c:v>62.666445803984253</c:v>
                </c:pt>
                <c:pt idx="41">
                  <c:v>62.74256351630445</c:v>
                </c:pt>
                <c:pt idx="42">
                  <c:v>62.757225687572905</c:v>
                </c:pt>
                <c:pt idx="43">
                  <c:v>62.45619281172916</c:v>
                </c:pt>
                <c:pt idx="44">
                  <c:v>62.724231292013926</c:v>
                </c:pt>
                <c:pt idx="45">
                  <c:v>62.433044505836214</c:v>
                </c:pt>
                <c:pt idx="46">
                  <c:v>62.436923316397873</c:v>
                </c:pt>
                <c:pt idx="47">
                  <c:v>62.478977456910854</c:v>
                </c:pt>
                <c:pt idx="48">
                  <c:v>62.776307557850039</c:v>
                </c:pt>
                <c:pt idx="49">
                  <c:v>62.884410017277943</c:v>
                </c:pt>
                <c:pt idx="50">
                  <c:v>62.728720533412044</c:v>
                </c:pt>
                <c:pt idx="51">
                  <c:v>62.760062803841677</c:v>
                </c:pt>
                <c:pt idx="52">
                  <c:v>62.80469292656327</c:v>
                </c:pt>
                <c:pt idx="53">
                  <c:v>62.530517020675006</c:v>
                </c:pt>
                <c:pt idx="54">
                  <c:v>62.356750462940838</c:v>
                </c:pt>
                <c:pt idx="55">
                  <c:v>62.396186010144497</c:v>
                </c:pt>
                <c:pt idx="56">
                  <c:v>62.324739921136242</c:v>
                </c:pt>
                <c:pt idx="57">
                  <c:v>62.557807439511777</c:v>
                </c:pt>
                <c:pt idx="58">
                  <c:v>62.49147073656232</c:v>
                </c:pt>
                <c:pt idx="59">
                  <c:v>62.298899495582567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031-4AE2-9123-7B9BBDC5628A}"/>
            </c:ext>
          </c:extLst>
        </c:ser>
        <c:ser>
          <c:idx val="2"/>
          <c:order val="2"/>
          <c:tx>
            <c:v>Среднее</c:v>
          </c:tx>
          <c:spPr>
            <a:ln w="19050">
              <a:solidFill>
                <a:srgbClr val="B45309"/>
              </a:solidFill>
              <a:prstDash val="solid"/>
            </a:ln>
          </c:spPr>
          <c:marker>
            <c:symbol val="none"/>
          </c:marker>
          <c:cat>
            <c:numRef>
              <c:f>'Результаты'!$B$104:$B$163</c:f>
              <c:numCache>
                <c:formatCode>yyyy</c:formatCode>
                <c:ptCount val="60"/>
                <c:pt idx="0">
                  <c:v>46388</c:v>
                </c:pt>
                <c:pt idx="1">
                  <c:v>46419</c:v>
                </c:pt>
                <c:pt idx="2">
                  <c:v>46447</c:v>
                </c:pt>
                <c:pt idx="3">
                  <c:v>46478</c:v>
                </c:pt>
                <c:pt idx="4">
                  <c:v>46508</c:v>
                </c:pt>
                <c:pt idx="5">
                  <c:v>46539</c:v>
                </c:pt>
                <c:pt idx="6">
                  <c:v>46569</c:v>
                </c:pt>
                <c:pt idx="7">
                  <c:v>46600</c:v>
                </c:pt>
                <c:pt idx="8">
                  <c:v>46631</c:v>
                </c:pt>
                <c:pt idx="9">
                  <c:v>46661</c:v>
                </c:pt>
                <c:pt idx="10">
                  <c:v>46692</c:v>
                </c:pt>
                <c:pt idx="11">
                  <c:v>46722</c:v>
                </c:pt>
                <c:pt idx="12">
                  <c:v>46753</c:v>
                </c:pt>
                <c:pt idx="13">
                  <c:v>46784</c:v>
                </c:pt>
                <c:pt idx="14">
                  <c:v>46813</c:v>
                </c:pt>
                <c:pt idx="15">
                  <c:v>46844</c:v>
                </c:pt>
                <c:pt idx="16">
                  <c:v>46874</c:v>
                </c:pt>
                <c:pt idx="17">
                  <c:v>46905</c:v>
                </c:pt>
                <c:pt idx="18">
                  <c:v>46935</c:v>
                </c:pt>
                <c:pt idx="19">
                  <c:v>46966</c:v>
                </c:pt>
                <c:pt idx="20">
                  <c:v>46997</c:v>
                </c:pt>
                <c:pt idx="21">
                  <c:v>47027</c:v>
                </c:pt>
                <c:pt idx="22">
                  <c:v>47058</c:v>
                </c:pt>
                <c:pt idx="23">
                  <c:v>47088</c:v>
                </c:pt>
                <c:pt idx="24">
                  <c:v>47119</c:v>
                </c:pt>
                <c:pt idx="25">
                  <c:v>47150</c:v>
                </c:pt>
                <c:pt idx="26">
                  <c:v>47178</c:v>
                </c:pt>
                <c:pt idx="27">
                  <c:v>47209</c:v>
                </c:pt>
                <c:pt idx="28">
                  <c:v>47239</c:v>
                </c:pt>
                <c:pt idx="29">
                  <c:v>47270</c:v>
                </c:pt>
                <c:pt idx="30">
                  <c:v>47300</c:v>
                </c:pt>
                <c:pt idx="31">
                  <c:v>47331</c:v>
                </c:pt>
                <c:pt idx="32">
                  <c:v>47362</c:v>
                </c:pt>
                <c:pt idx="33">
                  <c:v>47392</c:v>
                </c:pt>
                <c:pt idx="34">
                  <c:v>47423</c:v>
                </c:pt>
                <c:pt idx="35">
                  <c:v>47453</c:v>
                </c:pt>
                <c:pt idx="36">
                  <c:v>47484</c:v>
                </c:pt>
                <c:pt idx="37">
                  <c:v>47515</c:v>
                </c:pt>
                <c:pt idx="38">
                  <c:v>47543</c:v>
                </c:pt>
                <c:pt idx="39">
                  <c:v>47574</c:v>
                </c:pt>
                <c:pt idx="40">
                  <c:v>47604</c:v>
                </c:pt>
                <c:pt idx="41">
                  <c:v>47635</c:v>
                </c:pt>
                <c:pt idx="42">
                  <c:v>47665</c:v>
                </c:pt>
                <c:pt idx="43">
                  <c:v>47696</c:v>
                </c:pt>
                <c:pt idx="44">
                  <c:v>47727</c:v>
                </c:pt>
                <c:pt idx="45">
                  <c:v>47757</c:v>
                </c:pt>
                <c:pt idx="46">
                  <c:v>47788</c:v>
                </c:pt>
                <c:pt idx="47">
                  <c:v>47818</c:v>
                </c:pt>
                <c:pt idx="48">
                  <c:v>47849</c:v>
                </c:pt>
                <c:pt idx="49">
                  <c:v>47880</c:v>
                </c:pt>
                <c:pt idx="50">
                  <c:v>47908</c:v>
                </c:pt>
                <c:pt idx="51">
                  <c:v>47939</c:v>
                </c:pt>
                <c:pt idx="52">
                  <c:v>47969</c:v>
                </c:pt>
                <c:pt idx="53">
                  <c:v>48000</c:v>
                </c:pt>
                <c:pt idx="54">
                  <c:v>48030</c:v>
                </c:pt>
                <c:pt idx="55">
                  <c:v>48061</c:v>
                </c:pt>
                <c:pt idx="56">
                  <c:v>48092</c:v>
                </c:pt>
                <c:pt idx="57">
                  <c:v>48122</c:v>
                </c:pt>
                <c:pt idx="58">
                  <c:v>48153</c:v>
                </c:pt>
                <c:pt idx="59">
                  <c:v>48183</c:v>
                </c:pt>
              </c:numCache>
            </c:numRef>
          </c:cat>
          <c:val>
            <c:numRef>
              <c:f>'Результаты'!$F$104:$F$163</c:f>
              <c:numCache>
                <c:formatCode>#,##0.00</c:formatCode>
                <c:ptCount val="60"/>
                <c:pt idx="0">
                  <c:v>65.553493900292423</c:v>
                </c:pt>
                <c:pt idx="1">
                  <c:v>65.55972866215464</c:v>
                </c:pt>
                <c:pt idx="2">
                  <c:v>65.523929127794631</c:v>
                </c:pt>
                <c:pt idx="3">
                  <c:v>65.651568473984597</c:v>
                </c:pt>
                <c:pt idx="4">
                  <c:v>65.781493918771119</c:v>
                </c:pt>
                <c:pt idx="5">
                  <c:v>65.837115044222216</c:v>
                </c:pt>
                <c:pt idx="6">
                  <c:v>65.918088143863187</c:v>
                </c:pt>
                <c:pt idx="7">
                  <c:v>66.026853006488736</c:v>
                </c:pt>
                <c:pt idx="8">
                  <c:v>66.068852311671762</c:v>
                </c:pt>
                <c:pt idx="9">
                  <c:v>66.11669435947735</c:v>
                </c:pt>
                <c:pt idx="10">
                  <c:v>66.350612373600001</c:v>
                </c:pt>
                <c:pt idx="11">
                  <c:v>66.474986820710015</c:v>
                </c:pt>
                <c:pt idx="12">
                  <c:v>66.517995189996157</c:v>
                </c:pt>
                <c:pt idx="13">
                  <c:v>66.700216391312196</c:v>
                </c:pt>
                <c:pt idx="14">
                  <c:v>66.882898581055912</c:v>
                </c:pt>
                <c:pt idx="15">
                  <c:v>67.010791553278978</c:v>
                </c:pt>
                <c:pt idx="16">
                  <c:v>67.138532299007423</c:v>
                </c:pt>
                <c:pt idx="17">
                  <c:v>67.305620182195085</c:v>
                </c:pt>
                <c:pt idx="18">
                  <c:v>67.512848787464165</c:v>
                </c:pt>
                <c:pt idx="19">
                  <c:v>67.610732850008631</c:v>
                </c:pt>
                <c:pt idx="20">
                  <c:v>67.812330519563744</c:v>
                </c:pt>
                <c:pt idx="21">
                  <c:v>67.94419222835198</c:v>
                </c:pt>
                <c:pt idx="22">
                  <c:v>68.153664706474501</c:v>
                </c:pt>
                <c:pt idx="23">
                  <c:v>68.30718407945038</c:v>
                </c:pt>
                <c:pt idx="24">
                  <c:v>68.566324769200463</c:v>
                </c:pt>
                <c:pt idx="25">
                  <c:v>68.748662119459738</c:v>
                </c:pt>
                <c:pt idx="26">
                  <c:v>68.957663003854108</c:v>
                </c:pt>
                <c:pt idx="27">
                  <c:v>69.095811612964226</c:v>
                </c:pt>
                <c:pt idx="28">
                  <c:v>69.263291210516613</c:v>
                </c:pt>
                <c:pt idx="29">
                  <c:v>69.483752011639226</c:v>
                </c:pt>
                <c:pt idx="30">
                  <c:v>69.714388717399217</c:v>
                </c:pt>
                <c:pt idx="31">
                  <c:v>69.928949039882951</c:v>
                </c:pt>
                <c:pt idx="32">
                  <c:v>70.146625934664485</c:v>
                </c:pt>
                <c:pt idx="33">
                  <c:v>70.451498374069985</c:v>
                </c:pt>
                <c:pt idx="34">
                  <c:v>70.712215434539004</c:v>
                </c:pt>
                <c:pt idx="35">
                  <c:v>70.8062032078209</c:v>
                </c:pt>
                <c:pt idx="36">
                  <c:v>70.985341514191532</c:v>
                </c:pt>
                <c:pt idx="37">
                  <c:v>71.227257517476247</c:v>
                </c:pt>
                <c:pt idx="38">
                  <c:v>71.537783280307949</c:v>
                </c:pt>
                <c:pt idx="39">
                  <c:v>71.846645649503373</c:v>
                </c:pt>
                <c:pt idx="40">
                  <c:v>72.124716188234601</c:v>
                </c:pt>
                <c:pt idx="41">
                  <c:v>72.432914689081713</c:v>
                </c:pt>
                <c:pt idx="42">
                  <c:v>72.721418162967666</c:v>
                </c:pt>
                <c:pt idx="43">
                  <c:v>72.941496305673937</c:v>
                </c:pt>
                <c:pt idx="44">
                  <c:v>73.228433408817494</c:v>
                </c:pt>
                <c:pt idx="45">
                  <c:v>73.427702711299659</c:v>
                </c:pt>
                <c:pt idx="46">
                  <c:v>73.746461197740985</c:v>
                </c:pt>
                <c:pt idx="47">
                  <c:v>74.068366257333466</c:v>
                </c:pt>
                <c:pt idx="48">
                  <c:v>74.438962933781823</c:v>
                </c:pt>
                <c:pt idx="49">
                  <c:v>74.827135445092694</c:v>
                </c:pt>
                <c:pt idx="50">
                  <c:v>75.121198145941804</c:v>
                </c:pt>
                <c:pt idx="51">
                  <c:v>75.493443428389114</c:v>
                </c:pt>
                <c:pt idx="52">
                  <c:v>75.80596998073824</c:v>
                </c:pt>
                <c:pt idx="53">
                  <c:v>76.101018934401466</c:v>
                </c:pt>
                <c:pt idx="54">
                  <c:v>76.443970128505953</c:v>
                </c:pt>
                <c:pt idx="55">
                  <c:v>76.830206109885253</c:v>
                </c:pt>
                <c:pt idx="56">
                  <c:v>77.18496905496167</c:v>
                </c:pt>
                <c:pt idx="57">
                  <c:v>77.606181255253787</c:v>
                </c:pt>
                <c:pt idx="58">
                  <c:v>78.056388161133967</c:v>
                </c:pt>
                <c:pt idx="59">
                  <c:v>78.425479358978507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031-4AE2-9123-7B9BBDC5628A}"/>
            </c:ext>
          </c:extLst>
        </c:ser>
        <c:ser>
          <c:idx val="3"/>
          <c:order val="3"/>
          <c:tx>
            <c:v>10-й процентиль</c:v>
          </c:tx>
          <c:spPr>
            <a:ln w="15875">
              <a:solidFill>
                <a:srgbClr val="2F3136"/>
              </a:solidFill>
              <a:prstDash val="dash"/>
            </a:ln>
          </c:spPr>
          <c:marker>
            <c:symbol val="none"/>
          </c:marker>
          <c:cat>
            <c:numRef>
              <c:f>'Результаты'!$B$104:$B$163</c:f>
              <c:numCache>
                <c:formatCode>yyyy</c:formatCode>
                <c:ptCount val="60"/>
                <c:pt idx="0">
                  <c:v>46388</c:v>
                </c:pt>
                <c:pt idx="1">
                  <c:v>46419</c:v>
                </c:pt>
                <c:pt idx="2">
                  <c:v>46447</c:v>
                </c:pt>
                <c:pt idx="3">
                  <c:v>46478</c:v>
                </c:pt>
                <c:pt idx="4">
                  <c:v>46508</c:v>
                </c:pt>
                <c:pt idx="5">
                  <c:v>46539</c:v>
                </c:pt>
                <c:pt idx="6">
                  <c:v>46569</c:v>
                </c:pt>
                <c:pt idx="7">
                  <c:v>46600</c:v>
                </c:pt>
                <c:pt idx="8">
                  <c:v>46631</c:v>
                </c:pt>
                <c:pt idx="9">
                  <c:v>46661</c:v>
                </c:pt>
                <c:pt idx="10">
                  <c:v>46692</c:v>
                </c:pt>
                <c:pt idx="11">
                  <c:v>46722</c:v>
                </c:pt>
                <c:pt idx="12">
                  <c:v>46753</c:v>
                </c:pt>
                <c:pt idx="13">
                  <c:v>46784</c:v>
                </c:pt>
                <c:pt idx="14">
                  <c:v>46813</c:v>
                </c:pt>
                <c:pt idx="15">
                  <c:v>46844</c:v>
                </c:pt>
                <c:pt idx="16">
                  <c:v>46874</c:v>
                </c:pt>
                <c:pt idx="17">
                  <c:v>46905</c:v>
                </c:pt>
                <c:pt idx="18">
                  <c:v>46935</c:v>
                </c:pt>
                <c:pt idx="19">
                  <c:v>46966</c:v>
                </c:pt>
                <c:pt idx="20">
                  <c:v>46997</c:v>
                </c:pt>
                <c:pt idx="21">
                  <c:v>47027</c:v>
                </c:pt>
                <c:pt idx="22">
                  <c:v>47058</c:v>
                </c:pt>
                <c:pt idx="23">
                  <c:v>47088</c:v>
                </c:pt>
                <c:pt idx="24">
                  <c:v>47119</c:v>
                </c:pt>
                <c:pt idx="25">
                  <c:v>47150</c:v>
                </c:pt>
                <c:pt idx="26">
                  <c:v>47178</c:v>
                </c:pt>
                <c:pt idx="27">
                  <c:v>47209</c:v>
                </c:pt>
                <c:pt idx="28">
                  <c:v>47239</c:v>
                </c:pt>
                <c:pt idx="29">
                  <c:v>47270</c:v>
                </c:pt>
                <c:pt idx="30">
                  <c:v>47300</c:v>
                </c:pt>
                <c:pt idx="31">
                  <c:v>47331</c:v>
                </c:pt>
                <c:pt idx="32">
                  <c:v>47362</c:v>
                </c:pt>
                <c:pt idx="33">
                  <c:v>47392</c:v>
                </c:pt>
                <c:pt idx="34">
                  <c:v>47423</c:v>
                </c:pt>
                <c:pt idx="35">
                  <c:v>47453</c:v>
                </c:pt>
                <c:pt idx="36">
                  <c:v>47484</c:v>
                </c:pt>
                <c:pt idx="37">
                  <c:v>47515</c:v>
                </c:pt>
                <c:pt idx="38">
                  <c:v>47543</c:v>
                </c:pt>
                <c:pt idx="39">
                  <c:v>47574</c:v>
                </c:pt>
                <c:pt idx="40">
                  <c:v>47604</c:v>
                </c:pt>
                <c:pt idx="41">
                  <c:v>47635</c:v>
                </c:pt>
                <c:pt idx="42">
                  <c:v>47665</c:v>
                </c:pt>
                <c:pt idx="43">
                  <c:v>47696</c:v>
                </c:pt>
                <c:pt idx="44">
                  <c:v>47727</c:v>
                </c:pt>
                <c:pt idx="45">
                  <c:v>47757</c:v>
                </c:pt>
                <c:pt idx="46">
                  <c:v>47788</c:v>
                </c:pt>
                <c:pt idx="47">
                  <c:v>47818</c:v>
                </c:pt>
                <c:pt idx="48">
                  <c:v>47849</c:v>
                </c:pt>
                <c:pt idx="49">
                  <c:v>47880</c:v>
                </c:pt>
                <c:pt idx="50">
                  <c:v>47908</c:v>
                </c:pt>
                <c:pt idx="51">
                  <c:v>47939</c:v>
                </c:pt>
                <c:pt idx="52">
                  <c:v>47969</c:v>
                </c:pt>
                <c:pt idx="53">
                  <c:v>48000</c:v>
                </c:pt>
                <c:pt idx="54">
                  <c:v>48030</c:v>
                </c:pt>
                <c:pt idx="55">
                  <c:v>48061</c:v>
                </c:pt>
                <c:pt idx="56">
                  <c:v>48092</c:v>
                </c:pt>
                <c:pt idx="57">
                  <c:v>48122</c:v>
                </c:pt>
                <c:pt idx="58">
                  <c:v>48153</c:v>
                </c:pt>
                <c:pt idx="59">
                  <c:v>48183</c:v>
                </c:pt>
              </c:numCache>
            </c:numRef>
          </c:cat>
          <c:val>
            <c:numRef>
              <c:f>'Результаты'!$C$104:$C$163</c:f>
              <c:numCache>
                <c:formatCode>#,##0.00</c:formatCode>
                <c:ptCount val="60"/>
                <c:pt idx="0">
                  <c:v>59.356363307393501</c:v>
                </c:pt>
                <c:pt idx="1">
                  <c:v>56.894806664244001</c:v>
                </c:pt>
                <c:pt idx="2">
                  <c:v>55.220209699274143</c:v>
                </c:pt>
                <c:pt idx="3">
                  <c:v>53.677956680276573</c:v>
                </c:pt>
                <c:pt idx="4">
                  <c:v>52.497876342993699</c:v>
                </c:pt>
                <c:pt idx="5">
                  <c:v>51.293004513526412</c:v>
                </c:pt>
                <c:pt idx="6">
                  <c:v>50.262302241400555</c:v>
                </c:pt>
                <c:pt idx="7">
                  <c:v>49.728115583142348</c:v>
                </c:pt>
                <c:pt idx="8">
                  <c:v>48.941550942427739</c:v>
                </c:pt>
                <c:pt idx="9">
                  <c:v>48.499690654263993</c:v>
                </c:pt>
                <c:pt idx="10">
                  <c:v>47.946455630660452</c:v>
                </c:pt>
                <c:pt idx="11">
                  <c:v>47.325515097658069</c:v>
                </c:pt>
                <c:pt idx="12">
                  <c:v>46.667391669453572</c:v>
                </c:pt>
                <c:pt idx="13">
                  <c:v>46.176462441131875</c:v>
                </c:pt>
                <c:pt idx="14">
                  <c:v>45.600902670604462</c:v>
                </c:pt>
                <c:pt idx="15">
                  <c:v>45.122313232235655</c:v>
                </c:pt>
                <c:pt idx="16">
                  <c:v>44.794094313026072</c:v>
                </c:pt>
                <c:pt idx="17">
                  <c:v>44.408928973198719</c:v>
                </c:pt>
                <c:pt idx="18">
                  <c:v>44.23577083801046</c:v>
                </c:pt>
                <c:pt idx="19">
                  <c:v>43.628887376603842</c:v>
                </c:pt>
                <c:pt idx="20">
                  <c:v>43.38219719715736</c:v>
                </c:pt>
                <c:pt idx="21">
                  <c:v>42.871740842544256</c:v>
                </c:pt>
                <c:pt idx="22">
                  <c:v>42.514092566973311</c:v>
                </c:pt>
                <c:pt idx="23">
                  <c:v>42.365440809665202</c:v>
                </c:pt>
                <c:pt idx="24">
                  <c:v>42.156835653837362</c:v>
                </c:pt>
                <c:pt idx="25">
                  <c:v>42.025757431282763</c:v>
                </c:pt>
                <c:pt idx="26">
                  <c:v>41.769781414547737</c:v>
                </c:pt>
                <c:pt idx="27">
                  <c:v>41.347165780627023</c:v>
                </c:pt>
                <c:pt idx="28">
                  <c:v>41.257953958784263</c:v>
                </c:pt>
                <c:pt idx="29">
                  <c:v>40.916370668880418</c:v>
                </c:pt>
                <c:pt idx="30">
                  <c:v>40.685667399312003</c:v>
                </c:pt>
                <c:pt idx="31">
                  <c:v>40.472617402558569</c:v>
                </c:pt>
                <c:pt idx="32">
                  <c:v>40.131785534168039</c:v>
                </c:pt>
                <c:pt idx="33">
                  <c:v>39.982158258617176</c:v>
                </c:pt>
                <c:pt idx="34">
                  <c:v>40.028591537002676</c:v>
                </c:pt>
                <c:pt idx="35">
                  <c:v>39.832481464644964</c:v>
                </c:pt>
                <c:pt idx="36">
                  <c:v>39.340004117171247</c:v>
                </c:pt>
                <c:pt idx="37">
                  <c:v>39.300061568189221</c:v>
                </c:pt>
                <c:pt idx="38">
                  <c:v>39.091281421494195</c:v>
                </c:pt>
                <c:pt idx="39">
                  <c:v>38.88063956554921</c:v>
                </c:pt>
                <c:pt idx="40">
                  <c:v>38.502079669690076</c:v>
                </c:pt>
                <c:pt idx="41">
                  <c:v>38.371174699522847</c:v>
                </c:pt>
                <c:pt idx="42">
                  <c:v>38.442626896464454</c:v>
                </c:pt>
                <c:pt idx="43">
                  <c:v>38.091584427661772</c:v>
                </c:pt>
                <c:pt idx="44">
                  <c:v>38.078591465813268</c:v>
                </c:pt>
                <c:pt idx="45">
                  <c:v>37.83213971946553</c:v>
                </c:pt>
                <c:pt idx="46">
                  <c:v>37.733036129505422</c:v>
                </c:pt>
                <c:pt idx="47">
                  <c:v>37.344550293422095</c:v>
                </c:pt>
                <c:pt idx="48">
                  <c:v>37.148526347385918</c:v>
                </c:pt>
                <c:pt idx="49">
                  <c:v>37.045902699433043</c:v>
                </c:pt>
                <c:pt idx="50">
                  <c:v>36.858731563861646</c:v>
                </c:pt>
                <c:pt idx="51">
                  <c:v>36.567396179586467</c:v>
                </c:pt>
                <c:pt idx="52">
                  <c:v>36.4426808388708</c:v>
                </c:pt>
                <c:pt idx="53">
                  <c:v>36.295489183676089</c:v>
                </c:pt>
                <c:pt idx="54">
                  <c:v>36.11017325403219</c:v>
                </c:pt>
                <c:pt idx="55">
                  <c:v>35.914155002933349</c:v>
                </c:pt>
                <c:pt idx="56">
                  <c:v>35.700430191696334</c:v>
                </c:pt>
                <c:pt idx="57">
                  <c:v>35.650747367874985</c:v>
                </c:pt>
                <c:pt idx="58">
                  <c:v>35.683989511081364</c:v>
                </c:pt>
                <c:pt idx="59">
                  <c:v>35.662290606383777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031-4AE2-9123-7B9BBDC562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dateAx>
        <c:axId val="10"/>
        <c:scaling>
          <c:orientation val="minMax"/>
        </c:scaling>
        <c:delete val="0"/>
        <c:axPos val="b"/>
        <c:numFmt formatCode="yyyy" sourceLinked="0"/>
        <c:majorTickMark val="none"/>
        <c:minorTickMark val="none"/>
        <c:tickLblPos val="nextTo"/>
        <c:crossAx val="100"/>
        <c:crosses val="autoZero"/>
        <c:auto val="1"/>
        <c:lblOffset val="100"/>
        <c:baseTimeUnit val="months"/>
        <c:majorUnit val="12"/>
        <c:minorUnit val="12"/>
      </c:dateAx>
      <c:valAx>
        <c:axId val="100"/>
        <c:scaling>
          <c:orientation val="minMax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Цена (долл./барр.)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3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Усреднение моделей</c:v>
          </c:tx>
          <c:spPr>
            <a:ln w="25400">
              <a:solidFill>
                <a:srgbClr val="2F3136"/>
              </a:solidFill>
              <a:prstDash val="solid"/>
            </a:ln>
          </c:spPr>
          <c:marker>
            <c:symbol val="none"/>
          </c:marker>
          <c:xVal>
            <c:numRef>
              <c:f>'Результаты'!$D$52:$D$99</c:f>
              <c:numCache>
                <c:formatCode>#,##0.00</c:formatCode>
                <c:ptCount val="48"/>
                <c:pt idx="0">
                  <c:v>18.284037310553945</c:v>
                </c:pt>
                <c:pt idx="1">
                  <c:v>24.945041982640301</c:v>
                </c:pt>
                <c:pt idx="2">
                  <c:v>29.37844378873179</c:v>
                </c:pt>
                <c:pt idx="3">
                  <c:v>32.925994008009781</c:v>
                </c:pt>
                <c:pt idx="4">
                  <c:v>35.965023368506685</c:v>
                </c:pt>
                <c:pt idx="5">
                  <c:v>38.404224631059215</c:v>
                </c:pt>
                <c:pt idx="6">
                  <c:v>40.269545921903678</c:v>
                </c:pt>
                <c:pt idx="7">
                  <c:v>42.242650059129154</c:v>
                </c:pt>
                <c:pt idx="8">
                  <c:v>43.86698868644865</c:v>
                </c:pt>
                <c:pt idx="9">
                  <c:v>45.218107080841996</c:v>
                </c:pt>
                <c:pt idx="10">
                  <c:v>46.623177756592554</c:v>
                </c:pt>
                <c:pt idx="11">
                  <c:v>47.934789566611933</c:v>
                </c:pt>
                <c:pt idx="12">
                  <c:v>49.112645122977789</c:v>
                </c:pt>
                <c:pt idx="13">
                  <c:v>50.37347092290122</c:v>
                </c:pt>
                <c:pt idx="14">
                  <c:v>51.387942235389964</c:v>
                </c:pt>
                <c:pt idx="15">
                  <c:v>52.457520944845278</c:v>
                </c:pt>
                <c:pt idx="16">
                  <c:v>53.696969991758031</c:v>
                </c:pt>
                <c:pt idx="17">
                  <c:v>54.787216172427698</c:v>
                </c:pt>
                <c:pt idx="18">
                  <c:v>55.845410371444586</c:v>
                </c:pt>
                <c:pt idx="19">
                  <c:v>56.949022195984504</c:v>
                </c:pt>
                <c:pt idx="20">
                  <c:v>57.994957682254011</c:v>
                </c:pt>
                <c:pt idx="21">
                  <c:v>59.053339604687388</c:v>
                </c:pt>
                <c:pt idx="22">
                  <c:v>60.128840762744041</c:v>
                </c:pt>
                <c:pt idx="23">
                  <c:v>61.154584443258358</c:v>
                </c:pt>
                <c:pt idx="24">
                  <c:v>62.150223378844039</c:v>
                </c:pt>
                <c:pt idx="25">
                  <c:v>63.193506460342967</c:v>
                </c:pt>
                <c:pt idx="26">
                  <c:v>64.38919608222416</c:v>
                </c:pt>
                <c:pt idx="27">
                  <c:v>65.660593390589852</c:v>
                </c:pt>
                <c:pt idx="28">
                  <c:v>66.865969076114155</c:v>
                </c:pt>
                <c:pt idx="29">
                  <c:v>68.098873104592812</c:v>
                </c:pt>
                <c:pt idx="30">
                  <c:v>69.585116905291855</c:v>
                </c:pt>
                <c:pt idx="31">
                  <c:v>71.407623603860671</c:v>
                </c:pt>
                <c:pt idx="32">
                  <c:v>73.002739938302057</c:v>
                </c:pt>
                <c:pt idx="33">
                  <c:v>74.930996672090856</c:v>
                </c:pt>
                <c:pt idx="34">
                  <c:v>76.897261626112737</c:v>
                </c:pt>
                <c:pt idx="35">
                  <c:v>79.094802105875829</c:v>
                </c:pt>
                <c:pt idx="36">
                  <c:v>81.659140514805316</c:v>
                </c:pt>
                <c:pt idx="37">
                  <c:v>84.162746616168974</c:v>
                </c:pt>
                <c:pt idx="38">
                  <c:v>87.195231385775614</c:v>
                </c:pt>
                <c:pt idx="39">
                  <c:v>90.689017386765215</c:v>
                </c:pt>
                <c:pt idx="40">
                  <c:v>95.53808844011796</c:v>
                </c:pt>
                <c:pt idx="41">
                  <c:v>101.65405292475567</c:v>
                </c:pt>
                <c:pt idx="42">
                  <c:v>107.52094708823871</c:v>
                </c:pt>
                <c:pt idx="43">
                  <c:v>114.51676463491931</c:v>
                </c:pt>
                <c:pt idx="44">
                  <c:v>123.3409620387488</c:v>
                </c:pt>
                <c:pt idx="45">
                  <c:v>135.49096329527268</c:v>
                </c:pt>
                <c:pt idx="46">
                  <c:v>150.52893053743017</c:v>
                </c:pt>
                <c:pt idx="47">
                  <c:v>173.15895167851042</c:v>
                </c:pt>
              </c:numCache>
            </c:numRef>
          </c:xVal>
          <c:yVal>
            <c:numRef>
              <c:f>'Результаты'!$B$52:$B$99</c:f>
              <c:numCache>
                <c:formatCode>0%</c:formatCode>
                <c:ptCount val="48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C17-4E93-A865-2323C5D88223}"/>
            </c:ext>
          </c:extLst>
        </c:ser>
        <c:ser>
          <c:idx val="1"/>
          <c:order val="1"/>
          <c:tx>
            <c:v>Случайное блуждание (GBM)</c:v>
          </c:tx>
          <c:spPr>
            <a:ln w="25400">
              <a:solidFill>
                <a:srgbClr val="B45309"/>
              </a:solidFill>
              <a:prstDash val="dash"/>
            </a:ln>
          </c:spPr>
          <c:marker>
            <c:symbol val="none"/>
          </c:marker>
          <c:xVal>
            <c:numRef>
              <c:f>'Результаты'!$E$52:$E$99</c:f>
              <c:numCache>
                <c:formatCode>#,##0.00</c:formatCode>
                <c:ptCount val="48"/>
                <c:pt idx="0">
                  <c:v>15.32915728814387</c:v>
                </c:pt>
                <c:pt idx="1">
                  <c:v>20.594084697962071</c:v>
                </c:pt>
                <c:pt idx="2">
                  <c:v>24.302021090808523</c:v>
                </c:pt>
                <c:pt idx="3">
                  <c:v>26.749721034924079</c:v>
                </c:pt>
                <c:pt idx="4">
                  <c:v>29.2899054970995</c:v>
                </c:pt>
                <c:pt idx="5">
                  <c:v>31.55723730340446</c:v>
                </c:pt>
                <c:pt idx="6">
                  <c:v>33.652350378461669</c:v>
                </c:pt>
                <c:pt idx="7">
                  <c:v>35.731616826626983</c:v>
                </c:pt>
                <c:pt idx="8">
                  <c:v>37.895538919528171</c:v>
                </c:pt>
                <c:pt idx="9">
                  <c:v>39.54661868338318</c:v>
                </c:pt>
                <c:pt idx="10">
                  <c:v>41.593234593829365</c:v>
                </c:pt>
                <c:pt idx="11">
                  <c:v>43.66531061482241</c:v>
                </c:pt>
                <c:pt idx="12">
                  <c:v>45.765477303323202</c:v>
                </c:pt>
                <c:pt idx="13">
                  <c:v>47.578060598449305</c:v>
                </c:pt>
                <c:pt idx="14">
                  <c:v>49.777656464547498</c:v>
                </c:pt>
                <c:pt idx="15">
                  <c:v>51.588546237215013</c:v>
                </c:pt>
                <c:pt idx="16">
                  <c:v>53.666190149105887</c:v>
                </c:pt>
                <c:pt idx="17">
                  <c:v>55.826638323357308</c:v>
                </c:pt>
                <c:pt idx="18">
                  <c:v>57.873481788356763</c:v>
                </c:pt>
                <c:pt idx="19">
                  <c:v>60.013361140868703</c:v>
                </c:pt>
                <c:pt idx="20">
                  <c:v>62.142859771835674</c:v>
                </c:pt>
                <c:pt idx="21">
                  <c:v>64.295584030206001</c:v>
                </c:pt>
                <c:pt idx="22">
                  <c:v>66.889109856336816</c:v>
                </c:pt>
                <c:pt idx="23">
                  <c:v>69.183321430683364</c:v>
                </c:pt>
                <c:pt idx="24">
                  <c:v>71.581710832724411</c:v>
                </c:pt>
                <c:pt idx="25">
                  <c:v>74.051405461184828</c:v>
                </c:pt>
                <c:pt idx="26">
                  <c:v>76.721047483624986</c:v>
                </c:pt>
                <c:pt idx="27">
                  <c:v>79.488122248240799</c:v>
                </c:pt>
                <c:pt idx="28">
                  <c:v>82.176409326027652</c:v>
                </c:pt>
                <c:pt idx="29">
                  <c:v>85.072527508366605</c:v>
                </c:pt>
                <c:pt idx="30">
                  <c:v>87.893414634285818</c:v>
                </c:pt>
                <c:pt idx="31">
                  <c:v>90.684739357720616</c:v>
                </c:pt>
                <c:pt idx="32">
                  <c:v>94.044735643452825</c:v>
                </c:pt>
                <c:pt idx="33">
                  <c:v>97.849083143073031</c:v>
                </c:pt>
                <c:pt idx="34">
                  <c:v>101.99058903250949</c:v>
                </c:pt>
                <c:pt idx="35">
                  <c:v>105.71172601386201</c:v>
                </c:pt>
                <c:pt idx="36">
                  <c:v>109.38127550510593</c:v>
                </c:pt>
                <c:pt idx="37">
                  <c:v>113.85915907942628</c:v>
                </c:pt>
                <c:pt idx="38">
                  <c:v>118.71834561816308</c:v>
                </c:pt>
                <c:pt idx="39">
                  <c:v>123.71810272781869</c:v>
                </c:pt>
                <c:pt idx="40">
                  <c:v>129.38119566997821</c:v>
                </c:pt>
                <c:pt idx="41">
                  <c:v>136.1379038025124</c:v>
                </c:pt>
                <c:pt idx="42">
                  <c:v>143.51594773516209</c:v>
                </c:pt>
                <c:pt idx="43">
                  <c:v>152.14934501553822</c:v>
                </c:pt>
                <c:pt idx="44">
                  <c:v>161.96443882099183</c:v>
                </c:pt>
                <c:pt idx="45">
                  <c:v>174.85770494361793</c:v>
                </c:pt>
                <c:pt idx="46">
                  <c:v>190.47465999476174</c:v>
                </c:pt>
                <c:pt idx="47">
                  <c:v>214.69003158841812</c:v>
                </c:pt>
              </c:numCache>
            </c:numRef>
          </c:xVal>
          <c:yVal>
            <c:numRef>
              <c:f>'Результаты'!$B$52:$B$99</c:f>
              <c:numCache>
                <c:formatCode>0%</c:formatCode>
                <c:ptCount val="48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3C17-4E93-A865-2323C5D88223}"/>
            </c:ext>
          </c:extLst>
        </c:ser>
        <c:ser>
          <c:idx val="2"/>
          <c:order val="2"/>
          <c:tx>
            <c:v>Возврат к среднему (GBMVR)</c:v>
          </c:tx>
          <c:spPr>
            <a:ln w="25400">
              <a:solidFill>
                <a:srgbClr val="15803D"/>
              </a:solidFill>
              <a:prstDash val="solid"/>
            </a:ln>
          </c:spPr>
          <c:marker>
            <c:symbol val="none"/>
          </c:marker>
          <c:xVal>
            <c:numRef>
              <c:f>'Результаты'!$F$52:$F$99</c:f>
              <c:numCache>
                <c:formatCode>#,##0.00</c:formatCode>
                <c:ptCount val="48"/>
                <c:pt idx="0">
                  <c:v>31.841764612944957</c:v>
                </c:pt>
                <c:pt idx="1">
                  <c:v>36.783401849109275</c:v>
                </c:pt>
                <c:pt idx="2">
                  <c:v>39.47027029297513</c:v>
                </c:pt>
                <c:pt idx="3">
                  <c:v>41.33352850496609</c:v>
                </c:pt>
                <c:pt idx="4">
                  <c:v>42.796239104462735</c:v>
                </c:pt>
                <c:pt idx="5">
                  <c:v>44.119863372811437</c:v>
                </c:pt>
                <c:pt idx="6">
                  <c:v>45.273609005755297</c:v>
                </c:pt>
                <c:pt idx="7">
                  <c:v>46.316935101922176</c:v>
                </c:pt>
                <c:pt idx="8">
                  <c:v>47.320998784278487</c:v>
                </c:pt>
                <c:pt idx="9">
                  <c:v>48.195211985894247</c:v>
                </c:pt>
                <c:pt idx="10">
                  <c:v>48.998793424014117</c:v>
                </c:pt>
                <c:pt idx="11">
                  <c:v>49.932154306153244</c:v>
                </c:pt>
                <c:pt idx="12">
                  <c:v>50.709703294926129</c:v>
                </c:pt>
                <c:pt idx="13">
                  <c:v>51.404289537386397</c:v>
                </c:pt>
                <c:pt idx="14">
                  <c:v>52.161334246454061</c:v>
                </c:pt>
                <c:pt idx="15">
                  <c:v>52.912206911839185</c:v>
                </c:pt>
                <c:pt idx="16">
                  <c:v>53.587961872115351</c:v>
                </c:pt>
                <c:pt idx="17">
                  <c:v>54.265066822111265</c:v>
                </c:pt>
                <c:pt idx="18">
                  <c:v>54.927271302578191</c:v>
                </c:pt>
                <c:pt idx="19">
                  <c:v>55.647499196545759</c:v>
                </c:pt>
                <c:pt idx="20">
                  <c:v>56.339765322636367</c:v>
                </c:pt>
                <c:pt idx="21">
                  <c:v>57.011706638662936</c:v>
                </c:pt>
                <c:pt idx="22">
                  <c:v>57.651435715221801</c:v>
                </c:pt>
                <c:pt idx="23">
                  <c:v>58.370319487639669</c:v>
                </c:pt>
                <c:pt idx="24">
                  <c:v>59.081763282999923</c:v>
                </c:pt>
                <c:pt idx="25">
                  <c:v>59.80384484502747</c:v>
                </c:pt>
                <c:pt idx="26">
                  <c:v>60.569598465827681</c:v>
                </c:pt>
                <c:pt idx="27">
                  <c:v>61.29477377642899</c:v>
                </c:pt>
                <c:pt idx="28">
                  <c:v>61.960754531290853</c:v>
                </c:pt>
                <c:pt idx="29">
                  <c:v>62.62121920377087</c:v>
                </c:pt>
                <c:pt idx="30">
                  <c:v>63.481609415895242</c:v>
                </c:pt>
                <c:pt idx="31">
                  <c:v>64.26993437740542</c:v>
                </c:pt>
                <c:pt idx="32">
                  <c:v>65.042567394708925</c:v>
                </c:pt>
                <c:pt idx="33">
                  <c:v>65.895970105856236</c:v>
                </c:pt>
                <c:pt idx="34">
                  <c:v>66.756549292508396</c:v>
                </c:pt>
                <c:pt idx="35">
                  <c:v>67.623084181647968</c:v>
                </c:pt>
                <c:pt idx="36">
                  <c:v>68.567459067667841</c:v>
                </c:pt>
                <c:pt idx="37">
                  <c:v>69.58044123358026</c:v>
                </c:pt>
                <c:pt idx="38">
                  <c:v>70.845593493079051</c:v>
                </c:pt>
                <c:pt idx="39">
                  <c:v>72.105619483346288</c:v>
                </c:pt>
                <c:pt idx="40">
                  <c:v>73.514025616217779</c:v>
                </c:pt>
                <c:pt idx="41">
                  <c:v>74.985330324746357</c:v>
                </c:pt>
                <c:pt idx="42">
                  <c:v>76.504620675244908</c:v>
                </c:pt>
                <c:pt idx="43">
                  <c:v>78.171621486171901</c:v>
                </c:pt>
                <c:pt idx="44">
                  <c:v>80.361156345878996</c:v>
                </c:pt>
                <c:pt idx="45">
                  <c:v>82.967989774640458</c:v>
                </c:pt>
                <c:pt idx="46">
                  <c:v>85.92943408755302</c:v>
                </c:pt>
                <c:pt idx="47">
                  <c:v>89.903234583177152</c:v>
                </c:pt>
              </c:numCache>
            </c:numRef>
          </c:xVal>
          <c:yVal>
            <c:numRef>
              <c:f>'Результаты'!$B$52:$B$99</c:f>
              <c:numCache>
                <c:formatCode>0%</c:formatCode>
                <c:ptCount val="48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3C17-4E93-A865-2323C5D88223}"/>
            </c:ext>
          </c:extLst>
        </c:ser>
        <c:ser>
          <c:idx val="3"/>
          <c:order val="3"/>
          <c:tx>
            <c:v>Со скачками (GBMAJVR)</c:v>
          </c:tx>
          <c:spPr>
            <a:ln w="25400">
              <a:solidFill>
                <a:srgbClr val="E85F2E"/>
              </a:solidFill>
              <a:prstDash val="solid"/>
            </a:ln>
          </c:spPr>
          <c:marker>
            <c:symbol val="none"/>
          </c:marker>
          <c:xVal>
            <c:numRef>
              <c:f>'Результаты'!$G$52:$G$99</c:f>
              <c:numCache>
                <c:formatCode>#,##0.00</c:formatCode>
                <c:ptCount val="48"/>
                <c:pt idx="0">
                  <c:v>36.666028553132442</c:v>
                </c:pt>
                <c:pt idx="1">
                  <c:v>40.1891944965273</c:v>
                </c:pt>
                <c:pt idx="2">
                  <c:v>42.272397369752433</c:v>
                </c:pt>
                <c:pt idx="3">
                  <c:v>43.753677662982263</c:v>
                </c:pt>
                <c:pt idx="4">
                  <c:v>44.84310258310429</c:v>
                </c:pt>
                <c:pt idx="5">
                  <c:v>45.883017605471593</c:v>
                </c:pt>
                <c:pt idx="6">
                  <c:v>46.904494536904771</c:v>
                </c:pt>
                <c:pt idx="7">
                  <c:v>47.703763885175213</c:v>
                </c:pt>
                <c:pt idx="8">
                  <c:v>48.582526633137519</c:v>
                </c:pt>
                <c:pt idx="9">
                  <c:v>49.213406755660237</c:v>
                </c:pt>
                <c:pt idx="10">
                  <c:v>49.868894262584917</c:v>
                </c:pt>
                <c:pt idx="11">
                  <c:v>50.547368264388815</c:v>
                </c:pt>
                <c:pt idx="12">
                  <c:v>51.190864438452813</c:v>
                </c:pt>
                <c:pt idx="13">
                  <c:v>51.805388830922375</c:v>
                </c:pt>
                <c:pt idx="14">
                  <c:v>52.46027137904364</c:v>
                </c:pt>
                <c:pt idx="15">
                  <c:v>53.039305668535604</c:v>
                </c:pt>
                <c:pt idx="16">
                  <c:v>53.541052880993867</c:v>
                </c:pt>
                <c:pt idx="17">
                  <c:v>54.123932273957358</c:v>
                </c:pt>
                <c:pt idx="18">
                  <c:v>54.766381970801099</c:v>
                </c:pt>
                <c:pt idx="19">
                  <c:v>55.323597700056887</c:v>
                </c:pt>
                <c:pt idx="20">
                  <c:v>55.886475412233601</c:v>
                </c:pt>
                <c:pt idx="21">
                  <c:v>56.479960444245272</c:v>
                </c:pt>
                <c:pt idx="22">
                  <c:v>57.008770201288222</c:v>
                </c:pt>
                <c:pt idx="23">
                  <c:v>57.564505234653346</c:v>
                </c:pt>
                <c:pt idx="24">
                  <c:v>58.134257273439545</c:v>
                </c:pt>
                <c:pt idx="25">
                  <c:v>58.768655174569545</c:v>
                </c:pt>
                <c:pt idx="26">
                  <c:v>59.271993781430957</c:v>
                </c:pt>
                <c:pt idx="27">
                  <c:v>59.834055904533159</c:v>
                </c:pt>
                <c:pt idx="28">
                  <c:v>60.45050427080357</c:v>
                </c:pt>
                <c:pt idx="29">
                  <c:v>61.019930076265943</c:v>
                </c:pt>
                <c:pt idx="30">
                  <c:v>61.656721779666761</c:v>
                </c:pt>
                <c:pt idx="31">
                  <c:v>62.206191334571379</c:v>
                </c:pt>
                <c:pt idx="32">
                  <c:v>62.875808563740797</c:v>
                </c:pt>
                <c:pt idx="33">
                  <c:v>63.542057085907182</c:v>
                </c:pt>
                <c:pt idx="34">
                  <c:v>64.302712450956918</c:v>
                </c:pt>
                <c:pt idx="35">
                  <c:v>65.113223465033272</c:v>
                </c:pt>
                <c:pt idx="36">
                  <c:v>65.885096607396392</c:v>
                </c:pt>
                <c:pt idx="37">
                  <c:v>66.578089419639156</c:v>
                </c:pt>
                <c:pt idx="38">
                  <c:v>67.443911526690115</c:v>
                </c:pt>
                <c:pt idx="39">
                  <c:v>68.418435381446798</c:v>
                </c:pt>
                <c:pt idx="40">
                  <c:v>69.3738523133038</c:v>
                </c:pt>
                <c:pt idx="41">
                  <c:v>70.288298498807805</c:v>
                </c:pt>
                <c:pt idx="42">
                  <c:v>71.477070353716101</c:v>
                </c:pt>
                <c:pt idx="43">
                  <c:v>72.788754002442943</c:v>
                </c:pt>
                <c:pt idx="44">
                  <c:v>74.299609839200855</c:v>
                </c:pt>
                <c:pt idx="45">
                  <c:v>76.121959094600072</c:v>
                </c:pt>
                <c:pt idx="46">
                  <c:v>78.102555596453271</c:v>
                </c:pt>
                <c:pt idx="47">
                  <c:v>80.779480000286583</c:v>
                </c:pt>
              </c:numCache>
            </c:numRef>
          </c:xVal>
          <c:yVal>
            <c:numRef>
              <c:f>'Результаты'!$B$52:$B$99</c:f>
              <c:numCache>
                <c:formatCode>0%</c:formatCode>
                <c:ptCount val="48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3C17-4E93-A865-2323C5D882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Цена (долл./барр.)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Накопленная вероятность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min"/>
        <c:crossBetween val="midCat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</xdr:row>
      <xdr:rowOff>0</xdr:rowOff>
    </xdr:from>
    <xdr:ext cx="9144000" cy="1524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20</xdr:row>
      <xdr:rowOff>0</xdr:rowOff>
    </xdr:from>
    <xdr:ext cx="7020000" cy="2736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20</xdr:row>
      <xdr:rowOff>0</xdr:rowOff>
    </xdr:from>
    <xdr:ext cx="7920000" cy="295199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9</xdr:row>
      <xdr:rowOff>0</xdr:rowOff>
    </xdr:from>
    <xdr:ext cx="6263999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8</xdr:col>
      <xdr:colOff>0</xdr:colOff>
      <xdr:row>28</xdr:row>
      <xdr:rowOff>0</xdr:rowOff>
    </xdr:from>
    <xdr:ext cx="6263999" cy="2664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F3136"/>
    <pageSetUpPr fitToPage="1"/>
  </sheetPr>
  <dimension ref="A1:D81"/>
  <sheetViews>
    <sheetView showGridLines="0" tabSelected="1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26" customWidth="1"/>
    <col min="3" max="3" width="112" customWidth="1"/>
    <col min="4" max="4" width="2" customWidth="1"/>
    <col min="6" max="6" width="9.06640625" customWidth="1"/>
  </cols>
  <sheetData>
    <row r="1" spans="1:4" ht="6" customHeight="1" x14ac:dyDescent="0.45"/>
    <row r="2" spans="1:4" ht="34.049999999999997" customHeight="1" x14ac:dyDescent="0.45">
      <c r="A2" s="1"/>
      <c r="B2" s="2" t="s">
        <v>0</v>
      </c>
      <c r="C2" s="1"/>
      <c r="D2" s="3" t="s">
        <v>1</v>
      </c>
    </row>
    <row r="3" spans="1:4" ht="20" customHeight="1" x14ac:dyDescent="0.45">
      <c r="A3" s="1"/>
      <c r="B3" s="4" t="s">
        <v>2</v>
      </c>
      <c r="C3" s="1"/>
      <c r="D3" s="1"/>
    </row>
    <row r="4" spans="1:4" ht="20" customHeight="1" x14ac:dyDescent="0.45">
      <c r="A4" s="5"/>
      <c r="B4" s="5"/>
      <c r="C4" s="5"/>
      <c r="D4" s="6" t="s">
        <v>3</v>
      </c>
    </row>
    <row r="5" spans="1:4" ht="8" customHeight="1" x14ac:dyDescent="0.45"/>
    <row r="6" spans="1:4" ht="22.05" customHeight="1" x14ac:dyDescent="0.5">
      <c r="B6" s="7" t="s">
        <v>4</v>
      </c>
      <c r="C6" s="8"/>
    </row>
    <row r="7" spans="1:4" x14ac:dyDescent="0.45">
      <c r="B7" s="9" t="s">
        <v>5</v>
      </c>
      <c r="C7" s="10" t="s">
        <v>6</v>
      </c>
    </row>
    <row r="8" spans="1:4" x14ac:dyDescent="0.45">
      <c r="B8" s="9" t="s">
        <v>7</v>
      </c>
      <c r="C8" s="10" t="s">
        <v>8</v>
      </c>
    </row>
    <row r="9" spans="1:4" ht="26.25" x14ac:dyDescent="0.45">
      <c r="B9" s="9" t="s">
        <v>9</v>
      </c>
      <c r="C9" s="11" t="s">
        <v>10</v>
      </c>
    </row>
    <row r="10" spans="1:4" x14ac:dyDescent="0.45">
      <c r="B10" s="9" t="s">
        <v>11</v>
      </c>
      <c r="C10" s="10" t="s">
        <v>12</v>
      </c>
    </row>
    <row r="11" spans="1:4" ht="26.25" x14ac:dyDescent="0.45">
      <c r="B11" s="9" t="s">
        <v>13</v>
      </c>
      <c r="C11" s="10" t="s">
        <v>14</v>
      </c>
    </row>
    <row r="12" spans="1:4" ht="39.4" x14ac:dyDescent="0.45">
      <c r="B12" s="9" t="s">
        <v>15</v>
      </c>
      <c r="C12" s="10" t="s">
        <v>16</v>
      </c>
    </row>
    <row r="13" spans="1:4" x14ac:dyDescent="0.45">
      <c r="B13" s="9" t="s">
        <v>17</v>
      </c>
      <c r="C13" s="10" t="s">
        <v>18</v>
      </c>
    </row>
    <row r="14" spans="1:4" ht="12" customHeight="1" x14ac:dyDescent="0.45"/>
    <row r="15" spans="1:4" ht="22.05" customHeight="1" x14ac:dyDescent="0.5">
      <c r="B15" s="7" t="s">
        <v>19</v>
      </c>
      <c r="C15" s="8"/>
    </row>
    <row r="16" spans="1:4" ht="70.05" customHeight="1" x14ac:dyDescent="0.45">
      <c r="B16" s="71" t="s">
        <v>20</v>
      </c>
      <c r="C16" s="72"/>
    </row>
    <row r="17" spans="2:3" ht="12" customHeight="1" x14ac:dyDescent="0.45"/>
    <row r="18" spans="2:3" ht="22.05" customHeight="1" x14ac:dyDescent="0.5">
      <c r="B18" s="7" t="s">
        <v>21</v>
      </c>
      <c r="C18" s="8"/>
    </row>
    <row r="19" spans="2:3" ht="18" customHeight="1" x14ac:dyDescent="0.45">
      <c r="B19" s="13" t="s">
        <v>22</v>
      </c>
    </row>
    <row r="20" spans="2:3" ht="15" customHeight="1" x14ac:dyDescent="0.45"/>
    <row r="21" spans="2:3" ht="15" customHeight="1" x14ac:dyDescent="0.45"/>
    <row r="22" spans="2:3" ht="15" customHeight="1" x14ac:dyDescent="0.45"/>
    <row r="23" spans="2:3" ht="15" customHeight="1" x14ac:dyDescent="0.45"/>
    <row r="24" spans="2:3" ht="15" customHeight="1" x14ac:dyDescent="0.45"/>
    <row r="25" spans="2:3" ht="15" customHeight="1" x14ac:dyDescent="0.45"/>
    <row r="26" spans="2:3" ht="15" customHeight="1" x14ac:dyDescent="0.45"/>
    <row r="27" spans="2:3" ht="15" customHeight="1" x14ac:dyDescent="0.45"/>
    <row r="28" spans="2:3" ht="26.25" x14ac:dyDescent="0.45">
      <c r="B28" s="9" t="s">
        <v>23</v>
      </c>
      <c r="C28" s="10" t="s">
        <v>24</v>
      </c>
    </row>
    <row r="29" spans="2:3" ht="26.25" x14ac:dyDescent="0.45">
      <c r="B29" s="9" t="s">
        <v>25</v>
      </c>
      <c r="C29" s="10" t="s">
        <v>26</v>
      </c>
    </row>
    <row r="30" spans="2:3" ht="39.4" x14ac:dyDescent="0.45">
      <c r="B30" s="9" t="s">
        <v>27</v>
      </c>
      <c r="C30" s="10" t="s">
        <v>28</v>
      </c>
    </row>
    <row r="31" spans="2:3" ht="39.4" x14ac:dyDescent="0.45">
      <c r="B31" s="9" t="s">
        <v>29</v>
      </c>
      <c r="C31" s="10" t="s">
        <v>30</v>
      </c>
    </row>
    <row r="32" spans="2:3" ht="26.25" x14ac:dyDescent="0.45">
      <c r="B32" s="9" t="s">
        <v>31</v>
      </c>
      <c r="C32" s="10" t="s">
        <v>32</v>
      </c>
    </row>
    <row r="33" spans="2:3" ht="12" customHeight="1" x14ac:dyDescent="0.45"/>
    <row r="34" spans="2:3" ht="22.05" customHeight="1" x14ac:dyDescent="0.5">
      <c r="B34" s="7" t="s">
        <v>33</v>
      </c>
      <c r="C34" s="8"/>
    </row>
    <row r="35" spans="2:3" ht="26.25" x14ac:dyDescent="0.45">
      <c r="B35" s="9" t="s">
        <v>34</v>
      </c>
      <c r="C35" s="10" t="s">
        <v>35</v>
      </c>
    </row>
    <row r="36" spans="2:3" x14ac:dyDescent="0.45">
      <c r="B36" s="9" t="s">
        <v>36</v>
      </c>
      <c r="C36" s="10" t="s">
        <v>37</v>
      </c>
    </row>
    <row r="37" spans="2:3" x14ac:dyDescent="0.45">
      <c r="B37" s="9" t="s">
        <v>38</v>
      </c>
      <c r="C37" s="10" t="s">
        <v>39</v>
      </c>
    </row>
    <row r="38" spans="2:3" x14ac:dyDescent="0.45">
      <c r="B38" s="9" t="s">
        <v>40</v>
      </c>
      <c r="C38" s="10" t="s">
        <v>41</v>
      </c>
    </row>
    <row r="39" spans="2:3" ht="12" customHeight="1" x14ac:dyDescent="0.45"/>
    <row r="40" spans="2:3" ht="22.05" customHeight="1" x14ac:dyDescent="0.5">
      <c r="B40" s="7" t="s">
        <v>42</v>
      </c>
      <c r="C40" s="8"/>
    </row>
    <row r="41" spans="2:3" x14ac:dyDescent="0.45">
      <c r="B41" s="14" t="s">
        <v>43</v>
      </c>
      <c r="C41" s="10" t="s">
        <v>44</v>
      </c>
    </row>
    <row r="42" spans="2:3" x14ac:dyDescent="0.45">
      <c r="B42" s="14" t="s">
        <v>45</v>
      </c>
      <c r="C42" s="10" t="s">
        <v>46</v>
      </c>
    </row>
    <row r="43" spans="2:3" x14ac:dyDescent="0.45">
      <c r="B43" s="14" t="s">
        <v>47</v>
      </c>
      <c r="C43" s="10" t="s">
        <v>48</v>
      </c>
    </row>
    <row r="44" spans="2:3" x14ac:dyDescent="0.45">
      <c r="B44" s="14" t="s">
        <v>49</v>
      </c>
      <c r="C44" s="10" t="s">
        <v>50</v>
      </c>
    </row>
    <row r="45" spans="2:3" x14ac:dyDescent="0.45">
      <c r="B45" s="14" t="s">
        <v>51</v>
      </c>
      <c r="C45" s="10" t="s">
        <v>52</v>
      </c>
    </row>
    <row r="46" spans="2:3" ht="12" customHeight="1" x14ac:dyDescent="0.45"/>
    <row r="47" spans="2:3" ht="22.05" customHeight="1" x14ac:dyDescent="0.5">
      <c r="B47" s="7" t="s">
        <v>53</v>
      </c>
      <c r="C47" s="8"/>
    </row>
    <row r="48" spans="2:3" x14ac:dyDescent="0.45">
      <c r="B48" s="15" t="s">
        <v>54</v>
      </c>
      <c r="C48" s="12" t="s">
        <v>55</v>
      </c>
    </row>
    <row r="49" spans="2:3" x14ac:dyDescent="0.45">
      <c r="B49" s="16" t="s">
        <v>56</v>
      </c>
      <c r="C49" s="12" t="s">
        <v>57</v>
      </c>
    </row>
    <row r="50" spans="2:3" x14ac:dyDescent="0.45">
      <c r="B50" s="17" t="s">
        <v>58</v>
      </c>
      <c r="C50" s="12" t="s">
        <v>59</v>
      </c>
    </row>
    <row r="51" spans="2:3" x14ac:dyDescent="0.45">
      <c r="B51" s="18" t="s">
        <v>60</v>
      </c>
      <c r="C51" s="12" t="s">
        <v>61</v>
      </c>
    </row>
    <row r="52" spans="2:3" x14ac:dyDescent="0.45">
      <c r="B52" s="19" t="s">
        <v>62</v>
      </c>
      <c r="C52" s="12" t="s">
        <v>63</v>
      </c>
    </row>
    <row r="53" spans="2:3" ht="12" customHeight="1" x14ac:dyDescent="0.45"/>
    <row r="54" spans="2:3" ht="22.05" customHeight="1" x14ac:dyDescent="0.5">
      <c r="B54" s="7" t="s">
        <v>64</v>
      </c>
      <c r="C54" s="8"/>
    </row>
    <row r="55" spans="2:3" x14ac:dyDescent="0.45">
      <c r="B55" s="9" t="s">
        <v>65</v>
      </c>
      <c r="C55" s="10" t="s">
        <v>66</v>
      </c>
    </row>
    <row r="56" spans="2:3" x14ac:dyDescent="0.45">
      <c r="B56" s="9" t="s">
        <v>67</v>
      </c>
      <c r="C56" s="10" t="s">
        <v>68</v>
      </c>
    </row>
    <row r="57" spans="2:3" ht="26.25" x14ac:dyDescent="0.45">
      <c r="B57" s="9" t="s">
        <v>69</v>
      </c>
      <c r="C57" s="10" t="s">
        <v>70</v>
      </c>
    </row>
    <row r="58" spans="2:3" x14ac:dyDescent="0.45">
      <c r="B58" s="9" t="s">
        <v>71</v>
      </c>
      <c r="C58" s="10" t="s">
        <v>72</v>
      </c>
    </row>
    <row r="59" spans="2:3" ht="12" customHeight="1" x14ac:dyDescent="0.45"/>
    <row r="60" spans="2:3" ht="22.05" customHeight="1" x14ac:dyDescent="0.5">
      <c r="B60" s="7" t="s">
        <v>73</v>
      </c>
      <c r="C60" s="8"/>
    </row>
    <row r="61" spans="2:3" x14ac:dyDescent="0.45">
      <c r="B61" s="9" t="s">
        <v>47</v>
      </c>
      <c r="C61" s="10" t="s">
        <v>74</v>
      </c>
    </row>
    <row r="62" spans="2:3" ht="26.25" x14ac:dyDescent="0.45">
      <c r="B62" s="9" t="s">
        <v>75</v>
      </c>
      <c r="C62" s="10" t="s">
        <v>76</v>
      </c>
    </row>
    <row r="63" spans="2:3" x14ac:dyDescent="0.45">
      <c r="B63" s="9" t="s">
        <v>77</v>
      </c>
      <c r="C63" s="10" t="s">
        <v>78</v>
      </c>
    </row>
    <row r="64" spans="2:3" x14ac:dyDescent="0.45">
      <c r="B64" s="9" t="s">
        <v>45</v>
      </c>
      <c r="C64" s="10" t="s">
        <v>79</v>
      </c>
    </row>
    <row r="65" spans="2:3" x14ac:dyDescent="0.45">
      <c r="B65" s="9" t="s">
        <v>80</v>
      </c>
      <c r="C65" s="10" t="s">
        <v>81</v>
      </c>
    </row>
    <row r="66" spans="2:3" ht="12" customHeight="1" x14ac:dyDescent="0.45"/>
    <row r="67" spans="2:3" ht="22.05" customHeight="1" x14ac:dyDescent="0.5">
      <c r="B67" s="7" t="s">
        <v>82</v>
      </c>
      <c r="C67" s="8"/>
    </row>
    <row r="68" spans="2:3" ht="39.4" x14ac:dyDescent="0.45">
      <c r="B68" s="20" t="s">
        <v>83</v>
      </c>
      <c r="C68" s="10" t="s">
        <v>84</v>
      </c>
    </row>
    <row r="69" spans="2:3" ht="26.25" x14ac:dyDescent="0.45">
      <c r="B69" s="20" t="s">
        <v>85</v>
      </c>
      <c r="C69" s="10" t="s">
        <v>86</v>
      </c>
    </row>
    <row r="70" spans="2:3" ht="39.4" x14ac:dyDescent="0.45">
      <c r="B70" s="20" t="s">
        <v>87</v>
      </c>
      <c r="C70" s="10" t="s">
        <v>88</v>
      </c>
    </row>
    <row r="71" spans="2:3" x14ac:dyDescent="0.45">
      <c r="B71" s="20" t="s">
        <v>89</v>
      </c>
      <c r="C71" s="10" t="s">
        <v>90</v>
      </c>
    </row>
    <row r="72" spans="2:3" x14ac:dyDescent="0.45">
      <c r="B72" s="20" t="s">
        <v>91</v>
      </c>
      <c r="C72" s="10" t="s">
        <v>92</v>
      </c>
    </row>
    <row r="73" spans="2:3" x14ac:dyDescent="0.45">
      <c r="B73" s="20" t="s">
        <v>93</v>
      </c>
      <c r="C73" s="10" t="s">
        <v>94</v>
      </c>
    </row>
    <row r="74" spans="2:3" ht="39.4" x14ac:dyDescent="0.45">
      <c r="B74" s="20" t="s">
        <v>95</v>
      </c>
      <c r="C74" s="10" t="s">
        <v>96</v>
      </c>
    </row>
    <row r="75" spans="2:3" ht="12" customHeight="1" x14ac:dyDescent="0.45"/>
    <row r="76" spans="2:3" ht="22.05" customHeight="1" x14ac:dyDescent="0.5">
      <c r="B76" s="7" t="s">
        <v>97</v>
      </c>
      <c r="C76" s="8"/>
    </row>
    <row r="77" spans="2:3" x14ac:dyDescent="0.45">
      <c r="B77" s="9" t="s">
        <v>98</v>
      </c>
      <c r="C77" s="10" t="s">
        <v>99</v>
      </c>
    </row>
    <row r="78" spans="2:3" x14ac:dyDescent="0.45">
      <c r="B78" s="9" t="s">
        <v>100</v>
      </c>
      <c r="C78" s="10" t="s">
        <v>101</v>
      </c>
    </row>
    <row r="79" spans="2:3" x14ac:dyDescent="0.45">
      <c r="B79" s="9" t="s">
        <v>102</v>
      </c>
      <c r="C79" s="10" t="s">
        <v>103</v>
      </c>
    </row>
    <row r="80" spans="2:3" ht="16.05" customHeight="1" x14ac:dyDescent="0.45"/>
    <row r="81" spans="2:3" x14ac:dyDescent="0.45">
      <c r="B81" s="73" t="s">
        <v>104</v>
      </c>
      <c r="C81" s="72"/>
    </row>
  </sheetData>
  <mergeCells count="2">
    <mergeCell ref="B16:C16"/>
    <mergeCell ref="B81:C81"/>
  </mergeCells>
  <hyperlinks>
    <hyperlink ref="D4" location="'Исходные данные'!A1" display="Далее:  Исходные данные  ▸" xr:uid="{00000000-0004-0000-0000-000000000000}"/>
    <hyperlink ref="B41" location="'Исходные данные'!A1" display="Исходные данные" xr:uid="{00000000-0004-0000-0000-000001000000}"/>
    <hyperlink ref="B42" location="'История'!A1" display="История" xr:uid="{00000000-0004-0000-0000-000002000000}"/>
    <hyperlink ref="B43" location="'Модели'!A1" display="Модели" xr:uid="{00000000-0004-0000-0000-000003000000}"/>
    <hyperlink ref="B44" location="'Прогноз'!A1" display="Прогноз" xr:uid="{00000000-0004-0000-0000-000004000000}"/>
    <hyperlink ref="B45" location="'Результаты'!A1" display="Результаты" xr:uid="{00000000-0004-0000-0000-000005000000}"/>
  </hyperlinks>
  <printOptions horizontalCentered="1"/>
  <pageMargins left="0.4" right="0.4" top="0.5" bottom="0.6" header="0.25" footer="0.25"/>
  <pageSetup paperSize="9" scale="67" fitToHeight="0" orientation="portrait" r:id="rId1"/>
  <headerFooter>
    <oddFooter>&amp;L&amp;K3F5876&amp;8&amp;F · &amp;A&amp;R&amp;K3F5876&amp;8Page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0A800"/>
    <pageSetUpPr fitToPage="1"/>
  </sheetPr>
  <dimension ref="A1:J22"/>
  <sheetViews>
    <sheetView showGridLines="0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44" customWidth="1"/>
    <col min="3" max="3" width="19" customWidth="1"/>
    <col min="4" max="4" width="13" customWidth="1"/>
    <col min="5" max="5" width="19" customWidth="1"/>
    <col min="6" max="9" width="10" customWidth="1"/>
    <col min="10" max="10" width="59" customWidth="1"/>
    <col min="12" max="12" width="9.06640625" customWidth="1"/>
  </cols>
  <sheetData>
    <row r="1" spans="1:10" ht="6" customHeight="1" x14ac:dyDescent="0.45"/>
    <row r="2" spans="1:10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3" t="s">
        <v>1</v>
      </c>
    </row>
    <row r="3" spans="1:10" ht="20" customHeight="1" x14ac:dyDescent="0.45">
      <c r="A3" s="1"/>
      <c r="B3" s="4" t="s">
        <v>105</v>
      </c>
      <c r="C3" s="1"/>
      <c r="D3" s="1"/>
      <c r="E3" s="1"/>
      <c r="F3" s="1"/>
      <c r="G3" s="1"/>
      <c r="H3" s="1"/>
      <c r="I3" s="1"/>
      <c r="J3" s="1"/>
    </row>
    <row r="4" spans="1:10" ht="20" customHeight="1" x14ac:dyDescent="0.45">
      <c r="A4" s="5"/>
      <c r="B4" s="22" t="s">
        <v>106</v>
      </c>
      <c r="C4" s="5"/>
      <c r="D4" s="5"/>
      <c r="E4" s="5"/>
      <c r="F4" s="5"/>
      <c r="G4" s="5"/>
      <c r="H4" s="5"/>
      <c r="I4" s="5"/>
      <c r="J4" s="6" t="s">
        <v>107</v>
      </c>
    </row>
    <row r="5" spans="1:10" ht="8" customHeight="1" x14ac:dyDescent="0.45"/>
    <row r="6" spans="1:10" ht="20" customHeight="1" x14ac:dyDescent="0.45">
      <c r="B6" s="74" t="s">
        <v>108</v>
      </c>
      <c r="C6" s="72"/>
      <c r="D6" s="72"/>
      <c r="E6" s="72"/>
      <c r="F6" s="72"/>
      <c r="G6" s="72"/>
      <c r="H6" s="72"/>
      <c r="I6" s="72"/>
      <c r="J6" s="72"/>
    </row>
    <row r="7" spans="1:10" ht="6" customHeight="1" x14ac:dyDescent="0.45"/>
    <row r="8" spans="1:10" ht="22.05" customHeight="1" x14ac:dyDescent="0.5">
      <c r="B8" s="7" t="s">
        <v>109</v>
      </c>
      <c r="C8" s="8"/>
      <c r="D8" s="8"/>
      <c r="E8" s="8"/>
      <c r="F8" s="8"/>
      <c r="G8" s="8"/>
      <c r="H8" s="8"/>
      <c r="I8" s="8"/>
      <c r="J8" s="8"/>
    </row>
    <row r="9" spans="1:10" ht="18" customHeight="1" x14ac:dyDescent="0.45">
      <c r="B9" s="13" t="s">
        <v>110</v>
      </c>
    </row>
    <row r="10" spans="1:10" ht="18" customHeight="1" x14ac:dyDescent="0.45">
      <c r="B10" s="23" t="s">
        <v>111</v>
      </c>
      <c r="C10" s="23" t="s">
        <v>112</v>
      </c>
      <c r="D10" s="24" t="s">
        <v>113</v>
      </c>
      <c r="E10" s="23" t="s">
        <v>114</v>
      </c>
      <c r="F10" s="5"/>
      <c r="G10" s="5"/>
      <c r="H10" s="5"/>
      <c r="I10" s="5"/>
      <c r="J10" s="23" t="s">
        <v>115</v>
      </c>
    </row>
    <row r="11" spans="1:10" ht="23.25" x14ac:dyDescent="0.45">
      <c r="B11" s="25" t="s">
        <v>116</v>
      </c>
      <c r="C11" s="26" t="s">
        <v>117</v>
      </c>
      <c r="D11" s="27">
        <v>60</v>
      </c>
      <c r="E11" s="26" t="s">
        <v>118</v>
      </c>
      <c r="F11" s="28"/>
      <c r="G11" s="28"/>
      <c r="H11" s="28"/>
      <c r="I11" s="28"/>
      <c r="J11" s="29" t="s">
        <v>119</v>
      </c>
    </row>
    <row r="12" spans="1:10" ht="23.25" x14ac:dyDescent="0.45">
      <c r="B12" s="25" t="s">
        <v>120</v>
      </c>
      <c r="C12" s="26" t="s">
        <v>121</v>
      </c>
      <c r="D12" s="30">
        <f>YEAR(MAX(Hist_Date))+1</f>
        <v>2027</v>
      </c>
      <c r="E12" s="26" t="s">
        <v>122</v>
      </c>
      <c r="F12" s="28"/>
      <c r="G12" s="28"/>
      <c r="H12" s="28"/>
      <c r="I12" s="28"/>
      <c r="J12" s="29" t="s">
        <v>123</v>
      </c>
    </row>
    <row r="13" spans="1:10" ht="23.25" x14ac:dyDescent="0.45">
      <c r="B13" s="25" t="s">
        <v>124</v>
      </c>
      <c r="C13" s="26" t="s">
        <v>125</v>
      </c>
      <c r="D13" s="31">
        <v>1</v>
      </c>
      <c r="E13" s="26" t="s">
        <v>118</v>
      </c>
      <c r="F13" s="28"/>
      <c r="G13" s="28"/>
      <c r="H13" s="28"/>
      <c r="I13" s="28"/>
      <c r="J13" s="29" t="s">
        <v>126</v>
      </c>
    </row>
    <row r="14" spans="1:10" ht="8" customHeight="1" x14ac:dyDescent="0.45"/>
    <row r="15" spans="1:10" ht="22.05" customHeight="1" x14ac:dyDescent="0.5">
      <c r="B15" s="7" t="s">
        <v>127</v>
      </c>
      <c r="C15" s="8"/>
      <c r="D15" s="8"/>
      <c r="E15" s="8"/>
      <c r="F15" s="8"/>
      <c r="G15" s="8"/>
      <c r="H15" s="8"/>
      <c r="I15" s="8"/>
      <c r="J15" s="8"/>
    </row>
    <row r="16" spans="1:10" ht="18" customHeight="1" x14ac:dyDescent="0.45">
      <c r="B16" s="13" t="s">
        <v>128</v>
      </c>
    </row>
    <row r="17" spans="2:10" ht="18" customHeight="1" x14ac:dyDescent="0.45">
      <c r="B17" s="23" t="s">
        <v>111</v>
      </c>
      <c r="C17" s="23" t="s">
        <v>112</v>
      </c>
      <c r="D17" s="24" t="s">
        <v>113</v>
      </c>
      <c r="E17" s="23" t="s">
        <v>114</v>
      </c>
      <c r="F17" s="5"/>
      <c r="G17" s="5"/>
      <c r="H17" s="5"/>
      <c r="I17" s="5"/>
      <c r="J17" s="23" t="s">
        <v>115</v>
      </c>
    </row>
    <row r="18" spans="2:10" ht="23.25" x14ac:dyDescent="0.45">
      <c r="B18" s="25" t="s">
        <v>129</v>
      </c>
      <c r="C18" s="26" t="s">
        <v>125</v>
      </c>
      <c r="D18" s="31">
        <v>1</v>
      </c>
      <c r="E18" s="26" t="s">
        <v>118</v>
      </c>
      <c r="F18" s="28"/>
      <c r="G18" s="28"/>
      <c r="H18" s="28"/>
      <c r="I18" s="28"/>
      <c r="J18" s="29" t="s">
        <v>130</v>
      </c>
    </row>
    <row r="19" spans="2:10" ht="23.25" x14ac:dyDescent="0.45">
      <c r="B19" s="25" t="s">
        <v>131</v>
      </c>
      <c r="C19" s="26" t="s">
        <v>132</v>
      </c>
      <c r="D19" s="32">
        <v>1</v>
      </c>
      <c r="E19" s="26" t="s">
        <v>118</v>
      </c>
      <c r="F19" s="28"/>
      <c r="G19" s="28"/>
      <c r="H19" s="28"/>
      <c r="I19" s="28"/>
      <c r="J19" s="29" t="s">
        <v>133</v>
      </c>
    </row>
    <row r="20" spans="2:10" ht="23.25" x14ac:dyDescent="0.45">
      <c r="B20" s="25" t="s">
        <v>134</v>
      </c>
      <c r="C20" s="26" t="s">
        <v>132</v>
      </c>
      <c r="D20" s="32">
        <v>1</v>
      </c>
      <c r="E20" s="26" t="s">
        <v>118</v>
      </c>
      <c r="F20" s="28"/>
      <c r="G20" s="28"/>
      <c r="H20" s="28"/>
      <c r="I20" s="28"/>
      <c r="J20" s="29" t="s">
        <v>135</v>
      </c>
    </row>
    <row r="21" spans="2:10" x14ac:dyDescent="0.45">
      <c r="B21" s="25" t="s">
        <v>136</v>
      </c>
      <c r="C21" s="26" t="s">
        <v>132</v>
      </c>
      <c r="D21" s="32">
        <v>1</v>
      </c>
      <c r="E21" s="26" t="s">
        <v>118</v>
      </c>
      <c r="F21" s="28"/>
      <c r="G21" s="28"/>
      <c r="H21" s="28"/>
      <c r="I21" s="28"/>
      <c r="J21" s="29" t="s">
        <v>137</v>
      </c>
    </row>
    <row r="22" spans="2:10" ht="8" customHeight="1" x14ac:dyDescent="0.45"/>
  </sheetData>
  <mergeCells count="1">
    <mergeCell ref="B6:J6"/>
  </mergeCells>
  <dataValidations count="3">
    <dataValidation type="decimal" operator="greaterThan" showErrorMessage="1" errorTitle="Положительное значение" error="Введите значение больше нуля." sqref="D11" xr:uid="{00000000-0002-0000-0100-000000000000}">
      <formula1>0</formula1>
    </dataValidation>
    <dataValidation type="whole" showErrorMessage="1" errorTitle="Переключатель" error="Введите 1 (да) или 0 (нет)." sqref="D13 D18" xr:uid="{00000000-0002-0000-0100-000001000000}">
      <formula1>0</formula1>
      <formula2>1</formula2>
    </dataValidation>
    <dataValidation type="decimal" showErrorMessage="1" errorTitle="Значение" error="Введите значение не меньше нуля." sqref="D19:D21" xr:uid="{00000000-0002-0000-0100-000003000000}">
      <formula1>0</formula1>
      <formula2>1000000000000</formula2>
    </dataValidation>
  </dataValidations>
  <hyperlinks>
    <hyperlink ref="B4" location="'Описание'!A1" display="◂  Описание" xr:uid="{00000000-0004-0000-0100-000000000000}"/>
    <hyperlink ref="J4" location="'История'!A1" display="Далее:  История  ▸" xr:uid="{00000000-0004-0000-0100-000001000000}"/>
  </hyperlinks>
  <printOptions horizontalCentered="1"/>
  <pageMargins left="0.4" right="0.4" top="0.5" bottom="0.6" header="0.25" footer="0.25"/>
  <pageSetup paperSize="9" scale="70" fitToHeight="0" orientation="landscape" r:id="rId1"/>
  <headerFooter>
    <oddFooter>&amp;L&amp;K3F5876&amp;8&amp;F · &amp;A&amp;R&amp;K3F5876&amp;8Page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F5876"/>
    <pageSetUpPr fitToPage="1"/>
  </sheetPr>
  <dimension ref="A1:J129"/>
  <sheetViews>
    <sheetView showGridLines="0" workbookViewId="0">
      <pane ySplit="9" topLeftCell="A10" activePane="bottomLeft" state="frozen"/>
      <selection pane="bottomLeft"/>
    </sheetView>
  </sheetViews>
  <sheetFormatPr defaultRowHeight="14.25" x14ac:dyDescent="0.45"/>
  <cols>
    <col min="1" max="1" width="2" customWidth="1"/>
    <col min="2" max="4" width="11" customWidth="1"/>
    <col min="5" max="5" width="3" customWidth="1"/>
    <col min="6" max="6" width="40" customWidth="1"/>
    <col min="7" max="8" width="12" customWidth="1"/>
    <col min="9" max="9" width="2" customWidth="1"/>
    <col min="10" max="10" width="50" customWidth="1"/>
  </cols>
  <sheetData>
    <row r="1" spans="1:10" ht="6" customHeight="1" x14ac:dyDescent="0.45"/>
    <row r="2" spans="1:10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3" t="s">
        <v>1</v>
      </c>
    </row>
    <row r="3" spans="1:10" ht="20" customHeight="1" x14ac:dyDescent="0.45">
      <c r="A3" s="1"/>
      <c r="B3" s="4" t="s">
        <v>138</v>
      </c>
      <c r="C3" s="1"/>
      <c r="D3" s="1"/>
      <c r="E3" s="1"/>
      <c r="F3" s="1"/>
      <c r="G3" s="1"/>
      <c r="H3" s="1"/>
      <c r="I3" s="1"/>
      <c r="J3" s="1"/>
    </row>
    <row r="4" spans="1:10" ht="20" customHeight="1" x14ac:dyDescent="0.45">
      <c r="A4" s="5"/>
      <c r="B4" s="22" t="s">
        <v>139</v>
      </c>
      <c r="C4" s="5"/>
      <c r="D4" s="5"/>
      <c r="E4" s="5"/>
      <c r="F4" s="5"/>
      <c r="G4" s="5"/>
      <c r="H4" s="5"/>
      <c r="I4" s="5"/>
      <c r="J4" s="6" t="s">
        <v>140</v>
      </c>
    </row>
    <row r="5" spans="1:10" ht="8" customHeight="1" x14ac:dyDescent="0.45"/>
    <row r="6" spans="1:10" ht="18" customHeight="1" x14ac:dyDescent="0.5">
      <c r="B6" s="7" t="s">
        <v>141</v>
      </c>
      <c r="C6" s="8"/>
      <c r="D6" s="8"/>
      <c r="F6" s="7" t="s">
        <v>142</v>
      </c>
      <c r="G6" s="8"/>
      <c r="H6" s="8"/>
      <c r="I6" s="8"/>
      <c r="J6" s="8"/>
    </row>
    <row r="7" spans="1:10" ht="18" customHeight="1" x14ac:dyDescent="0.45">
      <c r="B7" s="13" t="s">
        <v>143</v>
      </c>
      <c r="F7" s="13" t="s">
        <v>144</v>
      </c>
    </row>
    <row r="8" spans="1:10" ht="18" customHeight="1" x14ac:dyDescent="0.45">
      <c r="B8" s="33" t="s">
        <v>145</v>
      </c>
      <c r="C8" s="34" t="s">
        <v>146</v>
      </c>
      <c r="D8" s="34" t="s">
        <v>67</v>
      </c>
      <c r="F8" s="23" t="s">
        <v>147</v>
      </c>
      <c r="G8" s="23" t="s">
        <v>112</v>
      </c>
      <c r="H8" s="24" t="s">
        <v>148</v>
      </c>
      <c r="I8" s="5"/>
      <c r="J8" s="23" t="s">
        <v>149</v>
      </c>
    </row>
    <row r="9" spans="1:10" ht="18" customHeight="1" x14ac:dyDescent="0.45">
      <c r="B9" s="35"/>
      <c r="C9" s="35" t="s">
        <v>117</v>
      </c>
      <c r="D9" s="35" t="s">
        <v>150</v>
      </c>
      <c r="F9" s="25" t="s">
        <v>151</v>
      </c>
      <c r="G9" s="26" t="s">
        <v>152</v>
      </c>
      <c r="H9" s="30">
        <f>COUNT(Hist_Price)</f>
        <v>120</v>
      </c>
      <c r="I9" s="28"/>
      <c r="J9" s="26" t="s">
        <v>153</v>
      </c>
    </row>
    <row r="10" spans="1:10" ht="18" customHeight="1" x14ac:dyDescent="0.45">
      <c r="B10" s="36">
        <v>42736</v>
      </c>
      <c r="C10" s="37">
        <v>54</v>
      </c>
      <c r="D10" s="28"/>
      <c r="F10" s="25" t="s">
        <v>154</v>
      </c>
      <c r="G10" s="26"/>
      <c r="H10" s="38">
        <f>MIN(Hist_Date)</f>
        <v>42736</v>
      </c>
      <c r="I10" s="28"/>
      <c r="J10" s="26"/>
    </row>
    <row r="11" spans="1:10" ht="18" customHeight="1" x14ac:dyDescent="0.45">
      <c r="B11" s="36">
        <v>42767</v>
      </c>
      <c r="C11" s="37">
        <v>54.95</v>
      </c>
      <c r="D11" s="39">
        <f t="shared" ref="D11:D42" si="0">LN(C11/C10)</f>
        <v>1.7439634285355998E-2</v>
      </c>
      <c r="F11" s="25" t="s">
        <v>155</v>
      </c>
      <c r="G11" s="26"/>
      <c r="H11" s="38">
        <f>MAX(Hist_Date)</f>
        <v>46357</v>
      </c>
      <c r="I11" s="28"/>
      <c r="J11" s="26" t="s">
        <v>156</v>
      </c>
    </row>
    <row r="12" spans="1:10" ht="18" customHeight="1" x14ac:dyDescent="0.45">
      <c r="B12" s="36">
        <v>42795</v>
      </c>
      <c r="C12" s="37">
        <v>57.11</v>
      </c>
      <c r="D12" s="39">
        <f t="shared" si="0"/>
        <v>3.8555551827141203E-2</v>
      </c>
      <c r="F12" s="25" t="s">
        <v>157</v>
      </c>
      <c r="G12" s="26" t="s">
        <v>117</v>
      </c>
      <c r="H12" s="40">
        <f>Hist_Last</f>
        <v>65.459999999999994</v>
      </c>
      <c r="I12" s="28"/>
      <c r="J12" s="26"/>
    </row>
    <row r="13" spans="1:10" ht="18" customHeight="1" x14ac:dyDescent="0.45">
      <c r="B13" s="36">
        <v>42826</v>
      </c>
      <c r="C13" s="37">
        <v>56.73</v>
      </c>
      <c r="D13" s="39">
        <f t="shared" si="0"/>
        <v>-6.6760613382957816E-3</v>
      </c>
      <c r="F13" s="25" t="s">
        <v>158</v>
      </c>
      <c r="G13" s="26" t="s">
        <v>117</v>
      </c>
      <c r="H13" s="40">
        <f>AVERAGE(Hist_Price)</f>
        <v>58.58041666666665</v>
      </c>
      <c r="I13" s="28"/>
      <c r="J13" s="26"/>
    </row>
    <row r="14" spans="1:10" ht="18" customHeight="1" x14ac:dyDescent="0.45">
      <c r="B14" s="36">
        <v>42856</v>
      </c>
      <c r="C14" s="37">
        <v>53.83</v>
      </c>
      <c r="D14" s="39">
        <f t="shared" si="0"/>
        <v>-5.2472238765609865E-2</v>
      </c>
      <c r="F14" s="25" t="s">
        <v>159</v>
      </c>
      <c r="G14" s="26" t="s">
        <v>117</v>
      </c>
      <c r="H14" s="40">
        <f>MIN(Hist_Price)</f>
        <v>29.43</v>
      </c>
      <c r="I14" s="28"/>
      <c r="J14" s="26"/>
    </row>
    <row r="15" spans="1:10" ht="18" customHeight="1" x14ac:dyDescent="0.45">
      <c r="B15" s="36">
        <v>42887</v>
      </c>
      <c r="C15" s="37">
        <v>52.94</v>
      </c>
      <c r="D15" s="39">
        <f t="shared" si="0"/>
        <v>-1.6671735773910706E-2</v>
      </c>
      <c r="F15" s="25" t="s">
        <v>160</v>
      </c>
      <c r="G15" s="26" t="s">
        <v>117</v>
      </c>
      <c r="H15" s="40">
        <f>MAX(Hist_Price)</f>
        <v>86.2</v>
      </c>
      <c r="I15" s="28"/>
      <c r="J15" s="26"/>
    </row>
    <row r="16" spans="1:10" ht="18" customHeight="1" x14ac:dyDescent="0.45">
      <c r="B16" s="36">
        <v>42917</v>
      </c>
      <c r="C16" s="37">
        <v>50.06</v>
      </c>
      <c r="D16" s="39">
        <f t="shared" si="0"/>
        <v>-5.5936910795326984E-2</v>
      </c>
      <c r="F16" s="25" t="s">
        <v>161</v>
      </c>
      <c r="G16" s="26" t="s">
        <v>150</v>
      </c>
      <c r="H16" s="41">
        <f>AVERAGE(Hist_Ret)</f>
        <v>1.6172707773845381E-3</v>
      </c>
      <c r="I16" s="28"/>
      <c r="J16" s="26" t="s">
        <v>162</v>
      </c>
    </row>
    <row r="17" spans="2:10" ht="18" customHeight="1" x14ac:dyDescent="0.45">
      <c r="B17" s="36">
        <v>42948</v>
      </c>
      <c r="C17" s="37">
        <v>51.4</v>
      </c>
      <c r="D17" s="39">
        <f t="shared" si="0"/>
        <v>2.641588645749119E-2</v>
      </c>
      <c r="F17" s="25" t="s">
        <v>163</v>
      </c>
      <c r="G17" s="26" t="s">
        <v>150</v>
      </c>
      <c r="H17" s="42">
        <f>STDEV(Hist_Ret)</f>
        <v>7.6695433028307891E-2</v>
      </c>
      <c r="I17" s="28"/>
      <c r="J17" s="26" t="s">
        <v>164</v>
      </c>
    </row>
    <row r="18" spans="2:10" ht="18" customHeight="1" x14ac:dyDescent="0.45">
      <c r="B18" s="36">
        <v>42979</v>
      </c>
      <c r="C18" s="37">
        <v>57.99</v>
      </c>
      <c r="D18" s="39">
        <f t="shared" si="0"/>
        <v>0.12063240942722979</v>
      </c>
      <c r="F18" s="25" t="s">
        <v>165</v>
      </c>
      <c r="G18" s="26" t="s">
        <v>166</v>
      </c>
      <c r="H18" s="42">
        <f>STDEV(Hist_Ret)*SQRT(12)</f>
        <v>0.26568077342705082</v>
      </c>
      <c r="I18" s="28"/>
      <c r="J18" s="26" t="s">
        <v>167</v>
      </c>
    </row>
    <row r="19" spans="2:10" ht="18" customHeight="1" x14ac:dyDescent="0.45">
      <c r="B19" s="36">
        <v>43009</v>
      </c>
      <c r="C19" s="37">
        <v>56.62</v>
      </c>
      <c r="D19" s="39">
        <f t="shared" si="0"/>
        <v>-2.3908302204595791E-2</v>
      </c>
    </row>
    <row r="20" spans="2:10" ht="18" customHeight="1" x14ac:dyDescent="0.5">
      <c r="B20" s="36">
        <v>43040</v>
      </c>
      <c r="C20" s="37">
        <v>54.83</v>
      </c>
      <c r="D20" s="39">
        <f t="shared" si="0"/>
        <v>-3.2124790267796431E-2</v>
      </c>
      <c r="F20" s="7" t="s">
        <v>168</v>
      </c>
      <c r="G20" s="8"/>
      <c r="H20" s="8"/>
      <c r="I20" s="8"/>
      <c r="J20" s="8"/>
    </row>
    <row r="21" spans="2:10" ht="18" customHeight="1" x14ac:dyDescent="0.45">
      <c r="B21" s="36">
        <v>43070</v>
      </c>
      <c r="C21" s="37">
        <v>57.82</v>
      </c>
      <c r="D21" s="39">
        <f t="shared" si="0"/>
        <v>5.3097247172243005E-2</v>
      </c>
    </row>
    <row r="22" spans="2:10" ht="18" customHeight="1" x14ac:dyDescent="0.45">
      <c r="B22" s="36">
        <v>43101</v>
      </c>
      <c r="C22" s="37">
        <v>60.18</v>
      </c>
      <c r="D22" s="39">
        <f t="shared" si="0"/>
        <v>4.0005334613699206E-2</v>
      </c>
    </row>
    <row r="23" spans="2:10" ht="18" customHeight="1" x14ac:dyDescent="0.45">
      <c r="B23" s="36">
        <v>43132</v>
      </c>
      <c r="C23" s="37">
        <v>61.31</v>
      </c>
      <c r="D23" s="39">
        <f t="shared" si="0"/>
        <v>1.8602890572697393E-2</v>
      </c>
    </row>
    <row r="24" spans="2:10" ht="18" customHeight="1" x14ac:dyDescent="0.45">
      <c r="B24" s="36">
        <v>43160</v>
      </c>
      <c r="C24" s="37">
        <v>57.73</v>
      </c>
      <c r="D24" s="39">
        <f t="shared" si="0"/>
        <v>-6.0165992701754399E-2</v>
      </c>
    </row>
    <row r="25" spans="2:10" ht="18" customHeight="1" x14ac:dyDescent="0.45">
      <c r="B25" s="36">
        <v>43191</v>
      </c>
      <c r="C25" s="37">
        <v>58.37</v>
      </c>
      <c r="D25" s="39">
        <f t="shared" si="0"/>
        <v>1.1025090142857357E-2</v>
      </c>
    </row>
    <row r="26" spans="2:10" ht="18" customHeight="1" x14ac:dyDescent="0.45">
      <c r="B26" s="36">
        <v>43221</v>
      </c>
      <c r="C26" s="37">
        <v>62.28</v>
      </c>
      <c r="D26" s="39">
        <f t="shared" si="0"/>
        <v>6.483828775009802E-2</v>
      </c>
    </row>
    <row r="27" spans="2:10" ht="18" customHeight="1" x14ac:dyDescent="0.45">
      <c r="B27" s="36">
        <v>43252</v>
      </c>
      <c r="C27" s="37">
        <v>56.8</v>
      </c>
      <c r="D27" s="39">
        <f t="shared" si="0"/>
        <v>-9.2104021238691977E-2</v>
      </c>
    </row>
    <row r="28" spans="2:10" ht="18" customHeight="1" x14ac:dyDescent="0.45">
      <c r="B28" s="36">
        <v>43282</v>
      </c>
      <c r="C28" s="37">
        <v>55.67</v>
      </c>
      <c r="D28" s="39">
        <f t="shared" si="0"/>
        <v>-2.0094923531689155E-2</v>
      </c>
    </row>
    <row r="29" spans="2:10" ht="18" customHeight="1" x14ac:dyDescent="0.45">
      <c r="B29" s="36">
        <v>43313</v>
      </c>
      <c r="C29" s="37">
        <v>49.02</v>
      </c>
      <c r="D29" s="39">
        <f t="shared" si="0"/>
        <v>-0.12721302409544988</v>
      </c>
    </row>
    <row r="30" spans="2:10" ht="18" customHeight="1" x14ac:dyDescent="0.45">
      <c r="B30" s="36">
        <v>43344</v>
      </c>
      <c r="C30" s="37">
        <v>45.54</v>
      </c>
      <c r="D30" s="39">
        <f t="shared" si="0"/>
        <v>-7.3637317464373034E-2</v>
      </c>
    </row>
    <row r="31" spans="2:10" ht="18" customHeight="1" x14ac:dyDescent="0.45">
      <c r="B31" s="36">
        <v>43374</v>
      </c>
      <c r="C31" s="37">
        <v>40.770000000000003</v>
      </c>
      <c r="D31" s="39">
        <f t="shared" si="0"/>
        <v>-0.11064454380443146</v>
      </c>
    </row>
    <row r="32" spans="2:10" ht="18" customHeight="1" x14ac:dyDescent="0.45">
      <c r="B32" s="36">
        <v>43405</v>
      </c>
      <c r="C32" s="37">
        <v>41.45</v>
      </c>
      <c r="D32" s="39">
        <f t="shared" si="0"/>
        <v>1.6541364750141983E-2</v>
      </c>
    </row>
    <row r="33" spans="2:4" ht="18" customHeight="1" x14ac:dyDescent="0.45">
      <c r="B33" s="36">
        <v>43435</v>
      </c>
      <c r="C33" s="37">
        <v>38.96</v>
      </c>
      <c r="D33" s="39">
        <f t="shared" si="0"/>
        <v>-6.1952402806969696E-2</v>
      </c>
    </row>
    <row r="34" spans="2:4" ht="18" customHeight="1" x14ac:dyDescent="0.45">
      <c r="B34" s="36">
        <v>43466</v>
      </c>
      <c r="C34" s="37">
        <v>41.25</v>
      </c>
      <c r="D34" s="39">
        <f t="shared" si="0"/>
        <v>5.711563400635572E-2</v>
      </c>
    </row>
    <row r="35" spans="2:4" ht="18" customHeight="1" x14ac:dyDescent="0.45">
      <c r="B35" s="36">
        <v>43497</v>
      </c>
      <c r="C35" s="37">
        <v>43.16</v>
      </c>
      <c r="D35" s="39">
        <f t="shared" si="0"/>
        <v>4.526302760924391E-2</v>
      </c>
    </row>
    <row r="36" spans="2:4" ht="18" customHeight="1" x14ac:dyDescent="0.45">
      <c r="B36" s="36">
        <v>43525</v>
      </c>
      <c r="C36" s="37">
        <v>43.88</v>
      </c>
      <c r="D36" s="39">
        <f t="shared" si="0"/>
        <v>1.6544495017095671E-2</v>
      </c>
    </row>
    <row r="37" spans="2:4" ht="18" customHeight="1" x14ac:dyDescent="0.45">
      <c r="B37" s="36">
        <v>43556</v>
      </c>
      <c r="C37" s="37">
        <v>37.43</v>
      </c>
      <c r="D37" s="39">
        <f t="shared" si="0"/>
        <v>-0.15898611349069194</v>
      </c>
    </row>
    <row r="38" spans="2:4" ht="18" customHeight="1" x14ac:dyDescent="0.45">
      <c r="B38" s="36">
        <v>43586</v>
      </c>
      <c r="C38" s="37">
        <v>37.39</v>
      </c>
      <c r="D38" s="39">
        <f t="shared" si="0"/>
        <v>-1.0692329273151754E-3</v>
      </c>
    </row>
    <row r="39" spans="2:4" ht="18" customHeight="1" x14ac:dyDescent="0.45">
      <c r="B39" s="36">
        <v>43617</v>
      </c>
      <c r="C39" s="37">
        <v>38.75</v>
      </c>
      <c r="D39" s="39">
        <f t="shared" si="0"/>
        <v>3.5727466810333709E-2</v>
      </c>
    </row>
    <row r="40" spans="2:4" ht="18" customHeight="1" x14ac:dyDescent="0.45">
      <c r="B40" s="36">
        <v>43647</v>
      </c>
      <c r="C40" s="37">
        <v>40.56</v>
      </c>
      <c r="D40" s="39">
        <f t="shared" si="0"/>
        <v>4.565160348357182E-2</v>
      </c>
    </row>
    <row r="41" spans="2:4" ht="18" customHeight="1" x14ac:dyDescent="0.45">
      <c r="B41" s="36">
        <v>43678</v>
      </c>
      <c r="C41" s="37">
        <v>37.43</v>
      </c>
      <c r="D41" s="39">
        <f t="shared" si="0"/>
        <v>-8.0309837366590156E-2</v>
      </c>
    </row>
    <row r="42" spans="2:4" ht="18" customHeight="1" x14ac:dyDescent="0.45">
      <c r="B42" s="36">
        <v>43709</v>
      </c>
      <c r="C42" s="37">
        <v>37.56</v>
      </c>
      <c r="D42" s="39">
        <f t="shared" si="0"/>
        <v>3.4671324237245181E-3</v>
      </c>
    </row>
    <row r="43" spans="2:4" ht="18" customHeight="1" x14ac:dyDescent="0.45">
      <c r="B43" s="36">
        <v>43739</v>
      </c>
      <c r="C43" s="37">
        <v>36.29</v>
      </c>
      <c r="D43" s="39">
        <f t="shared" ref="D43:D74" si="1">LN(C43/C42)</f>
        <v>-3.4397433115083316E-2</v>
      </c>
    </row>
    <row r="44" spans="2:4" ht="18" customHeight="1" x14ac:dyDescent="0.45">
      <c r="B44" s="36">
        <v>43770</v>
      </c>
      <c r="C44" s="37">
        <v>35.590000000000003</v>
      </c>
      <c r="D44" s="39">
        <f t="shared" si="1"/>
        <v>-1.9477521702877584E-2</v>
      </c>
    </row>
    <row r="45" spans="2:4" ht="18" customHeight="1" x14ac:dyDescent="0.45">
      <c r="B45" s="36">
        <v>43800</v>
      </c>
      <c r="C45" s="37">
        <v>40.200000000000003</v>
      </c>
      <c r="D45" s="39">
        <f t="shared" si="1"/>
        <v>0.12180229610287403</v>
      </c>
    </row>
    <row r="46" spans="2:4" ht="18" customHeight="1" x14ac:dyDescent="0.45">
      <c r="B46" s="36">
        <v>43831</v>
      </c>
      <c r="C46" s="37">
        <v>39.18</v>
      </c>
      <c r="D46" s="39">
        <f t="shared" si="1"/>
        <v>-2.5700583108580779E-2</v>
      </c>
    </row>
    <row r="47" spans="2:4" ht="18" customHeight="1" x14ac:dyDescent="0.45">
      <c r="B47" s="36">
        <v>43862</v>
      </c>
      <c r="C47" s="37">
        <v>40.54</v>
      </c>
      <c r="D47" s="39">
        <f t="shared" si="1"/>
        <v>3.4122728507459163E-2</v>
      </c>
    </row>
    <row r="48" spans="2:4" ht="18" customHeight="1" x14ac:dyDescent="0.45">
      <c r="B48" s="36">
        <v>43891</v>
      </c>
      <c r="C48" s="37">
        <v>44.84</v>
      </c>
      <c r="D48" s="39">
        <f t="shared" si="1"/>
        <v>0.10081145718010519</v>
      </c>
    </row>
    <row r="49" spans="2:4" ht="18" customHeight="1" x14ac:dyDescent="0.45">
      <c r="B49" s="36">
        <v>43922</v>
      </c>
      <c r="C49" s="37">
        <v>35.43</v>
      </c>
      <c r="D49" s="39">
        <f t="shared" si="1"/>
        <v>-0.23554167932657857</v>
      </c>
    </row>
    <row r="50" spans="2:4" ht="18" customHeight="1" x14ac:dyDescent="0.45">
      <c r="B50" s="36">
        <v>43952</v>
      </c>
      <c r="C50" s="37">
        <v>29.43</v>
      </c>
      <c r="D50" s="39">
        <f t="shared" si="1"/>
        <v>-0.18554435663199925</v>
      </c>
    </row>
    <row r="51" spans="2:4" ht="18" customHeight="1" x14ac:dyDescent="0.45">
      <c r="B51" s="36">
        <v>43983</v>
      </c>
      <c r="C51" s="37">
        <v>31.31</v>
      </c>
      <c r="D51" s="39">
        <f t="shared" si="1"/>
        <v>6.1922973092932827E-2</v>
      </c>
    </row>
    <row r="52" spans="2:4" ht="18" customHeight="1" x14ac:dyDescent="0.45">
      <c r="B52" s="36">
        <v>44013</v>
      </c>
      <c r="C52" s="37">
        <v>33.07</v>
      </c>
      <c r="D52" s="39">
        <f t="shared" si="1"/>
        <v>5.4688991655387202E-2</v>
      </c>
    </row>
    <row r="53" spans="2:4" ht="18" customHeight="1" x14ac:dyDescent="0.45">
      <c r="B53" s="36">
        <v>44044</v>
      </c>
      <c r="C53" s="37">
        <v>31.61</v>
      </c>
      <c r="D53" s="39">
        <f t="shared" si="1"/>
        <v>-4.5153000766175136E-2</v>
      </c>
    </row>
    <row r="54" spans="2:4" ht="18" customHeight="1" x14ac:dyDescent="0.45">
      <c r="B54" s="36">
        <v>44075</v>
      </c>
      <c r="C54" s="37">
        <v>33.4</v>
      </c>
      <c r="D54" s="39">
        <f t="shared" si="1"/>
        <v>5.5082373755128436E-2</v>
      </c>
    </row>
    <row r="55" spans="2:4" ht="18" customHeight="1" x14ac:dyDescent="0.45">
      <c r="B55" s="36">
        <v>44105</v>
      </c>
      <c r="C55" s="37">
        <v>38.729999999999997</v>
      </c>
      <c r="D55" s="39">
        <f t="shared" si="1"/>
        <v>0.14805859354400605</v>
      </c>
    </row>
    <row r="56" spans="2:4" ht="18" customHeight="1" x14ac:dyDescent="0.45">
      <c r="B56" s="36">
        <v>44136</v>
      </c>
      <c r="C56" s="37">
        <v>35.79</v>
      </c>
      <c r="D56" s="39">
        <f t="shared" si="1"/>
        <v>-7.8945968748726322E-2</v>
      </c>
    </row>
    <row r="57" spans="2:4" ht="18" customHeight="1" x14ac:dyDescent="0.45">
      <c r="B57" s="36">
        <v>44166</v>
      </c>
      <c r="C57" s="37">
        <v>39.81</v>
      </c>
      <c r="D57" s="39">
        <f t="shared" si="1"/>
        <v>0.1064496122342914</v>
      </c>
    </row>
    <row r="58" spans="2:4" ht="18" customHeight="1" x14ac:dyDescent="0.45">
      <c r="B58" s="36">
        <v>44197</v>
      </c>
      <c r="C58" s="37">
        <v>41.62</v>
      </c>
      <c r="D58" s="39">
        <f t="shared" si="1"/>
        <v>4.4462683953262444E-2</v>
      </c>
    </row>
    <row r="59" spans="2:4" ht="18" customHeight="1" x14ac:dyDescent="0.45">
      <c r="B59" s="36">
        <v>44228</v>
      </c>
      <c r="C59" s="37">
        <v>40.99</v>
      </c>
      <c r="D59" s="39">
        <f t="shared" si="1"/>
        <v>-1.5252686449242036E-2</v>
      </c>
    </row>
    <row r="60" spans="2:4" ht="18" customHeight="1" x14ac:dyDescent="0.45">
      <c r="B60" s="36">
        <v>44256</v>
      </c>
      <c r="C60" s="37">
        <v>49.26</v>
      </c>
      <c r="D60" s="39">
        <f t="shared" si="1"/>
        <v>0.18378425817614558</v>
      </c>
    </row>
    <row r="61" spans="2:4" ht="18" customHeight="1" x14ac:dyDescent="0.45">
      <c r="B61" s="36">
        <v>44287</v>
      </c>
      <c r="C61" s="37">
        <v>53.36</v>
      </c>
      <c r="D61" s="39">
        <f t="shared" si="1"/>
        <v>7.9949008914976416E-2</v>
      </c>
    </row>
    <row r="62" spans="2:4" ht="18" customHeight="1" x14ac:dyDescent="0.45">
      <c r="B62" s="36">
        <v>44317</v>
      </c>
      <c r="C62" s="37">
        <v>49.66</v>
      </c>
      <c r="D62" s="39">
        <f t="shared" si="1"/>
        <v>-7.1861621527347819E-2</v>
      </c>
    </row>
    <row r="63" spans="2:4" ht="18" customHeight="1" x14ac:dyDescent="0.45">
      <c r="B63" s="36">
        <v>44348</v>
      </c>
      <c r="C63" s="37">
        <v>51.06</v>
      </c>
      <c r="D63" s="39">
        <f t="shared" si="1"/>
        <v>2.7801631733317421E-2</v>
      </c>
    </row>
    <row r="64" spans="2:4" ht="18" customHeight="1" x14ac:dyDescent="0.45">
      <c r="B64" s="36">
        <v>44378</v>
      </c>
      <c r="C64" s="37">
        <v>54.43</v>
      </c>
      <c r="D64" s="39">
        <f t="shared" si="1"/>
        <v>6.3914060632770858E-2</v>
      </c>
    </row>
    <row r="65" spans="2:4" ht="18" customHeight="1" x14ac:dyDescent="0.45">
      <c r="B65" s="36">
        <v>44409</v>
      </c>
      <c r="C65" s="37">
        <v>54.57</v>
      </c>
      <c r="D65" s="39">
        <f t="shared" si="1"/>
        <v>2.5688087520318302E-3</v>
      </c>
    </row>
    <row r="66" spans="2:4" ht="18" customHeight="1" x14ac:dyDescent="0.45">
      <c r="B66" s="36">
        <v>44440</v>
      </c>
      <c r="C66" s="37">
        <v>58.4</v>
      </c>
      <c r="D66" s="39">
        <f t="shared" si="1"/>
        <v>6.7831608636040722E-2</v>
      </c>
    </row>
    <row r="67" spans="2:4" ht="18" customHeight="1" x14ac:dyDescent="0.45">
      <c r="B67" s="36">
        <v>44470</v>
      </c>
      <c r="C67" s="37">
        <v>58.85</v>
      </c>
      <c r="D67" s="39">
        <f t="shared" si="1"/>
        <v>7.6759438721043533E-3</v>
      </c>
    </row>
    <row r="68" spans="2:4" ht="18" customHeight="1" x14ac:dyDescent="0.45">
      <c r="B68" s="36">
        <v>44501</v>
      </c>
      <c r="C68" s="37">
        <v>62.62</v>
      </c>
      <c r="D68" s="39">
        <f t="shared" si="1"/>
        <v>6.2092882191973897E-2</v>
      </c>
    </row>
    <row r="69" spans="2:4" ht="18" customHeight="1" x14ac:dyDescent="0.45">
      <c r="B69" s="36">
        <v>44531</v>
      </c>
      <c r="C69" s="37">
        <v>70.34</v>
      </c>
      <c r="D69" s="39">
        <f t="shared" si="1"/>
        <v>0.11625591114757676</v>
      </c>
    </row>
    <row r="70" spans="2:4" ht="18" customHeight="1" x14ac:dyDescent="0.45">
      <c r="B70" s="36">
        <v>44562</v>
      </c>
      <c r="C70" s="37">
        <v>66.959999999999994</v>
      </c>
      <c r="D70" s="39">
        <f t="shared" si="1"/>
        <v>-4.9245200864616617E-2</v>
      </c>
    </row>
    <row r="71" spans="2:4" ht="18" customHeight="1" x14ac:dyDescent="0.45">
      <c r="B71" s="36">
        <v>44593</v>
      </c>
      <c r="C71" s="37">
        <v>68.28</v>
      </c>
      <c r="D71" s="39">
        <f t="shared" si="1"/>
        <v>1.952147174502011E-2</v>
      </c>
    </row>
    <row r="72" spans="2:4" ht="18" customHeight="1" x14ac:dyDescent="0.45">
      <c r="B72" s="36">
        <v>44621</v>
      </c>
      <c r="C72" s="37">
        <v>66.16</v>
      </c>
      <c r="D72" s="39">
        <f t="shared" si="1"/>
        <v>-3.15408472108041E-2</v>
      </c>
    </row>
    <row r="73" spans="2:4" ht="18" customHeight="1" x14ac:dyDescent="0.45">
      <c r="B73" s="36">
        <v>44652</v>
      </c>
      <c r="C73" s="37">
        <v>86.2</v>
      </c>
      <c r="D73" s="39">
        <f t="shared" si="1"/>
        <v>0.26459412695421164</v>
      </c>
    </row>
    <row r="74" spans="2:4" ht="18" customHeight="1" x14ac:dyDescent="0.45">
      <c r="B74" s="36">
        <v>44682</v>
      </c>
      <c r="C74" s="37">
        <v>78.010000000000005</v>
      </c>
      <c r="D74" s="39">
        <f t="shared" si="1"/>
        <v>-9.9833154069425667E-2</v>
      </c>
    </row>
    <row r="75" spans="2:4" ht="18" customHeight="1" x14ac:dyDescent="0.45">
      <c r="B75" s="36">
        <v>44713</v>
      </c>
      <c r="C75" s="37">
        <v>74.34</v>
      </c>
      <c r="D75" s="39">
        <f t="shared" ref="D75:D106" si="2">LN(C75/C74)</f>
        <v>-4.8187858731115696E-2</v>
      </c>
    </row>
    <row r="76" spans="2:4" ht="18" customHeight="1" x14ac:dyDescent="0.45">
      <c r="B76" s="36">
        <v>44743</v>
      </c>
      <c r="C76" s="37">
        <v>73.11</v>
      </c>
      <c r="D76" s="39">
        <f t="shared" si="2"/>
        <v>-1.6684008563881594E-2</v>
      </c>
    </row>
    <row r="77" spans="2:4" ht="18" customHeight="1" x14ac:dyDescent="0.45">
      <c r="B77" s="36">
        <v>44774</v>
      </c>
      <c r="C77" s="37">
        <v>78.14</v>
      </c>
      <c r="D77" s="39">
        <f t="shared" si="2"/>
        <v>6.6536933321700034E-2</v>
      </c>
    </row>
    <row r="78" spans="2:4" ht="18" customHeight="1" x14ac:dyDescent="0.45">
      <c r="B78" s="36">
        <v>44805</v>
      </c>
      <c r="C78" s="37">
        <v>84.73</v>
      </c>
      <c r="D78" s="39">
        <f t="shared" si="2"/>
        <v>8.0967640583448172E-2</v>
      </c>
    </row>
    <row r="79" spans="2:4" ht="18" customHeight="1" x14ac:dyDescent="0.45">
      <c r="B79" s="36">
        <v>44835</v>
      </c>
      <c r="C79" s="37">
        <v>75.98</v>
      </c>
      <c r="D79" s="39">
        <f t="shared" si="2"/>
        <v>-0.10899958245089326</v>
      </c>
    </row>
    <row r="80" spans="2:4" ht="18" customHeight="1" x14ac:dyDescent="0.45">
      <c r="B80" s="36">
        <v>44866</v>
      </c>
      <c r="C80" s="37">
        <v>71.349999999999994</v>
      </c>
      <c r="D80" s="39">
        <f t="shared" si="2"/>
        <v>-6.2872803836634239E-2</v>
      </c>
    </row>
    <row r="81" spans="2:4" ht="18" customHeight="1" x14ac:dyDescent="0.45">
      <c r="B81" s="36">
        <v>44896</v>
      </c>
      <c r="C81" s="37">
        <v>74.94</v>
      </c>
      <c r="D81" s="39">
        <f t="shared" si="2"/>
        <v>4.9090449442695958E-2</v>
      </c>
    </row>
    <row r="82" spans="2:4" ht="18" customHeight="1" x14ac:dyDescent="0.45">
      <c r="B82" s="36">
        <v>44927</v>
      </c>
      <c r="C82" s="37">
        <v>64.38</v>
      </c>
      <c r="D82" s="39">
        <f t="shared" si="2"/>
        <v>-0.15188476749487931</v>
      </c>
    </row>
    <row r="83" spans="2:4" ht="18" customHeight="1" x14ac:dyDescent="0.45">
      <c r="B83" s="36">
        <v>44958</v>
      </c>
      <c r="C83" s="37">
        <v>62.6</v>
      </c>
      <c r="D83" s="39">
        <f t="shared" si="2"/>
        <v>-2.8037747764609142E-2</v>
      </c>
    </row>
    <row r="84" spans="2:4" ht="18" customHeight="1" x14ac:dyDescent="0.45">
      <c r="B84" s="36">
        <v>44986</v>
      </c>
      <c r="C84" s="37">
        <v>62.67</v>
      </c>
      <c r="D84" s="39">
        <f t="shared" si="2"/>
        <v>1.1175861305312211E-3</v>
      </c>
    </row>
    <row r="85" spans="2:4" ht="18" customHeight="1" x14ac:dyDescent="0.45">
      <c r="B85" s="36">
        <v>45017</v>
      </c>
      <c r="C85" s="37">
        <v>69.44</v>
      </c>
      <c r="D85" s="39">
        <f t="shared" si="2"/>
        <v>0.10258020611551051</v>
      </c>
    </row>
    <row r="86" spans="2:4" ht="18" customHeight="1" x14ac:dyDescent="0.45">
      <c r="B86" s="36">
        <v>45047</v>
      </c>
      <c r="C86" s="37">
        <v>73.290000000000006</v>
      </c>
      <c r="D86" s="39">
        <f t="shared" si="2"/>
        <v>5.396110358566425E-2</v>
      </c>
    </row>
    <row r="87" spans="2:4" ht="18" customHeight="1" x14ac:dyDescent="0.45">
      <c r="B87" s="36">
        <v>45078</v>
      </c>
      <c r="C87" s="37">
        <v>71.430000000000007</v>
      </c>
      <c r="D87" s="39">
        <f t="shared" si="2"/>
        <v>-2.5706224770877636E-2</v>
      </c>
    </row>
    <row r="88" spans="2:4" ht="18" customHeight="1" x14ac:dyDescent="0.45">
      <c r="B88" s="36">
        <v>45108</v>
      </c>
      <c r="C88" s="37">
        <v>69.52</v>
      </c>
      <c r="D88" s="39">
        <f t="shared" si="2"/>
        <v>-2.7103468209744647E-2</v>
      </c>
    </row>
    <row r="89" spans="2:4" ht="18" customHeight="1" x14ac:dyDescent="0.45">
      <c r="B89" s="36">
        <v>45139</v>
      </c>
      <c r="C89" s="37">
        <v>68.37</v>
      </c>
      <c r="D89" s="39">
        <f t="shared" si="2"/>
        <v>-1.668034903143387E-2</v>
      </c>
    </row>
    <row r="90" spans="2:4" ht="18" customHeight="1" x14ac:dyDescent="0.45">
      <c r="B90" s="36">
        <v>45170</v>
      </c>
      <c r="C90" s="37">
        <v>76.88</v>
      </c>
      <c r="D90" s="39">
        <f t="shared" si="2"/>
        <v>0.11731163273633441</v>
      </c>
    </row>
    <row r="91" spans="2:4" ht="18" customHeight="1" x14ac:dyDescent="0.45">
      <c r="B91" s="36">
        <v>45200</v>
      </c>
      <c r="C91" s="37">
        <v>74.16</v>
      </c>
      <c r="D91" s="39">
        <f t="shared" si="2"/>
        <v>-3.6020843404437335E-2</v>
      </c>
    </row>
    <row r="92" spans="2:4" ht="18" customHeight="1" x14ac:dyDescent="0.45">
      <c r="B92" s="36">
        <v>45231</v>
      </c>
      <c r="C92" s="37">
        <v>72.36</v>
      </c>
      <c r="D92" s="39">
        <f t="shared" si="2"/>
        <v>-2.4571260730505317E-2</v>
      </c>
    </row>
    <row r="93" spans="2:4" ht="18" customHeight="1" x14ac:dyDescent="0.45">
      <c r="B93" s="36">
        <v>45261</v>
      </c>
      <c r="C93" s="37">
        <v>74.28</v>
      </c>
      <c r="D93" s="39">
        <f t="shared" si="2"/>
        <v>2.618807595741076E-2</v>
      </c>
    </row>
    <row r="94" spans="2:4" ht="18" customHeight="1" x14ac:dyDescent="0.45">
      <c r="B94" s="36">
        <v>45292</v>
      </c>
      <c r="C94" s="37">
        <v>73.47</v>
      </c>
      <c r="D94" s="39">
        <f t="shared" si="2"/>
        <v>-1.0964576852318967E-2</v>
      </c>
    </row>
    <row r="95" spans="2:4" ht="18" customHeight="1" x14ac:dyDescent="0.45">
      <c r="B95" s="36">
        <v>45323</v>
      </c>
      <c r="C95" s="37">
        <v>72.31</v>
      </c>
      <c r="D95" s="39">
        <f t="shared" si="2"/>
        <v>-1.5914727445325551E-2</v>
      </c>
    </row>
    <row r="96" spans="2:4" ht="18" customHeight="1" x14ac:dyDescent="0.45">
      <c r="B96" s="36">
        <v>45352</v>
      </c>
      <c r="C96" s="37">
        <v>66.489999999999995</v>
      </c>
      <c r="D96" s="39">
        <f t="shared" si="2"/>
        <v>-8.3910871772497023E-2</v>
      </c>
    </row>
    <row r="97" spans="2:4" ht="18" customHeight="1" x14ac:dyDescent="0.45">
      <c r="B97" s="36">
        <v>45383</v>
      </c>
      <c r="C97" s="37">
        <v>66.75</v>
      </c>
      <c r="D97" s="39">
        <f t="shared" si="2"/>
        <v>3.9027368659955166E-3</v>
      </c>
    </row>
    <row r="98" spans="2:4" ht="18" customHeight="1" x14ac:dyDescent="0.45">
      <c r="B98" s="36">
        <v>45413</v>
      </c>
      <c r="C98" s="37">
        <v>64.86</v>
      </c>
      <c r="D98" s="39">
        <f t="shared" si="2"/>
        <v>-2.8723196401187014E-2</v>
      </c>
    </row>
    <row r="99" spans="2:4" ht="18" customHeight="1" x14ac:dyDescent="0.45">
      <c r="B99" s="36">
        <v>45444</v>
      </c>
      <c r="C99" s="37">
        <v>71.239999999999995</v>
      </c>
      <c r="D99" s="39">
        <f t="shared" si="2"/>
        <v>9.3823357542289001E-2</v>
      </c>
    </row>
    <row r="100" spans="2:4" ht="18" customHeight="1" x14ac:dyDescent="0.45">
      <c r="B100" s="36">
        <v>45474</v>
      </c>
      <c r="C100" s="37">
        <v>74.86</v>
      </c>
      <c r="D100" s="39">
        <f t="shared" si="2"/>
        <v>4.9565244054822169E-2</v>
      </c>
    </row>
    <row r="101" spans="2:4" ht="18" customHeight="1" x14ac:dyDescent="0.45">
      <c r="B101" s="36">
        <v>45505</v>
      </c>
      <c r="C101" s="37">
        <v>74.55</v>
      </c>
      <c r="D101" s="39">
        <f t="shared" si="2"/>
        <v>-4.1496612655354936E-3</v>
      </c>
    </row>
    <row r="102" spans="2:4" ht="18" customHeight="1" x14ac:dyDescent="0.45">
      <c r="B102" s="36">
        <v>45536</v>
      </c>
      <c r="C102" s="37">
        <v>78.22</v>
      </c>
      <c r="D102" s="39">
        <f t="shared" si="2"/>
        <v>4.8055328116620652E-2</v>
      </c>
    </row>
    <row r="103" spans="2:4" ht="18" customHeight="1" x14ac:dyDescent="0.45">
      <c r="B103" s="36">
        <v>45566</v>
      </c>
      <c r="C103" s="37">
        <v>75.87</v>
      </c>
      <c r="D103" s="39">
        <f t="shared" si="2"/>
        <v>-3.0504019977384531E-2</v>
      </c>
    </row>
    <row r="104" spans="2:4" ht="18" customHeight="1" x14ac:dyDescent="0.45">
      <c r="B104" s="36">
        <v>45597</v>
      </c>
      <c r="C104" s="37">
        <v>81.84</v>
      </c>
      <c r="D104" s="39">
        <f t="shared" si="2"/>
        <v>7.574477229338758E-2</v>
      </c>
    </row>
    <row r="105" spans="2:4" ht="18" customHeight="1" x14ac:dyDescent="0.45">
      <c r="B105" s="36">
        <v>45627</v>
      </c>
      <c r="C105" s="37">
        <v>81.19</v>
      </c>
      <c r="D105" s="39">
        <f t="shared" si="2"/>
        <v>-7.9740347690160571E-3</v>
      </c>
    </row>
    <row r="106" spans="2:4" ht="18" customHeight="1" x14ac:dyDescent="0.45">
      <c r="B106" s="36">
        <v>45658</v>
      </c>
      <c r="C106" s="37">
        <v>84.21</v>
      </c>
      <c r="D106" s="39">
        <f t="shared" si="2"/>
        <v>3.6521592167545761E-2</v>
      </c>
    </row>
    <row r="107" spans="2:4" ht="18" customHeight="1" x14ac:dyDescent="0.45">
      <c r="B107" s="36">
        <v>45689</v>
      </c>
      <c r="C107" s="37">
        <v>75.72</v>
      </c>
      <c r="D107" s="39">
        <f t="shared" ref="D107:D138" si="3">LN(C107/C106)</f>
        <v>-0.10627135270077863</v>
      </c>
    </row>
    <row r="108" spans="2:4" ht="18" customHeight="1" x14ac:dyDescent="0.45">
      <c r="B108" s="36">
        <v>45717</v>
      </c>
      <c r="C108" s="37">
        <v>77.48</v>
      </c>
      <c r="D108" s="39">
        <f t="shared" si="3"/>
        <v>2.2977512197673178E-2</v>
      </c>
    </row>
    <row r="109" spans="2:4" ht="18" customHeight="1" x14ac:dyDescent="0.45">
      <c r="B109" s="36">
        <v>45748</v>
      </c>
      <c r="C109" s="37">
        <v>67.97</v>
      </c>
      <c r="D109" s="39">
        <f t="shared" si="3"/>
        <v>-0.13095340718024837</v>
      </c>
    </row>
    <row r="110" spans="2:4" ht="18" customHeight="1" x14ac:dyDescent="0.45">
      <c r="B110" s="36">
        <v>45778</v>
      </c>
      <c r="C110" s="37">
        <v>58.55</v>
      </c>
      <c r="D110" s="39">
        <f t="shared" si="3"/>
        <v>-0.1491853413148205</v>
      </c>
    </row>
    <row r="111" spans="2:4" ht="18" customHeight="1" x14ac:dyDescent="0.45">
      <c r="B111" s="36">
        <v>45809</v>
      </c>
      <c r="C111" s="37">
        <v>57.94</v>
      </c>
      <c r="D111" s="39">
        <f t="shared" si="3"/>
        <v>-1.0473097702521961E-2</v>
      </c>
    </row>
    <row r="112" spans="2:4" ht="18" customHeight="1" x14ac:dyDescent="0.45">
      <c r="B112" s="36">
        <v>45839</v>
      </c>
      <c r="C112" s="37">
        <v>54.87</v>
      </c>
      <c r="D112" s="39">
        <f t="shared" si="3"/>
        <v>-5.4441241270320344E-2</v>
      </c>
    </row>
    <row r="113" spans="2:4" ht="18" customHeight="1" x14ac:dyDescent="0.45">
      <c r="B113" s="36">
        <v>45870</v>
      </c>
      <c r="C113" s="37">
        <v>56.46</v>
      </c>
      <c r="D113" s="39">
        <f t="shared" si="3"/>
        <v>2.856567175445934E-2</v>
      </c>
    </row>
    <row r="114" spans="2:4" ht="18" customHeight="1" x14ac:dyDescent="0.45">
      <c r="B114" s="36">
        <v>45901</v>
      </c>
      <c r="C114" s="37">
        <v>67.8</v>
      </c>
      <c r="D114" s="39">
        <f t="shared" si="3"/>
        <v>0.18302977212100657</v>
      </c>
    </row>
    <row r="115" spans="2:4" ht="18" customHeight="1" x14ac:dyDescent="0.45">
      <c r="B115" s="36">
        <v>45931</v>
      </c>
      <c r="C115" s="37">
        <v>63.93</v>
      </c>
      <c r="D115" s="39">
        <f t="shared" si="3"/>
        <v>-5.8773460167714411E-2</v>
      </c>
    </row>
    <row r="116" spans="2:4" ht="18" customHeight="1" x14ac:dyDescent="0.45">
      <c r="B116" s="36">
        <v>45962</v>
      </c>
      <c r="C116" s="37">
        <v>61.44</v>
      </c>
      <c r="D116" s="39">
        <f t="shared" si="3"/>
        <v>-3.9727645939218771E-2</v>
      </c>
    </row>
    <row r="117" spans="2:4" ht="18" customHeight="1" x14ac:dyDescent="0.45">
      <c r="B117" s="36">
        <v>45992</v>
      </c>
      <c r="C117" s="37">
        <v>62.99</v>
      </c>
      <c r="D117" s="39">
        <f t="shared" si="3"/>
        <v>2.491489479442106E-2</v>
      </c>
    </row>
    <row r="118" spans="2:4" ht="18" customHeight="1" x14ac:dyDescent="0.45">
      <c r="B118" s="36">
        <v>46023</v>
      </c>
      <c r="C118" s="37">
        <v>65.89</v>
      </c>
      <c r="D118" s="39">
        <f t="shared" si="3"/>
        <v>4.5010701291890907E-2</v>
      </c>
    </row>
    <row r="119" spans="2:4" ht="18" customHeight="1" x14ac:dyDescent="0.45">
      <c r="B119" s="36">
        <v>46054</v>
      </c>
      <c r="C119" s="37">
        <v>65.37</v>
      </c>
      <c r="D119" s="39">
        <f t="shared" si="3"/>
        <v>-7.9232473010902131E-3</v>
      </c>
    </row>
    <row r="120" spans="2:4" ht="18" customHeight="1" x14ac:dyDescent="0.45">
      <c r="B120" s="36">
        <v>46082</v>
      </c>
      <c r="C120" s="37">
        <v>64.739999999999995</v>
      </c>
      <c r="D120" s="39">
        <f t="shared" si="3"/>
        <v>-9.6841891265400937E-3</v>
      </c>
    </row>
    <row r="121" spans="2:4" ht="18" customHeight="1" x14ac:dyDescent="0.45">
      <c r="B121" s="36">
        <v>46113</v>
      </c>
      <c r="C121" s="37">
        <v>68.680000000000007</v>
      </c>
      <c r="D121" s="39">
        <f t="shared" si="3"/>
        <v>5.9078787531176673E-2</v>
      </c>
    </row>
    <row r="122" spans="2:4" ht="18" customHeight="1" x14ac:dyDescent="0.45">
      <c r="B122" s="36">
        <v>46143</v>
      </c>
      <c r="C122" s="37">
        <v>71.62</v>
      </c>
      <c r="D122" s="39">
        <f t="shared" si="3"/>
        <v>4.1916328541011787E-2</v>
      </c>
    </row>
    <row r="123" spans="2:4" ht="18" customHeight="1" x14ac:dyDescent="0.45">
      <c r="B123" s="36">
        <v>46174</v>
      </c>
      <c r="C123" s="37">
        <v>66.290000000000006</v>
      </c>
      <c r="D123" s="39">
        <f t="shared" si="3"/>
        <v>-7.733530831698647E-2</v>
      </c>
    </row>
    <row r="124" spans="2:4" ht="18" customHeight="1" x14ac:dyDescent="0.45">
      <c r="B124" s="36">
        <v>46204</v>
      </c>
      <c r="C124" s="37">
        <v>66.23</v>
      </c>
      <c r="D124" s="39">
        <f t="shared" si="3"/>
        <v>-9.0552375641218721E-4</v>
      </c>
    </row>
    <row r="125" spans="2:4" ht="18" customHeight="1" x14ac:dyDescent="0.45">
      <c r="B125" s="36">
        <v>46235</v>
      </c>
      <c r="C125" s="37">
        <v>66.739999999999995</v>
      </c>
      <c r="D125" s="39">
        <f t="shared" si="3"/>
        <v>7.6709408263396705E-3</v>
      </c>
    </row>
    <row r="126" spans="2:4" ht="18" customHeight="1" x14ac:dyDescent="0.45">
      <c r="B126" s="36">
        <v>46266</v>
      </c>
      <c r="C126" s="37">
        <v>61.95</v>
      </c>
      <c r="D126" s="39">
        <f t="shared" si="3"/>
        <v>-7.4476865248076368E-2</v>
      </c>
    </row>
    <row r="127" spans="2:4" ht="18" customHeight="1" x14ac:dyDescent="0.45">
      <c r="B127" s="36">
        <v>46296</v>
      </c>
      <c r="C127" s="37">
        <v>63.74</v>
      </c>
      <c r="D127" s="39">
        <f t="shared" si="3"/>
        <v>2.8484700914038846E-2</v>
      </c>
    </row>
    <row r="128" spans="2:4" ht="18" customHeight="1" x14ac:dyDescent="0.45">
      <c r="B128" s="36">
        <v>46327</v>
      </c>
      <c r="C128" s="37">
        <v>60.2</v>
      </c>
      <c r="D128" s="39">
        <f t="shared" si="3"/>
        <v>-5.7139956674415002E-2</v>
      </c>
    </row>
    <row r="129" spans="2:4" ht="18" customHeight="1" x14ac:dyDescent="0.45">
      <c r="B129" s="36">
        <v>46357</v>
      </c>
      <c r="C129" s="37">
        <v>65.459999999999994</v>
      </c>
      <c r="D129" s="39">
        <f t="shared" si="3"/>
        <v>8.3766916758258883E-2</v>
      </c>
    </row>
  </sheetData>
  <dataValidations count="1">
    <dataValidation type="decimal" operator="greaterThan" showErrorMessage="1" errorTitle="Цена" error="Введите положительную среднемесячную цену." sqref="C10:C129" xr:uid="{00000000-0002-0000-0200-000000000000}">
      <formula1>0</formula1>
    </dataValidation>
  </dataValidations>
  <hyperlinks>
    <hyperlink ref="B4" location="'Исходные данные'!A1" display="◂  Исходные данные" xr:uid="{00000000-0004-0000-0200-000000000000}"/>
    <hyperlink ref="J4" location="'Модели'!A1" display="Далее:  Модели  ▸" xr:uid="{00000000-0004-0000-0200-000001000000}"/>
  </hyperlinks>
  <printOptions horizontalCentered="1"/>
  <pageMargins left="0.4" right="0.4" top="0.5" bottom="0.6" header="0.25" footer="0.25"/>
  <pageSetup paperSize="9" scale="90" fitToHeight="0" orientation="landscape" r:id="rId1"/>
  <headerFooter>
    <oddFooter>&amp;L&amp;K3F5876&amp;8&amp;F · &amp;A&amp;R&amp;K3F5876&amp;8Page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8AA0BA"/>
    <pageSetUpPr fitToPage="1"/>
  </sheetPr>
  <dimension ref="A1:G68"/>
  <sheetViews>
    <sheetView showGridLines="0" workbookViewId="0"/>
  </sheetViews>
  <sheetFormatPr defaultRowHeight="14.25" x14ac:dyDescent="0.45"/>
  <cols>
    <col min="1" max="1" width="2" customWidth="1"/>
    <col min="2" max="2" width="44" customWidth="1"/>
    <col min="3" max="5" width="18" customWidth="1"/>
    <col min="6" max="6" width="2" customWidth="1"/>
    <col min="7" max="7" width="84" customWidth="1"/>
  </cols>
  <sheetData>
    <row r="1" spans="1:7" ht="6" customHeight="1" x14ac:dyDescent="0.45"/>
    <row r="2" spans="1:7" ht="30" customHeight="1" x14ac:dyDescent="0.45">
      <c r="A2" s="1"/>
      <c r="B2" s="21" t="s">
        <v>0</v>
      </c>
      <c r="C2" s="1"/>
      <c r="D2" s="1"/>
      <c r="E2" s="1"/>
      <c r="F2" s="1"/>
      <c r="G2" s="3" t="s">
        <v>1</v>
      </c>
    </row>
    <row r="3" spans="1:7" ht="20" customHeight="1" x14ac:dyDescent="0.45">
      <c r="A3" s="1"/>
      <c r="B3" s="4" t="s">
        <v>169</v>
      </c>
      <c r="C3" s="1"/>
      <c r="D3" s="1"/>
      <c r="E3" s="1"/>
      <c r="F3" s="1"/>
      <c r="G3" s="1"/>
    </row>
    <row r="4" spans="1:7" ht="20" customHeight="1" x14ac:dyDescent="0.45">
      <c r="A4" s="5"/>
      <c r="B4" s="22" t="s">
        <v>170</v>
      </c>
      <c r="C4" s="5"/>
      <c r="D4" s="5"/>
      <c r="E4" s="5"/>
      <c r="F4" s="5"/>
      <c r="G4" s="6" t="s">
        <v>171</v>
      </c>
    </row>
    <row r="5" spans="1:7" ht="8" customHeight="1" x14ac:dyDescent="0.45"/>
    <row r="6" spans="1:7" ht="22.05" customHeight="1" x14ac:dyDescent="0.5">
      <c r="B6" s="7" t="s">
        <v>172</v>
      </c>
      <c r="C6" s="8"/>
      <c r="D6" s="8"/>
      <c r="E6" s="8"/>
      <c r="F6" s="8"/>
      <c r="G6" s="8"/>
    </row>
    <row r="7" spans="1:7" ht="18" customHeight="1" x14ac:dyDescent="0.45">
      <c r="B7" s="13" t="s">
        <v>173</v>
      </c>
    </row>
    <row r="8" spans="1:7" ht="28.05" customHeight="1" x14ac:dyDescent="0.45">
      <c r="B8" s="23"/>
      <c r="C8" s="24" t="s">
        <v>174</v>
      </c>
      <c r="D8" s="24" t="s">
        <v>175</v>
      </c>
      <c r="E8" s="24" t="s">
        <v>176</v>
      </c>
      <c r="F8" s="5"/>
      <c r="G8" s="23" t="s">
        <v>149</v>
      </c>
    </row>
    <row r="9" spans="1:7" x14ac:dyDescent="0.45">
      <c r="B9" s="25" t="s">
        <v>177</v>
      </c>
      <c r="C9" s="30">
        <v>1</v>
      </c>
      <c r="D9" s="30">
        <v>2</v>
      </c>
      <c r="E9" s="30">
        <v>3</v>
      </c>
      <c r="F9" s="28"/>
      <c r="G9" s="26" t="s">
        <v>178</v>
      </c>
    </row>
    <row r="10" spans="1:7" x14ac:dyDescent="0.45">
      <c r="B10" s="25" t="s">
        <v>179</v>
      </c>
      <c r="C10" s="43" t="b">
        <f>UseParamUncertainty=1</f>
        <v>1</v>
      </c>
      <c r="D10" s="43" t="b">
        <f>UseParamUncertainty=1</f>
        <v>1</v>
      </c>
      <c r="E10" s="43" t="b">
        <v>0</v>
      </c>
      <c r="F10" s="28"/>
      <c r="G10" s="26" t="s">
        <v>180</v>
      </c>
    </row>
    <row r="11" spans="1:7" x14ac:dyDescent="0.45">
      <c r="B11" s="25" t="s">
        <v>181</v>
      </c>
      <c r="C11" s="40">
        <f>Hist_Last</f>
        <v>65.459999999999994</v>
      </c>
      <c r="D11" s="40">
        <f>Hist_Last</f>
        <v>65.459999999999994</v>
      </c>
      <c r="E11" s="40">
        <f>Hist_Last</f>
        <v>65.459999999999994</v>
      </c>
      <c r="F11" s="28"/>
      <c r="G11" s="26" t="s">
        <v>182</v>
      </c>
    </row>
    <row r="12" spans="1:7" x14ac:dyDescent="0.45">
      <c r="B12" s="25" t="s">
        <v>183</v>
      </c>
      <c r="C12" s="44" t="str" cm="1">
        <f t="array" aca="1" ref="C12" ca="1">INDEX(_xll.VoseTimeGBMFitObject(Hist_Price,,,C10,FALSE,C11),1)</f>
        <v>VoseTimeGBM(-0.000867293544879946,0.0746285792774836,65.46,,FALSE)</v>
      </c>
      <c r="D12" s="44" t="str" cm="1">
        <f t="array" aca="1" ref="D12" ca="1">INDEX(_xll.VoseTimeGBMVRFitObject(Hist_Price,D10,D11),1)</f>
        <v>VoseTimeGBMVR(56.9764371350139,0.0831709919863958,0.0645082839021404,65.46)</v>
      </c>
      <c r="E12" s="44" t="str" cm="1">
        <f t="array" aca="1" ref="E12" ca="1">INDEX(_xll.VoseTimeGBMAJVRFitObject(Hist_Price,E10,E11),1)</f>
        <v>VoseTimeGBMAJVR(60.3029213526466,0.0618706455737663,0.0599422271806479,0.194499603353664,2.85029751396754E-9,0.0507476536226127,0.37923866940712,65.46)</v>
      </c>
      <c r="F12" s="28"/>
      <c r="G12" s="26" t="s">
        <v>184</v>
      </c>
    </row>
    <row r="13" spans="1:7" x14ac:dyDescent="0.45">
      <c r="B13" s="25" t="s">
        <v>185</v>
      </c>
      <c r="C13" s="45" cm="1">
        <f t="array" aca="1" ref="C13" ca="1">_xll.VoseSIC(C12)</f>
        <v>-264.89770364511543</v>
      </c>
      <c r="D13" s="45" cm="1">
        <f t="array" aca="1" ref="D13" ca="1">_xll.VoseSIC(D12)</f>
        <v>-264.80370260070316</v>
      </c>
      <c r="E13" s="45" cm="1">
        <f t="array" aca="1" ref="E13" ca="1">_xll.VoseSIC(E12)</f>
        <v>-253.76485767878154</v>
      </c>
      <c r="F13" s="28"/>
      <c r="G13" s="26" t="str">
        <f ca="1">"VoseSIC: строже всего штрафует за лишние параметры; веса используют его.  Лучший (наименьший): "&amp;INDEX(Model_Names,MATCH(MIN(C13:E13),C13:E13,0))</f>
        <v>VoseSIC: строже всего штрафует за лишние параметры; веса используют его.  Лучший (наименьший): Случайное блуждание  (GBM)</v>
      </c>
    </row>
    <row r="14" spans="1:7" x14ac:dyDescent="0.45">
      <c r="B14" s="25" t="s">
        <v>186</v>
      </c>
      <c r="C14" s="45" cm="1">
        <f t="array" aca="1" ref="C14" ca="1">_xll.VoseAIC(C12)</f>
        <v>-270.35250235547642</v>
      </c>
      <c r="D14" s="45" cm="1">
        <f t="array" aca="1" ref="D14" ca="1">_xll.VoseAIC(D12)</f>
        <v>-272.95928127732515</v>
      </c>
      <c r="E14" s="45" cm="1">
        <f t="array" aca="1" ref="E14" ca="1">_xll.VoseAIC(E12)</f>
        <v>-272.27729987825586</v>
      </c>
      <c r="F14" s="28"/>
      <c r="G14" s="26" t="str">
        <f ca="1">"VoseAIC: более мягкий штраф, для сравнения.  Лучший (наименьший): "&amp;INDEX(Model_Names,MATCH(MIN(C14:E14),C14:E14,0))</f>
        <v>VoseAIC: более мягкий штраф, для сравнения.  Лучший (наименьший): Возврат к среднему  (GBMVR)</v>
      </c>
    </row>
    <row r="15" spans="1:7" x14ac:dyDescent="0.45">
      <c r="B15" s="25" t="s">
        <v>187</v>
      </c>
      <c r="C15" s="45" cm="1">
        <f t="array" aca="1" ref="C15" ca="1">_xll.VoseHQIC(C12)</f>
        <v>-268.19892199114986</v>
      </c>
      <c r="D15" s="45" cm="1">
        <f t="array" aca="1" ref="D15" ca="1">_xll.VoseHQIC(D12)</f>
        <v>-269.77013805048921</v>
      </c>
      <c r="E15" s="45" cm="1">
        <f t="array" aca="1" ref="E15" ca="1">_xll.VoseHQIC(E12)</f>
        <v>-265.35320706161571</v>
      </c>
      <c r="F15" s="28"/>
      <c r="G15" s="26" t="str">
        <f ca="1">"VoseHQIC: между AIC и SIC, для сравнения.  Лучший (наименьший): "&amp;INDEX(Model_Names,MATCH(MIN(C15:E15),C15:E15,0))</f>
        <v>VoseHQIC: между AIC и SIC, для сравнения.  Лучший (наименьший): Возврат к среднему  (GBMVR)</v>
      </c>
    </row>
    <row r="16" spans="1:7" x14ac:dyDescent="0.45">
      <c r="B16" s="25" t="s">
        <v>188</v>
      </c>
      <c r="C16" s="45">
        <f ca="1">C13-MIN(SIC_All)</f>
        <v>0</v>
      </c>
      <c r="D16" s="45">
        <f ca="1">D13-MIN(SIC_All)</f>
        <v>9.400104441226631E-2</v>
      </c>
      <c r="E16" s="45">
        <f ca="1">E13-MIN(SIC_All)</f>
        <v>11.132845966333889</v>
      </c>
      <c r="F16" s="28"/>
      <c r="G16" s="26" t="s">
        <v>189</v>
      </c>
    </row>
    <row r="17" spans="2:7" x14ac:dyDescent="0.45">
      <c r="B17" s="25" t="s">
        <v>190</v>
      </c>
      <c r="C17" s="46">
        <f>Prior_GBM</f>
        <v>1</v>
      </c>
      <c r="D17" s="46">
        <f>Prior_VR</f>
        <v>1</v>
      </c>
      <c r="E17" s="46">
        <f>Prior_AJ</f>
        <v>1</v>
      </c>
      <c r="F17" s="28"/>
      <c r="G17" s="26" t="s">
        <v>191</v>
      </c>
    </row>
    <row r="18" spans="2:7" x14ac:dyDescent="0.45">
      <c r="B18" s="25" t="s">
        <v>192</v>
      </c>
      <c r="C18" s="47">
        <f ca="1">C17*EXP(-C16/2)</f>
        <v>1</v>
      </c>
      <c r="D18" s="47">
        <f ca="1">D17*EXP(-D16/2)</f>
        <v>0.95408689936021063</v>
      </c>
      <c r="E18" s="47">
        <f ca="1">E17*EXP(-E16/2)</f>
        <v>3.8241349919766049E-3</v>
      </c>
      <c r="F18" s="28"/>
      <c r="G18" s="26" t="s">
        <v>193</v>
      </c>
    </row>
    <row r="19" spans="2:7" x14ac:dyDescent="0.45">
      <c r="B19" s="25" t="s">
        <v>194</v>
      </c>
      <c r="C19" s="42">
        <f ca="1">C18/SUM($C$18:$E$18)</f>
        <v>0.51074843670354486</v>
      </c>
      <c r="D19" s="42">
        <f ca="1">D18/SUM($C$18:$E$18)</f>
        <v>0.48729839232755989</v>
      </c>
      <c r="E19" s="42">
        <f ca="1">E18/SUM($C$18:$E$18)</f>
        <v>1.9531709688953738E-3</v>
      </c>
      <c r="F19" s="28"/>
      <c r="G19" s="26" t="s">
        <v>195</v>
      </c>
    </row>
    <row r="20" spans="2:7" x14ac:dyDescent="0.45">
      <c r="B20" s="48" t="s">
        <v>196</v>
      </c>
      <c r="C20" s="42">
        <f ca="1">IF(UseAveraging=1,C19,IF(C9=Best_No,1,0))</f>
        <v>0.51074843670354486</v>
      </c>
      <c r="D20" s="42">
        <f ca="1">IF(UseAveraging=1,D19,IF(D9=Best_No,1,0))</f>
        <v>0.48729839232755989</v>
      </c>
      <c r="E20" s="42">
        <f ca="1">IF(UseAveraging=1,E19,IF(E9=Best_No,1,0))</f>
        <v>1.9531709688953738E-3</v>
      </c>
      <c r="F20" s="28"/>
      <c r="G20" s="26" t="s">
        <v>197</v>
      </c>
    </row>
    <row r="22" spans="2:7" x14ac:dyDescent="0.45">
      <c r="B22" s="25" t="s">
        <v>198</v>
      </c>
      <c r="C22" s="30">
        <f ca="1">MATCH(MIN(SIC_All),SIC_All,0)</f>
        <v>1</v>
      </c>
      <c r="D22" s="28"/>
      <c r="E22" s="28"/>
      <c r="F22" s="28"/>
      <c r="G22" s="28"/>
    </row>
    <row r="23" spans="2:7" x14ac:dyDescent="0.45">
      <c r="B23" s="25" t="s">
        <v>199</v>
      </c>
      <c r="C23" s="49" t="str" cm="1">
        <f t="array" aca="1" ref="C23" ca="1">INDEX(Model_Names,Best_No)</f>
        <v>Случайное блуждание  (GBM)</v>
      </c>
      <c r="D23" s="28"/>
      <c r="E23" s="28"/>
      <c r="F23" s="28"/>
      <c r="G23" s="28"/>
    </row>
    <row r="24" spans="2:7" x14ac:dyDescent="0.45">
      <c r="B24" s="25" t="s">
        <v>200</v>
      </c>
      <c r="C24" s="50" t="str" cm="1">
        <f t="array" aca="1" ref="C24" ca="1">INDEX(_xll.VoseTimeOptimalFitObject(Fit_Objects,2),1)</f>
        <v>VoseTimeGBM(-0.000867293544879946,0.0746285792774836,65.46,,FALSE)</v>
      </c>
      <c r="D24" s="28"/>
      <c r="E24" s="28"/>
      <c r="F24" s="28"/>
      <c r="G24" s="26" t="s">
        <v>201</v>
      </c>
    </row>
    <row r="25" spans="2:7" x14ac:dyDescent="0.45">
      <c r="B25" s="51" t="s">
        <v>202</v>
      </c>
    </row>
    <row r="26" spans="2:7" x14ac:dyDescent="0.45">
      <c r="B26" s="51" t="s">
        <v>203</v>
      </c>
    </row>
    <row r="27" spans="2:7" x14ac:dyDescent="0.45">
      <c r="B27" s="51" t="s">
        <v>204</v>
      </c>
    </row>
    <row r="28" spans="2:7" ht="8" customHeight="1" x14ac:dyDescent="0.45"/>
    <row r="29" spans="2:7" ht="22.05" customHeight="1" x14ac:dyDescent="0.5">
      <c r="B29" s="7" t="s">
        <v>205</v>
      </c>
      <c r="C29" s="8"/>
      <c r="D29" s="8"/>
      <c r="E29" s="8"/>
      <c r="F29" s="8"/>
      <c r="G29" s="8"/>
    </row>
    <row r="30" spans="2:7" x14ac:dyDescent="0.45">
      <c r="B30" s="25" t="s">
        <v>174</v>
      </c>
      <c r="C30" s="25" t="s">
        <v>206</v>
      </c>
      <c r="D30" s="28"/>
      <c r="E30" s="28"/>
      <c r="F30" s="28"/>
      <c r="G30" s="28"/>
    </row>
    <row r="31" spans="2:7" x14ac:dyDescent="0.45">
      <c r="B31" s="25" t="s">
        <v>175</v>
      </c>
      <c r="C31" s="25" t="s">
        <v>207</v>
      </c>
      <c r="D31" s="28"/>
      <c r="E31" s="28"/>
      <c r="F31" s="28"/>
      <c r="G31" s="28"/>
    </row>
    <row r="32" spans="2:7" x14ac:dyDescent="0.45">
      <c r="B32" s="25" t="s">
        <v>176</v>
      </c>
      <c r="C32" s="25" t="s">
        <v>208</v>
      </c>
      <c r="D32" s="28"/>
      <c r="E32" s="28"/>
      <c r="F32" s="28"/>
      <c r="G32" s="28"/>
    </row>
    <row r="33" spans="2:7" ht="8" customHeight="1" x14ac:dyDescent="0.45"/>
    <row r="34" spans="2:7" ht="22.05" customHeight="1" x14ac:dyDescent="0.5">
      <c r="B34" s="7" t="s">
        <v>209</v>
      </c>
      <c r="C34" s="8"/>
      <c r="D34" s="8"/>
      <c r="E34" s="8"/>
      <c r="F34" s="8"/>
      <c r="G34" s="8"/>
    </row>
    <row r="35" spans="2:7" ht="18" customHeight="1" x14ac:dyDescent="0.45">
      <c r="B35" s="13" t="s">
        <v>210</v>
      </c>
    </row>
    <row r="36" spans="2:7" x14ac:dyDescent="0.45">
      <c r="B36" s="25" t="s">
        <v>211</v>
      </c>
      <c r="C36" s="52" cm="1">
        <f t="array" aca="1" ref="C36" ca="1">_xll.VoseInput("Используемая модель","1 GBM, 2 GBMVR, 3 GBMAJVR")+_xll.VoseDiscrete(Model_No,W_Used)</f>
        <v>2</v>
      </c>
      <c r="D36" s="28"/>
      <c r="E36" s="28"/>
      <c r="F36" s="28"/>
      <c r="G36" s="26" t="s">
        <v>212</v>
      </c>
    </row>
    <row r="37" spans="2:7" x14ac:dyDescent="0.45">
      <c r="B37" s="25" t="s">
        <v>213</v>
      </c>
      <c r="C37" s="49" t="str" cm="1">
        <f t="array" aca="1" ref="C37" ca="1">INDEX(Model_Names,ModelUsed)</f>
        <v>Возврат к среднему  (GBMVR)</v>
      </c>
      <c r="D37" s="28"/>
      <c r="E37" s="28"/>
      <c r="F37" s="28"/>
      <c r="G37" s="28"/>
    </row>
    <row r="38" spans="2:7" ht="8" customHeight="1" x14ac:dyDescent="0.45"/>
    <row r="39" spans="2:7" ht="22.05" customHeight="1" x14ac:dyDescent="0.5">
      <c r="B39" s="7" t="s">
        <v>214</v>
      </c>
      <c r="C39" s="8"/>
      <c r="D39" s="8"/>
      <c r="E39" s="8"/>
      <c r="F39" s="8"/>
      <c r="G39" s="8"/>
    </row>
    <row r="40" spans="2:7" ht="18" customHeight="1" x14ac:dyDescent="0.45">
      <c r="B40" s="13" t="s">
        <v>215</v>
      </c>
    </row>
    <row r="41" spans="2:7" ht="18" customHeight="1" x14ac:dyDescent="0.45">
      <c r="B41" s="23" t="s">
        <v>174</v>
      </c>
      <c r="C41" s="23" t="s">
        <v>112</v>
      </c>
      <c r="D41" s="24" t="s">
        <v>148</v>
      </c>
      <c r="E41" s="5"/>
      <c r="F41" s="5"/>
      <c r="G41" s="23" t="s">
        <v>216</v>
      </c>
    </row>
    <row r="42" spans="2:7" x14ac:dyDescent="0.45">
      <c r="B42" s="25" t="s">
        <v>217</v>
      </c>
      <c r="C42" s="26" t="s">
        <v>150</v>
      </c>
      <c r="D42" s="41">
        <f t="array" ref="D42:D43">_xll.VoseTimeGBMFitP(Hist_Price,,FALSE,FALSE)</f>
        <v>1.6172707773845392E-3</v>
      </c>
      <c r="E42" s="28"/>
      <c r="F42" s="28"/>
      <c r="G42" s="26" t="s">
        <v>218</v>
      </c>
    </row>
    <row r="43" spans="2:7" x14ac:dyDescent="0.45">
      <c r="B43" s="25" t="s">
        <v>219</v>
      </c>
      <c r="C43" s="26" t="s">
        <v>150</v>
      </c>
      <c r="D43" s="42">
        <v>7.6695433028307919E-2</v>
      </c>
      <c r="E43" s="28"/>
      <c r="F43" s="28"/>
      <c r="G43" s="26" t="s">
        <v>164</v>
      </c>
    </row>
    <row r="44" spans="2:7" x14ac:dyDescent="0.45">
      <c r="B44" s="53" t="s">
        <v>165</v>
      </c>
      <c r="C44" s="26" t="s">
        <v>166</v>
      </c>
      <c r="D44" s="42">
        <f>D43*SQRT(12)</f>
        <v>0.26568077342705093</v>
      </c>
      <c r="E44" s="28"/>
      <c r="F44" s="28"/>
      <c r="G44" s="26" t="s">
        <v>220</v>
      </c>
    </row>
    <row r="46" spans="2:7" ht="18" customHeight="1" x14ac:dyDescent="0.45">
      <c r="B46" s="23" t="s">
        <v>175</v>
      </c>
      <c r="C46" s="23" t="s">
        <v>112</v>
      </c>
      <c r="D46" s="24" t="s">
        <v>148</v>
      </c>
      <c r="E46" s="5"/>
      <c r="F46" s="5"/>
      <c r="G46" s="23" t="s">
        <v>216</v>
      </c>
    </row>
    <row r="47" spans="2:7" x14ac:dyDescent="0.45">
      <c r="B47" s="25" t="s">
        <v>221</v>
      </c>
      <c r="C47" s="26" t="s">
        <v>117</v>
      </c>
      <c r="D47" s="40">
        <f t="array" ref="D47:D49">_xll.VoseTimeGBMVRFitP(Hist_Price,FALSE)</f>
        <v>58.926115146773824</v>
      </c>
      <c r="E47" s="28"/>
      <c r="F47" s="28"/>
      <c r="G47" s="26" t="s">
        <v>222</v>
      </c>
    </row>
    <row r="48" spans="2:7" x14ac:dyDescent="0.45">
      <c r="B48" s="25" t="s">
        <v>219</v>
      </c>
      <c r="C48" s="26" t="s">
        <v>150</v>
      </c>
      <c r="D48" s="42">
        <v>7.5612707093677539E-2</v>
      </c>
      <c r="E48" s="28"/>
      <c r="F48" s="28"/>
      <c r="G48" s="26" t="s">
        <v>223</v>
      </c>
    </row>
    <row r="49" spans="2:7" x14ac:dyDescent="0.45">
      <c r="B49" s="25" t="s">
        <v>224</v>
      </c>
      <c r="C49" s="26" t="s">
        <v>150</v>
      </c>
      <c r="D49" s="42">
        <v>4.0676330371017345E-2</v>
      </c>
      <c r="E49" s="28"/>
      <c r="F49" s="28"/>
      <c r="G49" s="26" t="s">
        <v>225</v>
      </c>
    </row>
    <row r="50" spans="2:7" x14ac:dyDescent="0.45">
      <c r="B50" s="53" t="s">
        <v>226</v>
      </c>
      <c r="C50" s="26" t="s">
        <v>152</v>
      </c>
      <c r="D50" s="54">
        <f>LN(0.5)/LN(1-D49)</f>
        <v>16.691581217909729</v>
      </c>
      <c r="E50" s="28"/>
      <c r="F50" s="28"/>
      <c r="G50" s="26" t="s">
        <v>227</v>
      </c>
    </row>
    <row r="52" spans="2:7" ht="18" customHeight="1" x14ac:dyDescent="0.45">
      <c r="B52" s="23" t="s">
        <v>176</v>
      </c>
      <c r="C52" s="23" t="s">
        <v>112</v>
      </c>
      <c r="D52" s="24" t="s">
        <v>148</v>
      </c>
      <c r="E52" s="5"/>
      <c r="F52" s="5"/>
      <c r="G52" s="23" t="s">
        <v>216</v>
      </c>
    </row>
    <row r="53" spans="2:7" x14ac:dyDescent="0.45">
      <c r="B53" s="25" t="s">
        <v>221</v>
      </c>
      <c r="C53" s="26" t="s">
        <v>117</v>
      </c>
      <c r="D53" s="40">
        <f t="array" ref="D53:D59">_xll.VoseTimeGBMAJVRFitP(Hist_Price,FALSE)</f>
        <v>60.302921352646649</v>
      </c>
      <c r="E53" s="28"/>
      <c r="F53" s="28"/>
      <c r="G53" s="26" t="s">
        <v>222</v>
      </c>
    </row>
    <row r="54" spans="2:7" x14ac:dyDescent="0.45">
      <c r="B54" s="25" t="s">
        <v>219</v>
      </c>
      <c r="C54" s="26" t="s">
        <v>150</v>
      </c>
      <c r="D54" s="42">
        <v>6.1870645573766293E-2</v>
      </c>
      <c r="E54" s="28"/>
      <c r="F54" s="28"/>
      <c r="G54" s="26" t="s">
        <v>228</v>
      </c>
    </row>
    <row r="55" spans="2:7" x14ac:dyDescent="0.45">
      <c r="B55" s="25" t="s">
        <v>224</v>
      </c>
      <c r="C55" s="26" t="s">
        <v>150</v>
      </c>
      <c r="D55" s="42">
        <v>5.9942227180647935E-2</v>
      </c>
      <c r="E55" s="28"/>
      <c r="F55" s="28"/>
      <c r="G55" s="26" t="s">
        <v>229</v>
      </c>
    </row>
    <row r="56" spans="2:7" x14ac:dyDescent="0.45">
      <c r="B56" s="25" t="s">
        <v>230</v>
      </c>
      <c r="C56" s="26" t="s">
        <v>231</v>
      </c>
      <c r="D56" s="42">
        <v>0.19449960335366376</v>
      </c>
      <c r="E56" s="28"/>
      <c r="F56" s="28"/>
      <c r="G56" s="26" t="s">
        <v>232</v>
      </c>
    </row>
    <row r="57" spans="2:7" x14ac:dyDescent="0.45">
      <c r="B57" s="25" t="s">
        <v>233</v>
      </c>
      <c r="C57" s="26" t="s">
        <v>231</v>
      </c>
      <c r="D57" s="42">
        <v>2.8502975139675431E-9</v>
      </c>
      <c r="E57" s="28"/>
      <c r="F57" s="28"/>
      <c r="G57" s="26" t="s">
        <v>234</v>
      </c>
    </row>
    <row r="58" spans="2:7" x14ac:dyDescent="0.45">
      <c r="B58" s="25" t="s">
        <v>235</v>
      </c>
      <c r="C58" s="26" t="s">
        <v>236</v>
      </c>
      <c r="D58" s="42">
        <v>5.0747653622612715E-2</v>
      </c>
      <c r="E58" s="28"/>
      <c r="F58" s="28"/>
      <c r="G58" s="26"/>
    </row>
    <row r="59" spans="2:7" x14ac:dyDescent="0.45">
      <c r="B59" s="25" t="s">
        <v>237</v>
      </c>
      <c r="C59" s="26" t="s">
        <v>236</v>
      </c>
      <c r="D59" s="55">
        <v>0.37923866940711987</v>
      </c>
      <c r="E59" s="28"/>
      <c r="F59" s="28"/>
      <c r="G59" s="26"/>
    </row>
    <row r="60" spans="2:7" x14ac:dyDescent="0.45">
      <c r="B60" s="53" t="s">
        <v>238</v>
      </c>
      <c r="C60" s="26" t="s">
        <v>239</v>
      </c>
      <c r="D60" s="54">
        <f>12*D58</f>
        <v>0.60897184347135258</v>
      </c>
      <c r="E60" s="28"/>
      <c r="F60" s="28"/>
      <c r="G60" s="26" t="s">
        <v>240</v>
      </c>
    </row>
    <row r="62" spans="2:7" ht="22.05" customHeight="1" x14ac:dyDescent="0.5">
      <c r="B62" s="7" t="s">
        <v>241</v>
      </c>
      <c r="C62" s="8"/>
      <c r="D62" s="8"/>
      <c r="E62" s="8"/>
      <c r="F62" s="8"/>
      <c r="G62" s="8"/>
    </row>
    <row r="63" spans="2:7" ht="18" customHeight="1" x14ac:dyDescent="0.45">
      <c r="B63" s="13" t="s">
        <v>242</v>
      </c>
    </row>
    <row r="64" spans="2:7" x14ac:dyDescent="0.45">
      <c r="B64" s="25" t="s">
        <v>243</v>
      </c>
      <c r="C64" s="28"/>
      <c r="D64" s="56" t="str">
        <f>IF(AND(COUNT(Hist_Price)=120,MIN(Hist_Price)&gt;0),"ОК","ПРОВЕРИТЬ")</f>
        <v>ОК</v>
      </c>
      <c r="E64" s="28"/>
      <c r="F64" s="28"/>
      <c r="G64" s="28"/>
    </row>
    <row r="65" spans="2:7" x14ac:dyDescent="0.45">
      <c r="B65" s="25" t="s">
        <v>244</v>
      </c>
      <c r="C65" s="28"/>
      <c r="D65" s="56" t="str">
        <f>IF(MONTH(MAX(Hist_Date))=12,"ОК","ПРОВЕРИТЬ")</f>
        <v>ОК</v>
      </c>
      <c r="E65" s="28"/>
      <c r="F65" s="28"/>
      <c r="G65" s="28"/>
    </row>
    <row r="66" spans="2:7" x14ac:dyDescent="0.45">
      <c r="B66" s="25" t="s">
        <v>245</v>
      </c>
      <c r="C66" s="28"/>
      <c r="D66" s="56" t="str">
        <f>IF(AND(MIN(Prior_GBM,Prior_VR,Prior_AJ)&gt;=0,Prior_GBM+Prior_VR+Prior_AJ&gt;0),"ОК","ПРОВЕРИТЬ")</f>
        <v>ОК</v>
      </c>
      <c r="E66" s="28"/>
      <c r="F66" s="28"/>
      <c r="G66" s="28"/>
    </row>
    <row r="67" spans="2:7" x14ac:dyDescent="0.45">
      <c r="B67" s="25" t="s">
        <v>246</v>
      </c>
      <c r="C67" s="28"/>
      <c r="D67" s="56" t="str">
        <f ca="1">IF(ABS(SUM(W_Used)-1)&lt;0.000000001,"ОК","ПРОВЕРИТЬ")</f>
        <v>ОК</v>
      </c>
      <c r="E67" s="28"/>
      <c r="F67" s="28"/>
      <c r="G67" s="28"/>
    </row>
    <row r="68" spans="2:7" ht="14" customHeight="1" x14ac:dyDescent="0.45"/>
  </sheetData>
  <conditionalFormatting sqref="D64:D67">
    <cfRule type="expression" dxfId="4" priority="1">
      <formula>D64="CHECK"</formula>
    </cfRule>
  </conditionalFormatting>
  <hyperlinks>
    <hyperlink ref="B4" location="'История'!A1" display="◂  История" xr:uid="{00000000-0004-0000-0300-000000000000}"/>
    <hyperlink ref="G4" location="'Прогноз'!A1" display="Далее:  Прогноз  ▸" xr:uid="{00000000-0004-0000-0300-000001000000}"/>
  </hyperlinks>
  <printOptions horizontalCentered="1"/>
  <pageMargins left="0.4" right="0.4" top="0.5" bottom="0.6" header="0.25" footer="0.25"/>
  <pageSetup paperSize="9" scale="74" fitToHeight="0" orientation="landscape" r:id="rId1"/>
  <headerFooter>
    <oddFooter>&amp;L&amp;K3F5876&amp;8&amp;F · &amp;A&amp;R&amp;K3F5876&amp;8Page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8AA0BA"/>
    <pageSetUpPr fitToPage="1"/>
  </sheetPr>
  <dimension ref="A1:O69"/>
  <sheetViews>
    <sheetView showGridLines="0" workbookViewId="0">
      <pane ySplit="9" topLeftCell="A10" activePane="bottomLeft" state="frozen"/>
      <selection pane="bottomLeft"/>
    </sheetView>
  </sheetViews>
  <sheetFormatPr defaultRowHeight="14.25" x14ac:dyDescent="0.45"/>
  <cols>
    <col min="1" max="1" width="2" customWidth="1"/>
    <col min="2" max="2" width="7" customWidth="1"/>
    <col min="3" max="3" width="11" customWidth="1"/>
    <col min="4" max="7" width="12" customWidth="1"/>
    <col min="8" max="8" width="3" customWidth="1"/>
    <col min="9" max="13" width="12" customWidth="1"/>
    <col min="14" max="14" width="2" customWidth="1"/>
    <col min="15" max="15" width="58" customWidth="1"/>
  </cols>
  <sheetData>
    <row r="1" spans="1:15" ht="6" customHeight="1" x14ac:dyDescent="0.45"/>
    <row r="2" spans="1:15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3" t="s">
        <v>1</v>
      </c>
    </row>
    <row r="3" spans="1:15" ht="20" customHeight="1" x14ac:dyDescent="0.45">
      <c r="A3" s="1"/>
      <c r="B3" s="4" t="s">
        <v>247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20" customHeight="1" x14ac:dyDescent="0.45">
      <c r="A4" s="5"/>
      <c r="B4" s="22" t="s">
        <v>248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 t="s">
        <v>249</v>
      </c>
    </row>
    <row r="5" spans="1:15" ht="8" customHeight="1" x14ac:dyDescent="0.45"/>
    <row r="6" spans="1:15" ht="18" customHeight="1" x14ac:dyDescent="0.5">
      <c r="B6" s="7" t="s">
        <v>250</v>
      </c>
      <c r="C6" s="8"/>
      <c r="D6" s="8"/>
      <c r="E6" s="8"/>
      <c r="F6" s="8"/>
      <c r="G6" s="8"/>
      <c r="I6" s="7" t="s">
        <v>251</v>
      </c>
      <c r="J6" s="8"/>
      <c r="K6" s="8"/>
      <c r="L6" s="8"/>
      <c r="M6" s="8"/>
      <c r="N6" s="8"/>
      <c r="O6" s="8"/>
    </row>
    <row r="7" spans="1:15" ht="18" customHeight="1" x14ac:dyDescent="0.45">
      <c r="B7" s="13" t="s">
        <v>252</v>
      </c>
      <c r="I7" s="13" t="s">
        <v>253</v>
      </c>
    </row>
    <row r="8" spans="1:15" ht="18" customHeight="1" x14ac:dyDescent="0.45">
      <c r="B8" s="34" t="s">
        <v>145</v>
      </c>
      <c r="C8" s="33" t="s">
        <v>254</v>
      </c>
      <c r="D8" s="34" t="s">
        <v>49</v>
      </c>
      <c r="E8" s="34" t="s">
        <v>255</v>
      </c>
      <c r="F8" s="34" t="s">
        <v>256</v>
      </c>
      <c r="G8" s="34" t="s">
        <v>257</v>
      </c>
      <c r="I8" s="33" t="s">
        <v>258</v>
      </c>
      <c r="J8" s="34" t="s">
        <v>49</v>
      </c>
      <c r="K8" s="34" t="s">
        <v>255</v>
      </c>
      <c r="L8" s="34" t="s">
        <v>256</v>
      </c>
      <c r="M8" s="34" t="s">
        <v>257</v>
      </c>
      <c r="N8" s="57"/>
      <c r="O8" s="33" t="s">
        <v>149</v>
      </c>
    </row>
    <row r="9" spans="1:15" ht="18" customHeight="1" x14ac:dyDescent="0.45">
      <c r="B9" s="35"/>
      <c r="C9" s="35"/>
      <c r="D9" s="35" t="s">
        <v>117</v>
      </c>
      <c r="E9" s="35" t="s">
        <v>117</v>
      </c>
      <c r="F9" s="35" t="s">
        <v>117</v>
      </c>
      <c r="G9" s="35" t="s">
        <v>117</v>
      </c>
      <c r="I9" s="35"/>
      <c r="J9" s="35" t="s">
        <v>117</v>
      </c>
      <c r="K9" s="35" t="s">
        <v>117</v>
      </c>
      <c r="L9" s="35" t="s">
        <v>117</v>
      </c>
      <c r="M9" s="35" t="s">
        <v>117</v>
      </c>
      <c r="N9" s="35"/>
      <c r="O9" s="35"/>
    </row>
    <row r="10" spans="1:15" ht="18" customHeight="1" x14ac:dyDescent="0.45">
      <c r="B10" s="30">
        <v>1</v>
      </c>
      <c r="C10" s="58">
        <f>EDATE(DATE(FirstForecastYear,1,1),0)</f>
        <v>46388</v>
      </c>
      <c r="D10" s="59" cm="1">
        <f t="array" aca="1" ref="D10" ca="1">_xll.VoseOutput("Цена, месяц 1","долл./барр.")+CHOOSE(ModelUsed,E10,F10,G10)</f>
        <v>53.235941568146139</v>
      </c>
      <c r="E10" s="60">
        <f t="array" aca="1" ref="E10:E69" ca="1">_xll.VoseTimeSimulate(Obj_GBM)</f>
        <v>70.167095906794444</v>
      </c>
      <c r="F10" s="60">
        <f t="array" aca="1" ref="F10:F69" ca="1">_xll.VoseTimeSimulate(Obj_VR)</f>
        <v>53.235941568146139</v>
      </c>
      <c r="G10" s="60">
        <f t="array" aca="1" ref="G10:G69" ca="1">_xll.VoseTimeSimulate(Obj_AJ)</f>
        <v>65.404324520360689</v>
      </c>
      <c r="I10" s="61">
        <f>FirstForecastYear+0</f>
        <v>2027</v>
      </c>
      <c r="J10" s="59" cm="1">
        <f t="array" aca="1" ref="J10" ca="1">_xll.VoseOutput("Средняя цена, год 1","долл./барр.")+AVERAGE(D10:D21)</f>
        <v>61.363310680583318</v>
      </c>
      <c r="K10" s="40">
        <f ca="1">AVERAGE(E10:E21)</f>
        <v>72.556595219687622</v>
      </c>
      <c r="L10" s="40">
        <f ca="1">AVERAGE(F10:F21)</f>
        <v>61.363310680583318</v>
      </c>
      <c r="M10" s="40">
        <f ca="1">AVERAGE(G10:G21)</f>
        <v>56.470656843147388</v>
      </c>
      <c r="N10" s="28"/>
      <c r="O10" s="26" t="s">
        <v>259</v>
      </c>
    </row>
    <row r="11" spans="1:15" ht="18" customHeight="1" x14ac:dyDescent="0.45">
      <c r="B11" s="30">
        <v>2</v>
      </c>
      <c r="C11" s="58">
        <f>EDATE(DATE(FirstForecastYear,1,1),1)</f>
        <v>46419</v>
      </c>
      <c r="D11" s="59" cm="1">
        <f t="array" aca="1" ref="D11" ca="1">_xll.VoseOutput("Цена, месяц 2","долл./барр.")+CHOOSE(ModelUsed,E11,F11,G11)</f>
        <v>50.659313729711215</v>
      </c>
      <c r="E11" s="60">
        <f ca="1"/>
        <v>72.926920201950665</v>
      </c>
      <c r="F11" s="60">
        <f ca="1"/>
        <v>50.659313729711215</v>
      </c>
      <c r="G11" s="60">
        <f ca="1"/>
        <v>58.104727703237849</v>
      </c>
      <c r="I11" s="61">
        <f>FirstForecastYear+1</f>
        <v>2028</v>
      </c>
      <c r="J11" s="59" cm="1">
        <f t="array" aca="1" ref="J11" ca="1">_xll.VoseOutput("Средняя цена, год 2","долл./барр.")+AVERAGE(D22:D33)</f>
        <v>57.965396312800841</v>
      </c>
      <c r="K11" s="40">
        <f ca="1">AVERAGE(E22:E33)</f>
        <v>48.203725941150829</v>
      </c>
      <c r="L11" s="40">
        <f ca="1">AVERAGE(F22:F33)</f>
        <v>57.965396312800841</v>
      </c>
      <c r="M11" s="40">
        <f ca="1">AVERAGE(G22:G33)</f>
        <v>60.511739740589128</v>
      </c>
      <c r="N11" s="28"/>
      <c r="O11" s="28"/>
    </row>
    <row r="12" spans="1:15" ht="18" customHeight="1" x14ac:dyDescent="0.45">
      <c r="B12" s="30">
        <v>3</v>
      </c>
      <c r="C12" s="58">
        <f>EDATE(DATE(FirstForecastYear,1,1),2)</f>
        <v>46447</v>
      </c>
      <c r="D12" s="59" cm="1">
        <f t="array" aca="1" ref="D12" ca="1">_xll.VoseOutput("Цена, месяц 3","долл./барр.")+CHOOSE(ModelUsed,E12,F12,G12)</f>
        <v>50.70570603196024</v>
      </c>
      <c r="E12" s="60">
        <f ca="1"/>
        <v>76.523066991330708</v>
      </c>
      <c r="F12" s="60">
        <f ca="1"/>
        <v>50.70570603196024</v>
      </c>
      <c r="G12" s="60">
        <f ca="1"/>
        <v>52.130704928474913</v>
      </c>
      <c r="I12" s="61">
        <f>FirstForecastYear+2</f>
        <v>2029</v>
      </c>
      <c r="J12" s="59" cm="1">
        <f t="array" aca="1" ref="J12" ca="1">_xll.VoseOutput("Средняя цена, год 3","долл./барр.")+AVERAGE(D34:D45)</f>
        <v>56.284756260914698</v>
      </c>
      <c r="K12" s="40">
        <f ca="1">AVERAGE(E34:E45)</f>
        <v>33.553014414414086</v>
      </c>
      <c r="L12" s="40">
        <f ca="1">AVERAGE(F34:F45)</f>
        <v>56.284756260914698</v>
      </c>
      <c r="M12" s="40">
        <f ca="1">AVERAGE(G34:G45)</f>
        <v>52.576420148450531</v>
      </c>
      <c r="N12" s="28"/>
      <c r="O12" s="28"/>
    </row>
    <row r="13" spans="1:15" ht="18" customHeight="1" x14ac:dyDescent="0.45">
      <c r="B13" s="30">
        <v>4</v>
      </c>
      <c r="C13" s="58">
        <f>EDATE(DATE(FirstForecastYear,1,1),3)</f>
        <v>46478</v>
      </c>
      <c r="D13" s="59" cm="1">
        <f t="array" aca="1" ref="D13" ca="1">_xll.VoseOutput("Цена, месяц 4","долл./барр.")+CHOOSE(ModelUsed,E13,F13,G13)</f>
        <v>55.176560923651692</v>
      </c>
      <c r="E13" s="60">
        <f ca="1"/>
        <v>75.004719693909692</v>
      </c>
      <c r="F13" s="60">
        <f ca="1"/>
        <v>55.176560923651692</v>
      </c>
      <c r="G13" s="60">
        <f ca="1"/>
        <v>50.437734038255513</v>
      </c>
      <c r="I13" s="61">
        <f>FirstForecastYear+3</f>
        <v>2030</v>
      </c>
      <c r="J13" s="59" cm="1">
        <f t="array" aca="1" ref="J13" ca="1">_xll.VoseOutput("Средняя цена, год 4","долл./барр.")+AVERAGE(D46:D57)</f>
        <v>56.92175006303588</v>
      </c>
      <c r="K13" s="40">
        <f ca="1">AVERAGE(E46:E57)</f>
        <v>41.000919821220172</v>
      </c>
      <c r="L13" s="40">
        <f ca="1">AVERAGE(F46:F57)</f>
        <v>56.92175006303588</v>
      </c>
      <c r="M13" s="40">
        <f ca="1">AVERAGE(G46:G57)</f>
        <v>50.068332039971956</v>
      </c>
      <c r="N13" s="28"/>
      <c r="O13" s="28"/>
    </row>
    <row r="14" spans="1:15" ht="18" customHeight="1" x14ac:dyDescent="0.45">
      <c r="B14" s="30">
        <v>5</v>
      </c>
      <c r="C14" s="58">
        <f>EDATE(DATE(FirstForecastYear,1,1),4)</f>
        <v>46508</v>
      </c>
      <c r="D14" s="59" cm="1">
        <f t="array" aca="1" ref="D14" ca="1">_xll.VoseOutput("Цена, месяц 5","долл./барр.")+CHOOSE(ModelUsed,E14,F14,G14)</f>
        <v>59.836305772166106</v>
      </c>
      <c r="E14" s="60">
        <f ca="1"/>
        <v>81.259044951912188</v>
      </c>
      <c r="F14" s="60">
        <f ca="1"/>
        <v>59.836305772166106</v>
      </c>
      <c r="G14" s="60">
        <f ca="1"/>
        <v>50.674355779316947</v>
      </c>
      <c r="I14" s="61">
        <f>FirstForecastYear+4</f>
        <v>2031</v>
      </c>
      <c r="J14" s="59" cm="1">
        <f t="array" aca="1" ref="J14" ca="1">_xll.VoseOutput("Средняя цена, год 5","долл./барр.")+AVERAGE(D58:D69)</f>
        <v>69.25176298523705</v>
      </c>
      <c r="K14" s="59" cm="1">
        <f t="array" aca="1" ref="K14" ca="1">_xll.VoseOutput("Средняя цена 5-го года, случайное блуждание","долл./барр.")+AVERAGE(E58:E69)</f>
        <v>41.881319785381919</v>
      </c>
      <c r="L14" s="59" cm="1">
        <f t="array" aca="1" ref="L14" ca="1">_xll.VoseOutput("Средняя цена 5-го года, возврат к среднему","долл./барр.")+AVERAGE(F58:F69)</f>
        <v>69.25176298523705</v>
      </c>
      <c r="M14" s="59" cm="1">
        <f t="array" aca="1" ref="M14" ca="1">_xll.VoseOutput("Средняя цена 5-го года, со скачками","долл./барр.")+AVERAGE(G58:G69)</f>
        <v>60.472524035933532</v>
      </c>
      <c r="N14" s="28"/>
      <c r="O14" s="26" t="s">
        <v>260</v>
      </c>
    </row>
    <row r="15" spans="1:15" ht="18" customHeight="1" x14ac:dyDescent="0.45">
      <c r="B15" s="30">
        <v>6</v>
      </c>
      <c r="C15" s="58">
        <f>EDATE(DATE(FirstForecastYear,1,1),5)</f>
        <v>46539</v>
      </c>
      <c r="D15" s="59" cm="1">
        <f t="array" aca="1" ref="D15" ca="1">_xll.VoseOutput("Цена, месяц 6","долл./барр.")+CHOOSE(ModelUsed,E15,F15,G15)</f>
        <v>64.153104800085416</v>
      </c>
      <c r="E15" s="60">
        <f ca="1"/>
        <v>78.070759932486411</v>
      </c>
      <c r="F15" s="60">
        <f ca="1"/>
        <v>64.153104800085416</v>
      </c>
      <c r="G15" s="60">
        <f ca="1"/>
        <v>53.344260958086991</v>
      </c>
    </row>
    <row r="16" spans="1:15" ht="18" customHeight="1" x14ac:dyDescent="0.5">
      <c r="B16" s="30">
        <v>7</v>
      </c>
      <c r="C16" s="58">
        <f>EDATE(DATE(FirstForecastYear,1,1),6)</f>
        <v>46569</v>
      </c>
      <c r="D16" s="59" cm="1">
        <f t="array" aca="1" ref="D16" ca="1">_xll.VoseOutput("Цена, месяц 7","долл./барр.")+CHOOSE(ModelUsed,E16,F16,G16)</f>
        <v>63.429171401887444</v>
      </c>
      <c r="E16" s="60">
        <f ca="1"/>
        <v>75.40882457934903</v>
      </c>
      <c r="F16" s="60">
        <f ca="1"/>
        <v>63.429171401887444</v>
      </c>
      <c r="G16" s="60">
        <f ca="1"/>
        <v>54.114784627011296</v>
      </c>
      <c r="I16" s="7" t="s">
        <v>261</v>
      </c>
      <c r="J16" s="8"/>
      <c r="K16" s="8"/>
      <c r="L16" s="8"/>
      <c r="M16" s="8"/>
      <c r="N16" s="8"/>
      <c r="O16" s="8"/>
    </row>
    <row r="17" spans="2:15" ht="18" customHeight="1" x14ac:dyDescent="0.45">
      <c r="B17" s="30">
        <v>8</v>
      </c>
      <c r="C17" s="58">
        <f>EDATE(DATE(FirstForecastYear,1,1),7)</f>
        <v>46600</v>
      </c>
      <c r="D17" s="59" cm="1">
        <f t="array" aca="1" ref="D17" ca="1">_xll.VoseOutput("Цена, месяц 8","долл./барр.")+CHOOSE(ModelUsed,E17,F17,G17)</f>
        <v>71.78537524572333</v>
      </c>
      <c r="E17" s="60">
        <f ca="1"/>
        <v>71.939240832204121</v>
      </c>
      <c r="F17" s="60">
        <f ca="1"/>
        <v>71.78537524572333</v>
      </c>
      <c r="G17" s="60">
        <f ca="1"/>
        <v>55.520498199208461</v>
      </c>
      <c r="I17" s="25" t="s">
        <v>262</v>
      </c>
      <c r="J17" s="28"/>
      <c r="K17" s="48" t="str">
        <f ca="1">ModelUsedName</f>
        <v>Возврат к среднему  (GBMVR)</v>
      </c>
      <c r="L17" s="28"/>
      <c r="M17" s="28"/>
      <c r="N17" s="28"/>
      <c r="O17" s="28"/>
    </row>
    <row r="18" spans="2:15" ht="18" customHeight="1" x14ac:dyDescent="0.45">
      <c r="B18" s="30">
        <v>9</v>
      </c>
      <c r="C18" s="58">
        <f>EDATE(DATE(FirstForecastYear,1,1),8)</f>
        <v>46631</v>
      </c>
      <c r="D18" s="59" cm="1">
        <f t="array" aca="1" ref="D18" ca="1">_xll.VoseOutput("Цена, месяц 9","долл./барр.")+CHOOSE(ModelUsed,E18,F18,G18)</f>
        <v>72.000496074229929</v>
      </c>
      <c r="E18" s="60">
        <f ca="1"/>
        <v>71.9916770716234</v>
      </c>
      <c r="F18" s="60">
        <f ca="1"/>
        <v>72.000496074229929</v>
      </c>
      <c r="G18" s="60">
        <f ca="1"/>
        <v>55.969113821909787</v>
      </c>
    </row>
    <row r="19" spans="2:15" ht="18" customHeight="1" x14ac:dyDescent="0.5">
      <c r="B19" s="30">
        <v>10</v>
      </c>
      <c r="C19" s="58">
        <f>EDATE(DATE(FirstForecastYear,1,1),9)</f>
        <v>46661</v>
      </c>
      <c r="D19" s="59" cm="1">
        <f t="array" aca="1" ref="D19" ca="1">_xll.VoseOutput("Цена, месяц 10","долл./барр.")+CHOOSE(ModelUsed,E19,F19,G19)</f>
        <v>68.799014218598643</v>
      </c>
      <c r="E19" s="60">
        <f ca="1"/>
        <v>65.394432315383781</v>
      </c>
      <c r="F19" s="60">
        <f ca="1"/>
        <v>68.799014218598643</v>
      </c>
      <c r="G19" s="60">
        <f ca="1"/>
        <v>60.995909325123407</v>
      </c>
      <c r="I19" s="7" t="s">
        <v>263</v>
      </c>
      <c r="J19" s="8"/>
      <c r="K19" s="8"/>
      <c r="L19" s="8"/>
      <c r="M19" s="8"/>
      <c r="N19" s="8"/>
      <c r="O19" s="8"/>
    </row>
    <row r="20" spans="2:15" ht="18" customHeight="1" x14ac:dyDescent="0.45">
      <c r="B20" s="30">
        <v>11</v>
      </c>
      <c r="C20" s="58">
        <f>EDATE(DATE(FirstForecastYear,1,1),10)</f>
        <v>46692</v>
      </c>
      <c r="D20" s="59" cm="1">
        <f t="array" aca="1" ref="D20" ca="1">_xll.VoseOutput("Цена, месяц 11","долл./барр.")+CHOOSE(ModelUsed,E20,F20,G20)</f>
        <v>63.247136697976416</v>
      </c>
      <c r="E20" s="60">
        <f ca="1"/>
        <v>65.231552571711816</v>
      </c>
      <c r="F20" s="60">
        <f ca="1"/>
        <v>63.247136697976416</v>
      </c>
      <c r="G20" s="60">
        <f ca="1"/>
        <v>62.778395938392151</v>
      </c>
      <c r="I20" s="13" t="s">
        <v>264</v>
      </c>
    </row>
    <row r="21" spans="2:15" ht="18" customHeight="1" x14ac:dyDescent="0.45">
      <c r="B21" s="30">
        <v>12</v>
      </c>
      <c r="C21" s="58">
        <f>EDATE(DATE(FirstForecastYear,1,1),11)</f>
        <v>46722</v>
      </c>
      <c r="D21" s="59" cm="1">
        <f t="array" aca="1" ref="D21" ca="1">_xll.VoseOutput("Цена, месяц 12","долл./барр.")+CHOOSE(ModelUsed,E21,F21,G21)</f>
        <v>63.331601702863175</v>
      </c>
      <c r="E21" s="60">
        <f ca="1"/>
        <v>66.761807587595243</v>
      </c>
      <c r="F21" s="60">
        <f ca="1"/>
        <v>63.331601702863175</v>
      </c>
      <c r="G21" s="60">
        <f ca="1"/>
        <v>58.173072278390691</v>
      </c>
    </row>
    <row r="22" spans="2:15" ht="18" customHeight="1" x14ac:dyDescent="0.45">
      <c r="B22" s="30">
        <v>13</v>
      </c>
      <c r="C22" s="58">
        <f>EDATE(DATE(FirstForecastYear,1,1),12)</f>
        <v>46753</v>
      </c>
      <c r="D22" s="59" cm="1">
        <f t="array" aca="1" ref="D22" ca="1">_xll.VoseOutput("Цена, месяц 13","долл./барр.")+CHOOSE(ModelUsed,E22,F22,G22)</f>
        <v>61.482105353735562</v>
      </c>
      <c r="E22" s="60">
        <f ca="1"/>
        <v>64.518484104848511</v>
      </c>
      <c r="F22" s="60">
        <f ca="1"/>
        <v>61.482105353735562</v>
      </c>
      <c r="G22" s="60">
        <f ca="1"/>
        <v>59.960685651808099</v>
      </c>
    </row>
    <row r="23" spans="2:15" ht="18" customHeight="1" x14ac:dyDescent="0.45">
      <c r="B23" s="30">
        <v>14</v>
      </c>
      <c r="C23" s="58">
        <f>EDATE(DATE(FirstForecastYear,1,1),13)</f>
        <v>46784</v>
      </c>
      <c r="D23" s="59" cm="1">
        <f t="array" aca="1" ref="D23" ca="1">_xll.VoseOutput("Цена, месяц 14","долл./барр.")+CHOOSE(ModelUsed,E23,F23,G23)</f>
        <v>59.288301803201456</v>
      </c>
      <c r="E23" s="60">
        <f ca="1"/>
        <v>52.905856170929802</v>
      </c>
      <c r="F23" s="60">
        <f ca="1"/>
        <v>59.288301803201456</v>
      </c>
      <c r="G23" s="60">
        <f ca="1"/>
        <v>56.994937810180332</v>
      </c>
    </row>
    <row r="24" spans="2:15" ht="18" customHeight="1" x14ac:dyDescent="0.45">
      <c r="B24" s="30">
        <v>15</v>
      </c>
      <c r="C24" s="58">
        <f>EDATE(DATE(FirstForecastYear,1,1),14)</f>
        <v>46813</v>
      </c>
      <c r="D24" s="59" cm="1">
        <f t="array" aca="1" ref="D24" ca="1">_xll.VoseOutput("Цена, месяц 15","долл./барр.")+CHOOSE(ModelUsed,E24,F24,G24)</f>
        <v>68.582694670853513</v>
      </c>
      <c r="E24" s="60">
        <f ca="1"/>
        <v>51.033495273720121</v>
      </c>
      <c r="F24" s="60">
        <f ca="1"/>
        <v>68.582694670853513</v>
      </c>
      <c r="G24" s="60">
        <f ca="1"/>
        <v>57.875135621132216</v>
      </c>
    </row>
    <row r="25" spans="2:15" ht="18" customHeight="1" x14ac:dyDescent="0.45">
      <c r="B25" s="30">
        <v>16</v>
      </c>
      <c r="C25" s="58">
        <f>EDATE(DATE(FirstForecastYear,1,1),15)</f>
        <v>46844</v>
      </c>
      <c r="D25" s="59" cm="1">
        <f t="array" aca="1" ref="D25" ca="1">_xll.VoseOutput("Цена, месяц 16","долл./барр.")+CHOOSE(ModelUsed,E25,F25,G25)</f>
        <v>65.192836885825983</v>
      </c>
      <c r="E25" s="60">
        <f ca="1"/>
        <v>52.613800277671842</v>
      </c>
      <c r="F25" s="60">
        <f ca="1"/>
        <v>65.192836885825983</v>
      </c>
      <c r="G25" s="60">
        <f ca="1"/>
        <v>65.833410311012642</v>
      </c>
    </row>
    <row r="26" spans="2:15" ht="18" customHeight="1" x14ac:dyDescent="0.45">
      <c r="B26" s="30">
        <v>17</v>
      </c>
      <c r="C26" s="58">
        <f>EDATE(DATE(FirstForecastYear,1,1),16)</f>
        <v>46874</v>
      </c>
      <c r="D26" s="59" cm="1">
        <f t="array" aca="1" ref="D26" ca="1">_xll.VoseOutput("Цена, месяц 17","долл./барр.")+CHOOSE(ModelUsed,E26,F26,G26)</f>
        <v>67.783063816979137</v>
      </c>
      <c r="E26" s="60">
        <f ca="1"/>
        <v>50.304478473874276</v>
      </c>
      <c r="F26" s="60">
        <f ca="1"/>
        <v>67.783063816979137</v>
      </c>
      <c r="G26" s="60">
        <f ca="1"/>
        <v>69.262973426834193</v>
      </c>
    </row>
    <row r="27" spans="2:15" ht="18" customHeight="1" x14ac:dyDescent="0.45">
      <c r="B27" s="30">
        <v>18</v>
      </c>
      <c r="C27" s="58">
        <f>EDATE(DATE(FirstForecastYear,1,1),17)</f>
        <v>46905</v>
      </c>
      <c r="D27" s="59" cm="1">
        <f t="array" aca="1" ref="D27" ca="1">_xll.VoseOutput("Цена, месяц 18","долл./барр.")+CHOOSE(ModelUsed,E27,F27,G27)</f>
        <v>63.07635702028324</v>
      </c>
      <c r="E27" s="60">
        <f ca="1"/>
        <v>56.520061397714827</v>
      </c>
      <c r="F27" s="60">
        <f ca="1"/>
        <v>63.07635702028324</v>
      </c>
      <c r="G27" s="60">
        <f ca="1"/>
        <v>65.58448564232792</v>
      </c>
    </row>
    <row r="28" spans="2:15" ht="18" customHeight="1" x14ac:dyDescent="0.45">
      <c r="B28" s="30">
        <v>19</v>
      </c>
      <c r="C28" s="58">
        <f>EDATE(DATE(FirstForecastYear,1,1),18)</f>
        <v>46935</v>
      </c>
      <c r="D28" s="59" cm="1">
        <f t="array" aca="1" ref="D28" ca="1">_xll.VoseOutput("Цена, месяц 19","долл./барр.")+CHOOSE(ModelUsed,E28,F28,G28)</f>
        <v>59.679855878328596</v>
      </c>
      <c r="E28" s="60">
        <f ca="1"/>
        <v>47.651513430072093</v>
      </c>
      <c r="F28" s="60">
        <f ca="1"/>
        <v>59.679855878328596</v>
      </c>
      <c r="G28" s="60">
        <f ca="1"/>
        <v>62.581252969354189</v>
      </c>
    </row>
    <row r="29" spans="2:15" ht="18" customHeight="1" x14ac:dyDescent="0.45">
      <c r="B29" s="30">
        <v>20</v>
      </c>
      <c r="C29" s="58">
        <f>EDATE(DATE(FirstForecastYear,1,1),19)</f>
        <v>46966</v>
      </c>
      <c r="D29" s="59" cm="1">
        <f t="array" aca="1" ref="D29" ca="1">_xll.VoseOutput("Цена, месяц 20","долл./барр.")+CHOOSE(ModelUsed,E29,F29,G29)</f>
        <v>52.096747363209502</v>
      </c>
      <c r="E29" s="60">
        <f ca="1"/>
        <v>43.960898519444179</v>
      </c>
      <c r="F29" s="60">
        <f ca="1"/>
        <v>52.096747363209502</v>
      </c>
      <c r="G29" s="60">
        <f ca="1"/>
        <v>56.044524821594642</v>
      </c>
    </row>
    <row r="30" spans="2:15" ht="18" customHeight="1" x14ac:dyDescent="0.45">
      <c r="B30" s="30">
        <v>21</v>
      </c>
      <c r="C30" s="58">
        <f>EDATE(DATE(FirstForecastYear,1,1),20)</f>
        <v>46997</v>
      </c>
      <c r="D30" s="59" cm="1">
        <f t="array" aca="1" ref="D30" ca="1">_xll.VoseOutput("Цена, месяц 21","долл./барр.")+CHOOSE(ModelUsed,E30,F30,G30)</f>
        <v>52.137898290057542</v>
      </c>
      <c r="E30" s="60">
        <f ca="1"/>
        <v>44.213367621341057</v>
      </c>
      <c r="F30" s="60">
        <f ca="1"/>
        <v>52.137898290057542</v>
      </c>
      <c r="G30" s="60">
        <f ca="1"/>
        <v>58.332057738888913</v>
      </c>
    </row>
    <row r="31" spans="2:15" ht="18" customHeight="1" x14ac:dyDescent="0.45">
      <c r="B31" s="30">
        <v>22</v>
      </c>
      <c r="C31" s="58">
        <f>EDATE(DATE(FirstForecastYear,1,1),21)</f>
        <v>47027</v>
      </c>
      <c r="D31" s="59" cm="1">
        <f t="array" aca="1" ref="D31" ca="1">_xll.VoseOutput("Цена, месяц 22","долл./барр.")+CHOOSE(ModelUsed,E31,F31,G31)</f>
        <v>49.251588792388844</v>
      </c>
      <c r="E31" s="60">
        <f ca="1"/>
        <v>43.839455246759009</v>
      </c>
      <c r="F31" s="60">
        <f ca="1"/>
        <v>49.251588792388844</v>
      </c>
      <c r="G31" s="60">
        <f ca="1"/>
        <v>62.260457515572796</v>
      </c>
    </row>
    <row r="32" spans="2:15" ht="18" customHeight="1" x14ac:dyDescent="0.45">
      <c r="B32" s="30">
        <v>23</v>
      </c>
      <c r="C32" s="58">
        <f>EDATE(DATE(FirstForecastYear,1,1),22)</f>
        <v>47058</v>
      </c>
      <c r="D32" s="59" cm="1">
        <f t="array" aca="1" ref="D32" ca="1">_xll.VoseOutput("Цена, месяц 23","долл./барр.")+CHOOSE(ModelUsed,E32,F32,G32)</f>
        <v>47.089265814320711</v>
      </c>
      <c r="E32" s="60">
        <f ca="1"/>
        <v>37.350184892281284</v>
      </c>
      <c r="F32" s="60">
        <f ca="1"/>
        <v>47.089265814320711</v>
      </c>
      <c r="G32" s="60">
        <f ca="1"/>
        <v>55.804266670914132</v>
      </c>
    </row>
    <row r="33" spans="2:7" ht="18" customHeight="1" x14ac:dyDescent="0.45">
      <c r="B33" s="30">
        <v>24</v>
      </c>
      <c r="C33" s="58">
        <f>EDATE(DATE(FirstForecastYear,1,1),23)</f>
        <v>47088</v>
      </c>
      <c r="D33" s="59" cm="1">
        <f t="array" aca="1" ref="D33" ca="1">_xll.VoseOutput("Цена, месяц 24","долл./барр.")+CHOOSE(ModelUsed,E33,F33,G33)</f>
        <v>49.924040064426109</v>
      </c>
      <c r="E33" s="60">
        <f ca="1"/>
        <v>33.533115885152938</v>
      </c>
      <c r="F33" s="60">
        <f ca="1"/>
        <v>49.924040064426109</v>
      </c>
      <c r="G33" s="60">
        <f ca="1"/>
        <v>55.606688707449507</v>
      </c>
    </row>
    <row r="34" spans="2:7" ht="18" customHeight="1" x14ac:dyDescent="0.45">
      <c r="B34" s="30">
        <v>25</v>
      </c>
      <c r="C34" s="58">
        <f>EDATE(DATE(FirstForecastYear,1,1),24)</f>
        <v>47119</v>
      </c>
      <c r="D34" s="59" cm="1">
        <f t="array" aca="1" ref="D34" ca="1">_xll.VoseOutput("Цена, месяц 25","долл./барр.")+CHOOSE(ModelUsed,E34,F34,G34)</f>
        <v>58.058072985459795</v>
      </c>
      <c r="E34" s="60">
        <f ca="1"/>
        <v>31.721881732643247</v>
      </c>
      <c r="F34" s="60">
        <f ca="1"/>
        <v>58.058072985459795</v>
      </c>
      <c r="G34" s="60">
        <f ca="1"/>
        <v>53.684798324801243</v>
      </c>
    </row>
    <row r="35" spans="2:7" ht="18" customHeight="1" x14ac:dyDescent="0.45">
      <c r="B35" s="30">
        <v>26</v>
      </c>
      <c r="C35" s="58">
        <f>EDATE(DATE(FirstForecastYear,1,1),25)</f>
        <v>47150</v>
      </c>
      <c r="D35" s="59" cm="1">
        <f t="array" aca="1" ref="D35" ca="1">_xll.VoseOutput("Цена, месяц 26","долл./барр.")+CHOOSE(ModelUsed,E35,F35,G35)</f>
        <v>47.662226486544853</v>
      </c>
      <c r="E35" s="60">
        <f ca="1"/>
        <v>35.441382238832354</v>
      </c>
      <c r="F35" s="60">
        <f ca="1"/>
        <v>47.662226486544853</v>
      </c>
      <c r="G35" s="60">
        <f ca="1"/>
        <v>54.61387410482412</v>
      </c>
    </row>
    <row r="36" spans="2:7" ht="18" customHeight="1" x14ac:dyDescent="0.45">
      <c r="B36" s="30">
        <v>27</v>
      </c>
      <c r="C36" s="58">
        <f>EDATE(DATE(FirstForecastYear,1,1),26)</f>
        <v>47178</v>
      </c>
      <c r="D36" s="59" cm="1">
        <f t="array" aca="1" ref="D36" ca="1">_xll.VoseOutput("Цена, месяц 27","долл./барр.")+CHOOSE(ModelUsed,E36,F36,G36)</f>
        <v>48.923518166972343</v>
      </c>
      <c r="E36" s="60">
        <f ca="1"/>
        <v>36.807938573547965</v>
      </c>
      <c r="F36" s="60">
        <f ca="1"/>
        <v>48.923518166972343</v>
      </c>
      <c r="G36" s="60">
        <f ca="1"/>
        <v>56.842545325925322</v>
      </c>
    </row>
    <row r="37" spans="2:7" ht="18" customHeight="1" x14ac:dyDescent="0.45">
      <c r="B37" s="30">
        <v>28</v>
      </c>
      <c r="C37" s="58">
        <f>EDATE(DATE(FirstForecastYear,1,1),27)</f>
        <v>47209</v>
      </c>
      <c r="D37" s="59" cm="1">
        <f t="array" aca="1" ref="D37" ca="1">_xll.VoseOutput("Цена, месяц 28","долл./барр.")+CHOOSE(ModelUsed,E37,F37,G37)</f>
        <v>51.165719647632258</v>
      </c>
      <c r="E37" s="60">
        <f ca="1"/>
        <v>34.528672787707698</v>
      </c>
      <c r="F37" s="60">
        <f ca="1"/>
        <v>51.165719647632258</v>
      </c>
      <c r="G37" s="60">
        <f ca="1"/>
        <v>53.892894410035034</v>
      </c>
    </row>
    <row r="38" spans="2:7" ht="18" customHeight="1" x14ac:dyDescent="0.45">
      <c r="B38" s="30">
        <v>29</v>
      </c>
      <c r="C38" s="58">
        <f>EDATE(DATE(FirstForecastYear,1,1),28)</f>
        <v>47239</v>
      </c>
      <c r="D38" s="59" cm="1">
        <f t="array" aca="1" ref="D38" ca="1">_xll.VoseOutput("Цена, месяц 29","долл./барр.")+CHOOSE(ModelUsed,E38,F38,G38)</f>
        <v>58.148089958365134</v>
      </c>
      <c r="E38" s="60">
        <f ca="1"/>
        <v>31.787217400959268</v>
      </c>
      <c r="F38" s="60">
        <f ca="1"/>
        <v>58.148089958365134</v>
      </c>
      <c r="G38" s="60">
        <f ca="1"/>
        <v>48.552832109204623</v>
      </c>
    </row>
    <row r="39" spans="2:7" ht="18" customHeight="1" x14ac:dyDescent="0.45">
      <c r="B39" s="30">
        <v>30</v>
      </c>
      <c r="C39" s="58">
        <f>EDATE(DATE(FirstForecastYear,1,1),29)</f>
        <v>47270</v>
      </c>
      <c r="D39" s="59" cm="1">
        <f t="array" aca="1" ref="D39" ca="1">_xll.VoseOutput("Цена, месяц 30","долл./барр.")+CHOOSE(ModelUsed,E39,F39,G39)</f>
        <v>56.676870007350736</v>
      </c>
      <c r="E39" s="60">
        <f ca="1"/>
        <v>31.317608233976223</v>
      </c>
      <c r="F39" s="60">
        <f ca="1"/>
        <v>56.676870007350736</v>
      </c>
      <c r="G39" s="60">
        <f ca="1"/>
        <v>50.013819344857971</v>
      </c>
    </row>
    <row r="40" spans="2:7" ht="18" customHeight="1" x14ac:dyDescent="0.45">
      <c r="B40" s="30">
        <v>31</v>
      </c>
      <c r="C40" s="58">
        <f>EDATE(DATE(FirstForecastYear,1,1),30)</f>
        <v>47300</v>
      </c>
      <c r="D40" s="59" cm="1">
        <f t="array" aca="1" ref="D40" ca="1">_xll.VoseOutput("Цена, месяц 31","долл./барр.")+CHOOSE(ModelUsed,E40,F40,G40)</f>
        <v>58.868928741407636</v>
      </c>
      <c r="E40" s="60">
        <f ca="1"/>
        <v>30.367737893422181</v>
      </c>
      <c r="F40" s="60">
        <f ca="1"/>
        <v>58.868928741407636</v>
      </c>
      <c r="G40" s="60">
        <f ca="1"/>
        <v>56.970195648494631</v>
      </c>
    </row>
    <row r="41" spans="2:7" ht="18" customHeight="1" x14ac:dyDescent="0.45">
      <c r="B41" s="30">
        <v>32</v>
      </c>
      <c r="C41" s="58">
        <f>EDATE(DATE(FirstForecastYear,1,1),31)</f>
        <v>47331</v>
      </c>
      <c r="D41" s="59" cm="1">
        <f t="array" aca="1" ref="D41" ca="1">_xll.VoseOutput("Цена, месяц 32","долл./барр.")+CHOOSE(ModelUsed,E41,F41,G41)</f>
        <v>63.632254536865823</v>
      </c>
      <c r="E41" s="60">
        <f ca="1"/>
        <v>32.218890200160416</v>
      </c>
      <c r="F41" s="60">
        <f ca="1"/>
        <v>63.632254536865823</v>
      </c>
      <c r="G41" s="60">
        <f ca="1"/>
        <v>55.684666844310811</v>
      </c>
    </row>
    <row r="42" spans="2:7" ht="18" customHeight="1" x14ac:dyDescent="0.45">
      <c r="B42" s="30">
        <v>33</v>
      </c>
      <c r="C42" s="58">
        <f>EDATE(DATE(FirstForecastYear,1,1),32)</f>
        <v>47362</v>
      </c>
      <c r="D42" s="59" cm="1">
        <f t="array" aca="1" ref="D42" ca="1">_xll.VoseOutput("Цена, месяц 33","долл./барр.")+CHOOSE(ModelUsed,E42,F42,G42)</f>
        <v>65.836524963390403</v>
      </c>
      <c r="E42" s="60">
        <f ca="1"/>
        <v>34.501594717939618</v>
      </c>
      <c r="F42" s="60">
        <f ca="1"/>
        <v>65.836524963390403</v>
      </c>
      <c r="G42" s="60">
        <f ca="1"/>
        <v>54.635047535818558</v>
      </c>
    </row>
    <row r="43" spans="2:7" ht="18" customHeight="1" x14ac:dyDescent="0.45">
      <c r="B43" s="30">
        <v>34</v>
      </c>
      <c r="C43" s="58">
        <f>EDATE(DATE(FirstForecastYear,1,1),33)</f>
        <v>47392</v>
      </c>
      <c r="D43" s="59" cm="1">
        <f t="array" aca="1" ref="D43" ca="1">_xll.VoseOutput("Цена, месяц 34","долл./барр.")+CHOOSE(ModelUsed,E43,F43,G43)</f>
        <v>63.819174440835994</v>
      </c>
      <c r="E43" s="60">
        <f ca="1"/>
        <v>34.910507967712569</v>
      </c>
      <c r="F43" s="60">
        <f ca="1"/>
        <v>63.819174440835994</v>
      </c>
      <c r="G43" s="60">
        <f ca="1"/>
        <v>42.987002523234366</v>
      </c>
    </row>
    <row r="44" spans="2:7" ht="18" customHeight="1" x14ac:dyDescent="0.45">
      <c r="B44" s="30">
        <v>35</v>
      </c>
      <c r="C44" s="58">
        <f>EDATE(DATE(FirstForecastYear,1,1),34)</f>
        <v>47423</v>
      </c>
      <c r="D44" s="59" cm="1">
        <f t="array" aca="1" ref="D44" ca="1">_xll.VoseOutput("Цена, месяц 35","долл./барр.")+CHOOSE(ModelUsed,E44,F44,G44)</f>
        <v>55.923838823530694</v>
      </c>
      <c r="E44" s="60">
        <f ca="1"/>
        <v>34.717241627350745</v>
      </c>
      <c r="F44" s="60">
        <f ca="1"/>
        <v>55.923838823530694</v>
      </c>
      <c r="G44" s="60">
        <f ca="1"/>
        <v>47.064538456695011</v>
      </c>
    </row>
    <row r="45" spans="2:7" ht="18" customHeight="1" x14ac:dyDescent="0.45">
      <c r="B45" s="30">
        <v>36</v>
      </c>
      <c r="C45" s="58">
        <f>EDATE(DATE(FirstForecastYear,1,1),35)</f>
        <v>47453</v>
      </c>
      <c r="D45" s="59" cm="1">
        <f t="array" aca="1" ref="D45" ca="1">_xll.VoseOutput("Цена, месяц 36","долл./барр.")+CHOOSE(ModelUsed,E45,F45,G45)</f>
        <v>46.701856372620774</v>
      </c>
      <c r="E45" s="60">
        <f ca="1"/>
        <v>34.315499598716762</v>
      </c>
      <c r="F45" s="60">
        <f ca="1"/>
        <v>46.701856372620774</v>
      </c>
      <c r="G45" s="60">
        <f ca="1"/>
        <v>55.974827153204785</v>
      </c>
    </row>
    <row r="46" spans="2:7" ht="18" customHeight="1" x14ac:dyDescent="0.45">
      <c r="B46" s="30">
        <v>37</v>
      </c>
      <c r="C46" s="58">
        <f>EDATE(DATE(FirstForecastYear,1,1),36)</f>
        <v>47484</v>
      </c>
      <c r="D46" s="59" cm="1">
        <f t="array" aca="1" ref="D46" ca="1">_xll.VoseOutput("Цена, месяц 37","долл./барр.")+CHOOSE(ModelUsed,E46,F46,G46)</f>
        <v>50.853959835705325</v>
      </c>
      <c r="E46" s="60">
        <f ca="1"/>
        <v>36.41956451312263</v>
      </c>
      <c r="F46" s="60">
        <f ca="1"/>
        <v>50.853959835705325</v>
      </c>
      <c r="G46" s="60">
        <f ca="1"/>
        <v>52.869944338256296</v>
      </c>
    </row>
    <row r="47" spans="2:7" ht="18" customHeight="1" x14ac:dyDescent="0.45">
      <c r="B47" s="30">
        <v>38</v>
      </c>
      <c r="C47" s="58">
        <f>EDATE(DATE(FirstForecastYear,1,1),37)</f>
        <v>47515</v>
      </c>
      <c r="D47" s="59" cm="1">
        <f t="array" aca="1" ref="D47" ca="1">_xll.VoseOutput("Цена, месяц 38","долл./барр.")+CHOOSE(ModelUsed,E47,F47,G47)</f>
        <v>50.959377850539354</v>
      </c>
      <c r="E47" s="60">
        <f ca="1"/>
        <v>38.560376706803254</v>
      </c>
      <c r="F47" s="60">
        <f ca="1"/>
        <v>50.959377850539354</v>
      </c>
      <c r="G47" s="60">
        <f ca="1"/>
        <v>53.506254170060927</v>
      </c>
    </row>
    <row r="48" spans="2:7" ht="18" customHeight="1" x14ac:dyDescent="0.45">
      <c r="B48" s="30">
        <v>39</v>
      </c>
      <c r="C48" s="58">
        <f>EDATE(DATE(FirstForecastYear,1,1),38)</f>
        <v>47543</v>
      </c>
      <c r="D48" s="59" cm="1">
        <f t="array" aca="1" ref="D48" ca="1">_xll.VoseOutput("Цена, месяц 39","долл./барр.")+CHOOSE(ModelUsed,E48,F48,G48)</f>
        <v>52.732770486475523</v>
      </c>
      <c r="E48" s="60">
        <f ca="1"/>
        <v>37.10662464334618</v>
      </c>
      <c r="F48" s="60">
        <f ca="1"/>
        <v>52.732770486475523</v>
      </c>
      <c r="G48" s="60">
        <f ca="1"/>
        <v>48.811412964348769</v>
      </c>
    </row>
    <row r="49" spans="2:7" ht="18" customHeight="1" x14ac:dyDescent="0.45">
      <c r="B49" s="30">
        <v>40</v>
      </c>
      <c r="C49" s="58">
        <f>EDATE(DATE(FirstForecastYear,1,1),39)</f>
        <v>47574</v>
      </c>
      <c r="D49" s="59" cm="1">
        <f t="array" aca="1" ref="D49" ca="1">_xll.VoseOutput("Цена, месяц 40","долл./барр.")+CHOOSE(ModelUsed,E49,F49,G49)</f>
        <v>52.719445034715633</v>
      </c>
      <c r="E49" s="60">
        <f ca="1"/>
        <v>43.644035836573622</v>
      </c>
      <c r="F49" s="60">
        <f ca="1"/>
        <v>52.719445034715633</v>
      </c>
      <c r="G49" s="60">
        <f ca="1"/>
        <v>48.820623703185575</v>
      </c>
    </row>
    <row r="50" spans="2:7" ht="18" customHeight="1" x14ac:dyDescent="0.45">
      <c r="B50" s="30">
        <v>41</v>
      </c>
      <c r="C50" s="58">
        <f>EDATE(DATE(FirstForecastYear,1,1),40)</f>
        <v>47604</v>
      </c>
      <c r="D50" s="59" cm="1">
        <f t="array" aca="1" ref="D50" ca="1">_xll.VoseOutput("Цена, месяц 41","долл./барр.")+CHOOSE(ModelUsed,E50,F50,G50)</f>
        <v>56.728616029744401</v>
      </c>
      <c r="E50" s="60">
        <f ca="1"/>
        <v>46.103203183213736</v>
      </c>
      <c r="F50" s="60">
        <f ca="1"/>
        <v>56.728616029744401</v>
      </c>
      <c r="G50" s="60">
        <f ca="1"/>
        <v>46.064142063162329</v>
      </c>
    </row>
    <row r="51" spans="2:7" ht="18" customHeight="1" x14ac:dyDescent="0.45">
      <c r="B51" s="30">
        <v>42</v>
      </c>
      <c r="C51" s="58">
        <f>EDATE(DATE(FirstForecastYear,1,1),41)</f>
        <v>47635</v>
      </c>
      <c r="D51" s="59" cm="1">
        <f t="array" aca="1" ref="D51" ca="1">_xll.VoseOutput("Цена, месяц 42","долл./барр.")+CHOOSE(ModelUsed,E51,F51,G51)</f>
        <v>50.090647039333525</v>
      </c>
      <c r="E51" s="60">
        <f ca="1"/>
        <v>46.605998727791395</v>
      </c>
      <c r="F51" s="60">
        <f ca="1"/>
        <v>50.090647039333525</v>
      </c>
      <c r="G51" s="60">
        <f ca="1"/>
        <v>46.900196672107711</v>
      </c>
    </row>
    <row r="52" spans="2:7" ht="18" customHeight="1" x14ac:dyDescent="0.45">
      <c r="B52" s="30">
        <v>43</v>
      </c>
      <c r="C52" s="58">
        <f>EDATE(DATE(FirstForecastYear,1,1),42)</f>
        <v>47665</v>
      </c>
      <c r="D52" s="59" cm="1">
        <f t="array" aca="1" ref="D52" ca="1">_xll.VoseOutput("Цена, месяц 43","долл./барр.")+CHOOSE(ModelUsed,E52,F52,G52)</f>
        <v>52.909026068478219</v>
      </c>
      <c r="E52" s="60">
        <f ca="1"/>
        <v>42.332082998819729</v>
      </c>
      <c r="F52" s="60">
        <f ca="1"/>
        <v>52.909026068478219</v>
      </c>
      <c r="G52" s="60">
        <f ca="1"/>
        <v>44.91351164142803</v>
      </c>
    </row>
    <row r="53" spans="2:7" ht="18" customHeight="1" x14ac:dyDescent="0.45">
      <c r="B53" s="30">
        <v>44</v>
      </c>
      <c r="C53" s="58">
        <f>EDATE(DATE(FirstForecastYear,1,1),43)</f>
        <v>47696</v>
      </c>
      <c r="D53" s="59" cm="1">
        <f t="array" aca="1" ref="D53" ca="1">_xll.VoseOutput("Цена, месяц 44","долл./барр.")+CHOOSE(ModelUsed,E53,F53,G53)</f>
        <v>64.321036307770143</v>
      </c>
      <c r="E53" s="60">
        <f ca="1"/>
        <v>40.044120869490236</v>
      </c>
      <c r="F53" s="60">
        <f ca="1"/>
        <v>64.321036307770143</v>
      </c>
      <c r="G53" s="60">
        <f ca="1"/>
        <v>47.19559516119029</v>
      </c>
    </row>
    <row r="54" spans="2:7" ht="18" customHeight="1" x14ac:dyDescent="0.45">
      <c r="B54" s="30">
        <v>45</v>
      </c>
      <c r="C54" s="58">
        <f>EDATE(DATE(FirstForecastYear,1,1),44)</f>
        <v>47727</v>
      </c>
      <c r="D54" s="59" cm="1">
        <f t="array" aca="1" ref="D54" ca="1">_xll.VoseOutput("Цена, месяц 45","долл./барр.")+CHOOSE(ModelUsed,E54,F54,G54)</f>
        <v>60.574397614508484</v>
      </c>
      <c r="E54" s="60">
        <f ca="1"/>
        <v>39.499197644160006</v>
      </c>
      <c r="F54" s="60">
        <f ca="1"/>
        <v>60.574397614508484</v>
      </c>
      <c r="G54" s="60">
        <f ca="1"/>
        <v>48.284871612172559</v>
      </c>
    </row>
    <row r="55" spans="2:7" ht="18" customHeight="1" x14ac:dyDescent="0.45">
      <c r="B55" s="30">
        <v>46</v>
      </c>
      <c r="C55" s="58">
        <f>EDATE(DATE(FirstForecastYear,1,1),45)</f>
        <v>47757</v>
      </c>
      <c r="D55" s="59" cm="1">
        <f t="array" aca="1" ref="D55" ca="1">_xll.VoseOutput("Цена, месяц 46","долл./барр.")+CHOOSE(ModelUsed,E55,F55,G55)</f>
        <v>58.678153017279989</v>
      </c>
      <c r="E55" s="60">
        <f ca="1"/>
        <v>39.418559518035885</v>
      </c>
      <c r="F55" s="60">
        <f ca="1"/>
        <v>58.678153017279989</v>
      </c>
      <c r="G55" s="60">
        <f ca="1"/>
        <v>51.669708595483591</v>
      </c>
    </row>
    <row r="56" spans="2:7" ht="18" customHeight="1" x14ac:dyDescent="0.45">
      <c r="B56" s="30">
        <v>47</v>
      </c>
      <c r="C56" s="58">
        <f>EDATE(DATE(FirstForecastYear,1,1),46)</f>
        <v>47788</v>
      </c>
      <c r="D56" s="59" cm="1">
        <f t="array" aca="1" ref="D56" ca="1">_xll.VoseOutput("Цена, месяц 47","долл./барр.")+CHOOSE(ModelUsed,E56,F56,G56)</f>
        <v>63.627034275444586</v>
      </c>
      <c r="E56" s="60">
        <f ca="1"/>
        <v>42.994823205823245</v>
      </c>
      <c r="F56" s="60">
        <f ca="1"/>
        <v>63.627034275444586</v>
      </c>
      <c r="G56" s="60">
        <f ca="1"/>
        <v>56.185858694258712</v>
      </c>
    </row>
    <row r="57" spans="2:7" ht="18" customHeight="1" x14ac:dyDescent="0.45">
      <c r="B57" s="30">
        <v>48</v>
      </c>
      <c r="C57" s="58">
        <f>EDATE(DATE(FirstForecastYear,1,1),47)</f>
        <v>47818</v>
      </c>
      <c r="D57" s="59" cm="1">
        <f t="array" aca="1" ref="D57" ca="1">_xll.VoseOutput("Цена, месяц 48","долл./барр.")+CHOOSE(ModelUsed,E57,F57,G57)</f>
        <v>68.86653719643536</v>
      </c>
      <c r="E57" s="60">
        <f ca="1"/>
        <v>39.282450007462153</v>
      </c>
      <c r="F57" s="60">
        <f ca="1"/>
        <v>68.86653719643536</v>
      </c>
      <c r="G57" s="60">
        <f ca="1"/>
        <v>55.59786486400877</v>
      </c>
    </row>
    <row r="58" spans="2:7" ht="18" customHeight="1" x14ac:dyDescent="0.45">
      <c r="B58" s="30">
        <v>49</v>
      </c>
      <c r="C58" s="58">
        <f>EDATE(DATE(FirstForecastYear,1,1),48)</f>
        <v>47849</v>
      </c>
      <c r="D58" s="59" cm="1">
        <f t="array" aca="1" ref="D58" ca="1">_xll.VoseOutput("Цена, месяц 49","долл./барр.")+CHOOSE(ModelUsed,E58,F58,G58)</f>
        <v>77.653808326763482</v>
      </c>
      <c r="E58" s="60">
        <f ca="1"/>
        <v>37.853906741253333</v>
      </c>
      <c r="F58" s="60">
        <f ca="1"/>
        <v>77.653808326763482</v>
      </c>
      <c r="G58" s="60">
        <f ca="1"/>
        <v>55.493654807807438</v>
      </c>
    </row>
    <row r="59" spans="2:7" ht="18" customHeight="1" x14ac:dyDescent="0.45">
      <c r="B59" s="30">
        <v>50</v>
      </c>
      <c r="C59" s="58">
        <f>EDATE(DATE(FirstForecastYear,1,1),49)</f>
        <v>47880</v>
      </c>
      <c r="D59" s="59" cm="1">
        <f t="array" aca="1" ref="D59" ca="1">_xll.VoseOutput("Цена, месяц 50","долл./барр.")+CHOOSE(ModelUsed,E59,F59,G59)</f>
        <v>59.69711429237806</v>
      </c>
      <c r="E59" s="60">
        <f ca="1"/>
        <v>39.503800556600979</v>
      </c>
      <c r="F59" s="60">
        <f ca="1"/>
        <v>59.69711429237806</v>
      </c>
      <c r="G59" s="60">
        <f ca="1"/>
        <v>57.445942728299258</v>
      </c>
    </row>
    <row r="60" spans="2:7" ht="18" customHeight="1" x14ac:dyDescent="0.45">
      <c r="B60" s="30">
        <v>51</v>
      </c>
      <c r="C60" s="58">
        <f>EDATE(DATE(FirstForecastYear,1,1),50)</f>
        <v>47908</v>
      </c>
      <c r="D60" s="59" cm="1">
        <f t="array" aca="1" ref="D60" ca="1">_xll.VoseOutput("Цена, месяц 51","долл./барр.")+CHOOSE(ModelUsed,E60,F60,G60)</f>
        <v>60.729897032738272</v>
      </c>
      <c r="E60" s="60">
        <f ca="1"/>
        <v>37.557484094246107</v>
      </c>
      <c r="F60" s="60">
        <f ca="1"/>
        <v>60.729897032738272</v>
      </c>
      <c r="G60" s="60">
        <f ca="1"/>
        <v>63.354555558885686</v>
      </c>
    </row>
    <row r="61" spans="2:7" ht="18" customHeight="1" x14ac:dyDescent="0.45">
      <c r="B61" s="30">
        <v>52</v>
      </c>
      <c r="C61" s="58">
        <f>EDATE(DATE(FirstForecastYear,1,1),51)</f>
        <v>47939</v>
      </c>
      <c r="D61" s="59" cm="1">
        <f t="array" aca="1" ref="D61" ca="1">_xll.VoseOutput("Цена, месяц 52","долл./барр.")+CHOOSE(ModelUsed,E61,F61,G61)</f>
        <v>72.874719793669115</v>
      </c>
      <c r="E61" s="60">
        <f ca="1"/>
        <v>33.945379716315017</v>
      </c>
      <c r="F61" s="60">
        <f ca="1"/>
        <v>72.874719793669115</v>
      </c>
      <c r="G61" s="60">
        <f ca="1"/>
        <v>63.441230582995495</v>
      </c>
    </row>
    <row r="62" spans="2:7" ht="18" customHeight="1" x14ac:dyDescent="0.45">
      <c r="B62" s="30">
        <v>53</v>
      </c>
      <c r="C62" s="58">
        <f>EDATE(DATE(FirstForecastYear,1,1),52)</f>
        <v>47969</v>
      </c>
      <c r="D62" s="59" cm="1">
        <f t="array" aca="1" ref="D62" ca="1">_xll.VoseOutput("Цена, месяц 53","долл./барр.")+CHOOSE(ModelUsed,E62,F62,G62)</f>
        <v>74.284673118419235</v>
      </c>
      <c r="E62" s="60">
        <f ca="1"/>
        <v>38.572611838976911</v>
      </c>
      <c r="F62" s="60">
        <f ca="1"/>
        <v>74.284673118419235</v>
      </c>
      <c r="G62" s="60">
        <f ca="1"/>
        <v>63.008845073840945</v>
      </c>
    </row>
    <row r="63" spans="2:7" ht="18" customHeight="1" x14ac:dyDescent="0.45">
      <c r="B63" s="30">
        <v>54</v>
      </c>
      <c r="C63" s="58">
        <f>EDATE(DATE(FirstForecastYear,1,1),53)</f>
        <v>48000</v>
      </c>
      <c r="D63" s="59" cm="1">
        <f t="array" aca="1" ref="D63" ca="1">_xll.VoseOutput("Цена, месяц 54","долл./барр.")+CHOOSE(ModelUsed,E63,F63,G63)</f>
        <v>70.084971526430522</v>
      </c>
      <c r="E63" s="60">
        <f ca="1"/>
        <v>40.552810885738097</v>
      </c>
      <c r="F63" s="60">
        <f ca="1"/>
        <v>70.084971526430522</v>
      </c>
      <c r="G63" s="60">
        <f ca="1"/>
        <v>64.972119072689196</v>
      </c>
    </row>
    <row r="64" spans="2:7" ht="18" customHeight="1" x14ac:dyDescent="0.45">
      <c r="B64" s="30">
        <v>55</v>
      </c>
      <c r="C64" s="58">
        <f>EDATE(DATE(FirstForecastYear,1,1),54)</f>
        <v>48030</v>
      </c>
      <c r="D64" s="59" cm="1">
        <f t="array" aca="1" ref="D64" ca="1">_xll.VoseOutput("Цена, месяц 55","долл./барр.")+CHOOSE(ModelUsed,E64,F64,G64)</f>
        <v>65.673010288651184</v>
      </c>
      <c r="E64" s="60">
        <f ca="1"/>
        <v>42.573640126877955</v>
      </c>
      <c r="F64" s="60">
        <f ca="1"/>
        <v>65.673010288651184</v>
      </c>
      <c r="G64" s="60">
        <f ca="1"/>
        <v>67.106133368205789</v>
      </c>
    </row>
    <row r="65" spans="2:7" ht="18" customHeight="1" x14ac:dyDescent="0.45">
      <c r="B65" s="30">
        <v>56</v>
      </c>
      <c r="C65" s="58">
        <f>EDATE(DATE(FirstForecastYear,1,1),55)</f>
        <v>48061</v>
      </c>
      <c r="D65" s="59" cm="1">
        <f t="array" aca="1" ref="D65" ca="1">_xll.VoseOutput("Цена, месяц 56","долл./барр.")+CHOOSE(ModelUsed,E65,F65,G65)</f>
        <v>70.24931762594899</v>
      </c>
      <c r="E65" s="60">
        <f ca="1"/>
        <v>40.009651347137599</v>
      </c>
      <c r="F65" s="60">
        <f ca="1"/>
        <v>70.24931762594899</v>
      </c>
      <c r="G65" s="60">
        <f ca="1"/>
        <v>62.764059207163946</v>
      </c>
    </row>
    <row r="66" spans="2:7" ht="18" customHeight="1" x14ac:dyDescent="0.45">
      <c r="B66" s="30">
        <v>57</v>
      </c>
      <c r="C66" s="58">
        <f>EDATE(DATE(FirstForecastYear,1,1),56)</f>
        <v>48092</v>
      </c>
      <c r="D66" s="59" cm="1">
        <f t="array" aca="1" ref="D66" ca="1">_xll.VoseOutput("Цена, месяц 57","долл./барр.")+CHOOSE(ModelUsed,E66,F66,G66)</f>
        <v>69.027044271645423</v>
      </c>
      <c r="E66" s="60">
        <f ca="1"/>
        <v>43.902551934100174</v>
      </c>
      <c r="F66" s="60">
        <f ca="1"/>
        <v>69.027044271645423</v>
      </c>
      <c r="G66" s="60">
        <f ca="1"/>
        <v>60.749923110472523</v>
      </c>
    </row>
    <row r="67" spans="2:7" ht="18" customHeight="1" x14ac:dyDescent="0.45">
      <c r="B67" s="30">
        <v>58</v>
      </c>
      <c r="C67" s="58">
        <f>EDATE(DATE(FirstForecastYear,1,1),57)</f>
        <v>48122</v>
      </c>
      <c r="D67" s="59" cm="1">
        <f t="array" aca="1" ref="D67" ca="1">_xll.VoseOutput("Цена, месяц 58","долл./барр.")+CHOOSE(ModelUsed,E67,F67,G67)</f>
        <v>70.553709552919614</v>
      </c>
      <c r="E67" s="60">
        <f ca="1"/>
        <v>51.379660255476409</v>
      </c>
      <c r="F67" s="60">
        <f ca="1"/>
        <v>70.553709552919614</v>
      </c>
      <c r="G67" s="60">
        <f ca="1"/>
        <v>59.768572875332559</v>
      </c>
    </row>
    <row r="68" spans="2:7" ht="18" customHeight="1" x14ac:dyDescent="0.45">
      <c r="B68" s="30">
        <v>59</v>
      </c>
      <c r="C68" s="58">
        <f>EDATE(DATE(FirstForecastYear,1,1),58)</f>
        <v>48153</v>
      </c>
      <c r="D68" s="59" cm="1">
        <f t="array" aca="1" ref="D68" ca="1">_xll.VoseOutput("Цена, месяц 59","долл./барр.")+CHOOSE(ModelUsed,E68,F68,G68)</f>
        <v>68.279322520816251</v>
      </c>
      <c r="E68" s="60">
        <f ca="1"/>
        <v>50.34321110974664</v>
      </c>
      <c r="F68" s="60">
        <f ca="1"/>
        <v>68.279322520816251</v>
      </c>
      <c r="G68" s="60">
        <f ca="1"/>
        <v>53.413893586169465</v>
      </c>
    </row>
    <row r="69" spans="2:7" ht="18" customHeight="1" x14ac:dyDescent="0.45">
      <c r="B69" s="30">
        <v>60</v>
      </c>
      <c r="C69" s="58">
        <f>EDATE(DATE(FirstForecastYear,1,1),59)</f>
        <v>48183</v>
      </c>
      <c r="D69" s="59" cm="1">
        <f t="array" aca="1" ref="D69" ca="1">_xll.VoseOutput("Цена, месяц 60","долл./барр.")+CHOOSE(ModelUsed,E69,F69,G69)</f>
        <v>71.913567472464479</v>
      </c>
      <c r="E69" s="60">
        <f ca="1"/>
        <v>46.381128818113844</v>
      </c>
      <c r="F69" s="60">
        <f ca="1"/>
        <v>71.913567472464479</v>
      </c>
      <c r="G69" s="60">
        <f ca="1"/>
        <v>54.151358459339988</v>
      </c>
    </row>
  </sheetData>
  <hyperlinks>
    <hyperlink ref="B4" location="'Модели'!A1" display="◂  Модели" xr:uid="{00000000-0004-0000-0400-000000000000}"/>
    <hyperlink ref="O4" location="'Результаты'!A1" display="Далее:  Результаты  ▸" xr:uid="{00000000-0004-0000-0400-000001000000}"/>
  </hyperlinks>
  <printOptions horizontalCentered="1"/>
  <pageMargins left="0.4" right="0.4" top="0.5" bottom="0.6" header="0.25" footer="0.25"/>
  <pageSetup paperSize="9" scale="72" fitToHeight="0" orientation="landscape" r:id="rId1"/>
  <headerFooter>
    <oddFooter>&amp;L&amp;K3F5876&amp;8&amp;F · &amp;A&amp;R&amp;K3F5876&amp;8Page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15803D"/>
    <outlinePr summaryBelow="0"/>
    <pageSetUpPr fitToPage="1"/>
  </sheetPr>
  <dimension ref="A1:R163"/>
  <sheetViews>
    <sheetView showGridLines="0" workbookViewId="0">
      <pane ySplit="5" topLeftCell="A6" activePane="bottomLeft" state="frozen"/>
      <selection pane="bottomLeft"/>
    </sheetView>
  </sheetViews>
  <sheetFormatPr defaultRowHeight="14.25" outlineLevelRow="1" x14ac:dyDescent="0.45"/>
  <cols>
    <col min="1" max="1" width="2" customWidth="1"/>
    <col min="2" max="2" width="44" customWidth="1"/>
    <col min="3" max="3" width="10" customWidth="1"/>
    <col min="4" max="7" width="11" customWidth="1"/>
    <col min="8" max="8" width="3" customWidth="1"/>
    <col min="9" max="18" width="8.59765625" customWidth="1"/>
    <col min="20" max="20" width="9.06640625" customWidth="1"/>
  </cols>
  <sheetData>
    <row r="1" spans="1:18" ht="6" customHeight="1" x14ac:dyDescent="0.45"/>
    <row r="2" spans="1:18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" t="s">
        <v>1</v>
      </c>
    </row>
    <row r="3" spans="1:18" ht="20" customHeight="1" x14ac:dyDescent="0.45">
      <c r="A3" s="1"/>
      <c r="B3" s="4" t="s">
        <v>265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0" customHeight="1" x14ac:dyDescent="0.45">
      <c r="A4" s="5"/>
      <c r="B4" s="22" t="s">
        <v>266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8" customHeight="1" x14ac:dyDescent="0.45"/>
    <row r="6" spans="1:18" ht="26" customHeight="1" x14ac:dyDescent="0.45">
      <c r="B6" s="62" t="str" cm="1">
        <f t="array" aca="1" ref="B6" ca="1">IF(ISNUMBER(_xll.VoseSimMean(Avg_Y1)),"✔  Показаны результаты последнего моделирования в этом сеансе Excel. После изменения исходных данных запустите моделирование снова.","▶  Результатов моделирования пока нет. Запустите моделирование на ленте МоделРиск — лист заполнится автоматически.")</f>
        <v>✔  Показаны результаты последнего моделирования в этом сеансе Excel. После изменения исходных данных запустите моделирование снова.</v>
      </c>
      <c r="C6" s="63"/>
      <c r="D6" s="63"/>
      <c r="E6" s="63"/>
      <c r="F6" s="63"/>
      <c r="G6" s="63"/>
    </row>
    <row r="7" spans="1:18" x14ac:dyDescent="0.45">
      <c r="B7" s="64" t="str">
        <f ca="1">IF(COUNTIF(Checks,"ПРОВЕРИТЬ")=0,"✔  Все проверки модели пройдены («ОК»).","✗  "&amp;COUNTIF(Checks,"ПРОВЕРИТЬ")&amp;" проверок не пройдено («ПРОВЕРИТЬ»): см. раздел «Проверки модели» в конце расчетного листа.")</f>
        <v>✔  Все проверки модели пройдены («ОК»).</v>
      </c>
    </row>
    <row r="8" spans="1:18" ht="8" customHeight="1" x14ac:dyDescent="0.45"/>
    <row r="9" spans="1:18" ht="22.05" customHeight="1" x14ac:dyDescent="0.5">
      <c r="B9" s="7" t="s">
        <v>267</v>
      </c>
      <c r="C9" s="8"/>
      <c r="D9" s="8"/>
      <c r="E9" s="8"/>
      <c r="F9" s="8"/>
      <c r="G9" s="8"/>
      <c r="I9" s="65" t="s">
        <v>268</v>
      </c>
      <c r="J9" s="8"/>
      <c r="K9" s="8"/>
      <c r="L9" s="8"/>
      <c r="M9" s="8"/>
      <c r="N9" s="8"/>
      <c r="O9" s="8"/>
      <c r="P9" s="8"/>
      <c r="Q9" s="8"/>
      <c r="R9" s="8"/>
    </row>
    <row r="10" spans="1:18" ht="18" customHeight="1" x14ac:dyDescent="0.45">
      <c r="B10" s="13" t="s">
        <v>269</v>
      </c>
    </row>
    <row r="11" spans="1:18" ht="18" customHeight="1" x14ac:dyDescent="0.45">
      <c r="B11" s="23" t="s">
        <v>270</v>
      </c>
      <c r="C11" s="23" t="s">
        <v>112</v>
      </c>
      <c r="D11" s="24" t="s">
        <v>271</v>
      </c>
      <c r="E11" s="24" t="s">
        <v>272</v>
      </c>
      <c r="F11" s="24" t="s">
        <v>273</v>
      </c>
      <c r="G11" s="24" t="s">
        <v>274</v>
      </c>
    </row>
    <row r="12" spans="1:18" x14ac:dyDescent="0.45">
      <c r="B12" s="25" t="str">
        <f>FirstForecastYear+0&amp;"  средняя цена"</f>
        <v>2027  средняя цена</v>
      </c>
      <c r="C12" s="26" t="s">
        <v>117</v>
      </c>
      <c r="D12" s="66" cm="1">
        <f t="array" aca="1" ref="D12" ca="1">_xll.VoseSimPercentile(Avg_Y1,0.1)</f>
        <v>53.726169329421573</v>
      </c>
      <c r="E12" s="66" cm="1">
        <f t="array" aca="1" ref="E12" ca="1">_xll.VoseSimPercentile(Avg_Y1,0.5)</f>
        <v>64.761596704283804</v>
      </c>
      <c r="F12" s="66" cm="1">
        <f t="array" aca="1" ref="F12" ca="1">_xll.VoseSimPercentile(Avg_Y1,0.9)</f>
        <v>79.461046292034482</v>
      </c>
      <c r="G12" s="66" cm="1">
        <f t="array" aca="1" ref="G12" ca="1">_xll.VoseSimMean(Avg_Y1)</f>
        <v>65.904523635125187</v>
      </c>
    </row>
    <row r="13" spans="1:18" x14ac:dyDescent="0.45">
      <c r="B13" s="25" t="str">
        <f>FirstForecastYear+1&amp;"  средняя цена"</f>
        <v>2028  средняя цена</v>
      </c>
      <c r="C13" s="26" t="s">
        <v>117</v>
      </c>
      <c r="D13" s="66" cm="1">
        <f t="array" aca="1" ref="D13" ca="1">_xll.VoseSimPercentile(Avg_Y2,0.1)</f>
        <v>45.644311341297531</v>
      </c>
      <c r="E13" s="66" cm="1">
        <f t="array" aca="1" ref="E13" ca="1">_xll.VoseSimPercentile(Avg_Y2,0.5)</f>
        <v>63.603171222880441</v>
      </c>
      <c r="F13" s="66" cm="1">
        <f t="array" aca="1" ref="F13" ca="1">_xll.VoseSimPercentile(Avg_Y2,0.9)</f>
        <v>93.50505481736009</v>
      </c>
      <c r="G13" s="66" cm="1">
        <f t="array" aca="1" ref="G13" ca="1">_xll.VoseSimMean(Avg_Y2)</f>
        <v>67.406876045876999</v>
      </c>
    </row>
    <row r="14" spans="1:18" x14ac:dyDescent="0.45">
      <c r="B14" s="25" t="str">
        <f>FirstForecastYear+2&amp;"  средняя цена"</f>
        <v>2029  средняя цена</v>
      </c>
      <c r="C14" s="26" t="s">
        <v>117</v>
      </c>
      <c r="D14" s="66" cm="1">
        <f t="array" aca="1" ref="D14" ca="1">_xll.VoseSimPercentile(Avg_Y3,0.1)</f>
        <v>41.971630806799297</v>
      </c>
      <c r="E14" s="66" cm="1">
        <f t="array" aca="1" ref="E14" ca="1">_xll.VoseSimPercentile(Avg_Y3,0.5)</f>
        <v>62.927750165319345</v>
      </c>
      <c r="F14" s="66" cm="1">
        <f t="array" aca="1" ref="F14" ca="1">_xll.VoseSimPercentile(Avg_Y3,0.9)</f>
        <v>105.3364960005805</v>
      </c>
      <c r="G14" s="66" cm="1">
        <f t="array" aca="1" ref="G14" ca="1">_xll.VoseSimMean(Avg_Y3)</f>
        <v>69.654585332102556</v>
      </c>
    </row>
    <row r="15" spans="1:18" x14ac:dyDescent="0.45">
      <c r="B15" s="25" t="str">
        <f>FirstForecastYear+3&amp;"  средняя цена"</f>
        <v>2030  средняя цена</v>
      </c>
      <c r="C15" s="26" t="s">
        <v>117</v>
      </c>
      <c r="D15" s="66" cm="1">
        <f t="array" aca="1" ref="D15" ca="1">_xll.VoseSimPercentile(Avg_Y4,0.1)</f>
        <v>39.442795086784798</v>
      </c>
      <c r="E15" s="66" cm="1">
        <f t="array" aca="1" ref="E15" ca="1">_xll.VoseSimPercentile(Avg_Y4,0.5)</f>
        <v>62.797150166605029</v>
      </c>
      <c r="F15" s="66" cm="1">
        <f t="array" aca="1" ref="F15" ca="1">_xll.VoseSimPercentile(Avg_Y4,0.9)</f>
        <v>116.03371680717481</v>
      </c>
      <c r="G15" s="66" cm="1">
        <f t="array" aca="1" ref="G15" ca="1">_xll.VoseSimMean(Avg_Y4)</f>
        <v>72.521746794557927</v>
      </c>
    </row>
    <row r="16" spans="1:18" x14ac:dyDescent="0.45">
      <c r="B16" s="25" t="str">
        <f>FirstForecastYear+4&amp;"  средняя цена"</f>
        <v>2031  средняя цена</v>
      </c>
      <c r="C16" s="26" t="s">
        <v>117</v>
      </c>
      <c r="D16" s="66" cm="1">
        <f t="array" aca="1" ref="D16" ca="1">_xll.VoseSimPercentile(Avg_Y5,0.1)</f>
        <v>37.172693404303352</v>
      </c>
      <c r="E16" s="66" cm="1">
        <f t="array" aca="1" ref="E16" ca="1">_xll.VoseSimPercentile(Avg_Y5,0.5)</f>
        <v>62.70039848775145</v>
      </c>
      <c r="F16" s="66" cm="1">
        <f t="array" aca="1" ref="F16" ca="1">_xll.VoseSimPercentile(Avg_Y5,0.9)</f>
        <v>128.69738636822083</v>
      </c>
      <c r="G16" s="66" cm="1">
        <f t="array" aca="1" ref="G16" ca="1">_xll.VoseSimMean(Avg_Y5)</f>
        <v>76.358933379825302</v>
      </c>
    </row>
    <row r="17" spans="2:18" ht="8" customHeight="1" x14ac:dyDescent="0.45"/>
    <row r="18" spans="2:18" ht="22.05" customHeight="1" x14ac:dyDescent="0.5">
      <c r="B18" s="7" t="s">
        <v>275</v>
      </c>
      <c r="C18" s="8"/>
      <c r="D18" s="8"/>
      <c r="E18" s="8"/>
      <c r="F18" s="8"/>
      <c r="G18" s="8"/>
    </row>
    <row r="19" spans="2:18" ht="18" customHeight="1" x14ac:dyDescent="0.45">
      <c r="B19" s="13" t="s">
        <v>276</v>
      </c>
    </row>
    <row r="20" spans="2:18" ht="18" customHeight="1" x14ac:dyDescent="0.45">
      <c r="B20" s="23" t="s">
        <v>270</v>
      </c>
      <c r="C20" s="23" t="s">
        <v>112</v>
      </c>
      <c r="D20" s="24" t="s">
        <v>148</v>
      </c>
      <c r="E20" s="5"/>
      <c r="F20" s="5"/>
      <c r="G20" s="5"/>
    </row>
    <row r="21" spans="2:18" x14ac:dyDescent="0.45">
      <c r="B21" s="53" t="s">
        <v>277</v>
      </c>
      <c r="C21" s="26" t="s">
        <v>117</v>
      </c>
      <c r="D21" s="54">
        <f>BudgetPrice</f>
        <v>60</v>
      </c>
      <c r="E21" s="28"/>
      <c r="F21" s="28"/>
      <c r="G21" s="28"/>
    </row>
    <row r="22" spans="2:18" ht="18" customHeight="1" x14ac:dyDescent="0.45">
      <c r="B22" s="23" t="s">
        <v>258</v>
      </c>
      <c r="C22" s="23"/>
      <c r="D22" s="24" t="s">
        <v>278</v>
      </c>
      <c r="E22" s="5"/>
      <c r="F22" s="5"/>
      <c r="G22" s="5"/>
    </row>
    <row r="23" spans="2:18" x14ac:dyDescent="0.45">
      <c r="B23" s="25" t="str">
        <f>FirstForecastYear+0&amp;"  средняя ниже бюджетной цены"</f>
        <v>2027  средняя ниже бюджетной цены</v>
      </c>
      <c r="C23" s="28"/>
      <c r="D23" s="67" cm="1">
        <f t="array" aca="1" ref="D23" ca="1">_xll.VoseSimProbability(Avg_Y1,BudgetPrice)</f>
        <v>0.30266973302669731</v>
      </c>
      <c r="E23" s="28"/>
      <c r="F23" s="28"/>
      <c r="G23" s="28"/>
    </row>
    <row r="24" spans="2:18" x14ac:dyDescent="0.45">
      <c r="B24" s="25" t="str">
        <f>FirstForecastYear+1&amp;"  средняя ниже бюджетной цены"</f>
        <v>2028  средняя ниже бюджетной цены</v>
      </c>
      <c r="C24" s="28"/>
      <c r="D24" s="67" cm="1">
        <f t="array" aca="1" ref="D24" ca="1">_xll.VoseSimProbability(Avg_Y2,BudgetPrice)</f>
        <v>0.41305869413058693</v>
      </c>
      <c r="E24" s="28"/>
      <c r="F24" s="28"/>
      <c r="G24" s="28"/>
    </row>
    <row r="25" spans="2:18" x14ac:dyDescent="0.45">
      <c r="B25" s="25" t="str">
        <f>FirstForecastYear+2&amp;"  средняя ниже бюджетной цены"</f>
        <v>2029  средняя ниже бюджетной цены</v>
      </c>
      <c r="C25" s="28"/>
      <c r="D25" s="67" cm="1">
        <f t="array" aca="1" ref="D25" ca="1">_xll.VoseSimProbability(Avg_Y3,BudgetPrice)</f>
        <v>0.43815618438156184</v>
      </c>
      <c r="E25" s="28"/>
      <c r="F25" s="28"/>
      <c r="G25" s="28"/>
    </row>
    <row r="26" spans="2:18" x14ac:dyDescent="0.45">
      <c r="B26" s="25" t="str">
        <f>FirstForecastYear+3&amp;"  средняя ниже бюджетной цены"</f>
        <v>2030  средняя ниже бюджетной цены</v>
      </c>
      <c r="C26" s="28"/>
      <c r="D26" s="67" cm="1">
        <f t="array" aca="1" ref="D26" ca="1">_xll.VoseSimProbability(Avg_Y4,BudgetPrice)</f>
        <v>0.44725527447255276</v>
      </c>
      <c r="E26" s="28"/>
      <c r="F26" s="28"/>
      <c r="G26" s="28"/>
    </row>
    <row r="27" spans="2:18" x14ac:dyDescent="0.45">
      <c r="B27" s="25" t="str">
        <f>FirstForecastYear+4&amp;"  средняя ниже бюджетной цены"</f>
        <v>2031  средняя ниже бюджетной цены</v>
      </c>
      <c r="C27" s="28"/>
      <c r="D27" s="67" cm="1">
        <f t="array" aca="1" ref="D27" ca="1">_xll.VoseSimProbability(Avg_Y5,BudgetPrice)</f>
        <v>0.44805519448055192</v>
      </c>
      <c r="E27" s="28"/>
      <c r="F27" s="28"/>
      <c r="G27" s="28"/>
    </row>
    <row r="28" spans="2:18" ht="22.05" customHeight="1" x14ac:dyDescent="0.5">
      <c r="B28" s="7" t="s">
        <v>279</v>
      </c>
      <c r="C28" s="8"/>
      <c r="D28" s="8"/>
      <c r="E28" s="8"/>
      <c r="F28" s="8"/>
      <c r="G28" s="8"/>
      <c r="I28" s="65" t="s">
        <v>280</v>
      </c>
      <c r="J28" s="8"/>
      <c r="K28" s="8"/>
      <c r="L28" s="8"/>
      <c r="M28" s="8"/>
      <c r="N28" s="8"/>
      <c r="O28" s="8"/>
      <c r="P28" s="8"/>
      <c r="Q28" s="8"/>
      <c r="R28" s="8"/>
    </row>
    <row r="29" spans="2:18" ht="18" customHeight="1" x14ac:dyDescent="0.45">
      <c r="B29" s="13" t="s">
        <v>281</v>
      </c>
    </row>
    <row r="30" spans="2:18" ht="18" customHeight="1" x14ac:dyDescent="0.45">
      <c r="B30" s="23" t="s">
        <v>282</v>
      </c>
      <c r="C30" s="24" t="s">
        <v>69</v>
      </c>
      <c r="D30" s="24" t="s">
        <v>283</v>
      </c>
      <c r="E30" s="24" t="s">
        <v>196</v>
      </c>
      <c r="F30" s="5"/>
      <c r="G30" s="5"/>
    </row>
    <row r="31" spans="2:18" x14ac:dyDescent="0.45">
      <c r="B31" s="25" t="str">
        <f>INDEX(Model_Names,1)</f>
        <v>Случайное блуждание  (GBM)</v>
      </c>
      <c r="C31" s="45">
        <f ca="1">INDEX(SIC_All,1)</f>
        <v>-264.89770364511543</v>
      </c>
      <c r="D31" s="45">
        <f ca="1">INDEX(SIC_All,1)-MIN(SIC_All)</f>
        <v>0</v>
      </c>
      <c r="E31" s="42">
        <f ca="1">INDEX(W_Used,1)</f>
        <v>0.51074843670354486</v>
      </c>
      <c r="F31" s="28"/>
      <c r="G31" s="28"/>
    </row>
    <row r="32" spans="2:18" x14ac:dyDescent="0.45">
      <c r="B32" s="25" t="str">
        <f>INDEX(Model_Names,2)</f>
        <v>Возврат к среднему  (GBMVR)</v>
      </c>
      <c r="C32" s="45">
        <f ca="1">INDEX(SIC_All,2)</f>
        <v>-264.80370260070316</v>
      </c>
      <c r="D32" s="45">
        <f ca="1">INDEX(SIC_All,2)-MIN(SIC_All)</f>
        <v>9.400104441226631E-2</v>
      </c>
      <c r="E32" s="42">
        <f ca="1">INDEX(W_Used,2)</f>
        <v>0.48729839232755989</v>
      </c>
      <c r="F32" s="28"/>
      <c r="G32" s="28"/>
    </row>
    <row r="33" spans="2:7" x14ac:dyDescent="0.45">
      <c r="B33" s="25" t="str">
        <f>INDEX(Model_Names,3)</f>
        <v>Возврат к среднему со скачками  (GBMAJVR)</v>
      </c>
      <c r="C33" s="45">
        <f ca="1">INDEX(SIC_All,3)</f>
        <v>-253.76485767878154</v>
      </c>
      <c r="D33" s="45">
        <f ca="1">INDEX(SIC_All,3)-MIN(SIC_All)</f>
        <v>11.132845966333889</v>
      </c>
      <c r="E33" s="42">
        <f ca="1">INDEX(W_Used,3)</f>
        <v>1.9531709688953738E-3</v>
      </c>
      <c r="F33" s="28"/>
      <c r="G33" s="28"/>
    </row>
    <row r="34" spans="2:7" ht="8" customHeight="1" x14ac:dyDescent="0.45"/>
    <row r="35" spans="2:7" ht="18" customHeight="1" x14ac:dyDescent="0.45">
      <c r="B35" s="23" t="s">
        <v>270</v>
      </c>
      <c r="C35" s="23" t="s">
        <v>112</v>
      </c>
      <c r="D35" s="24" t="s">
        <v>271</v>
      </c>
      <c r="E35" s="24" t="s">
        <v>272</v>
      </c>
      <c r="F35" s="24" t="s">
        <v>273</v>
      </c>
      <c r="G35" s="24" t="s">
        <v>274</v>
      </c>
    </row>
    <row r="36" spans="2:7" x14ac:dyDescent="0.45">
      <c r="B36" s="25" t="s">
        <v>174</v>
      </c>
      <c r="C36" s="26" t="s">
        <v>117</v>
      </c>
      <c r="D36" s="66" cm="1">
        <f t="array" aca="1" ref="D36" ca="1">_xll.VoseSimPercentile(Avg5_GBM,0.1)</f>
        <v>30.390612088800733</v>
      </c>
      <c r="E36" s="66" cm="1">
        <f t="array" aca="1" ref="E36" ca="1">_xll.VoseSimPercentile(Avg5_GBM,0.5)</f>
        <v>72.86090726094362</v>
      </c>
      <c r="F36" s="66" cm="1">
        <f t="array" aca="1" ref="F36" ca="1">_xll.VoseSimPercentile(Avg5_GBM,0.9)</f>
        <v>167.77432226869811</v>
      </c>
      <c r="G36" s="66" cm="1">
        <f t="array" aca="1" ref="G36" ca="1">_xll.VoseSimMean(Avg5_GBM)</f>
        <v>90.254965990015464</v>
      </c>
    </row>
    <row r="37" spans="2:7" x14ac:dyDescent="0.45">
      <c r="B37" s="25" t="s">
        <v>175</v>
      </c>
      <c r="C37" s="26" t="s">
        <v>117</v>
      </c>
      <c r="D37" s="66" cm="1">
        <f t="array" aca="1" ref="D37" ca="1">_xll.VoseSimPercentile(Avg5_VR,0.1)</f>
        <v>43.473658057314111</v>
      </c>
      <c r="E37" s="66" cm="1">
        <f t="array" aca="1" ref="E37" ca="1">_xll.VoseSimPercentile(Avg5_VR,0.5)</f>
        <v>59.483044811543074</v>
      </c>
      <c r="F37" s="66" cm="1">
        <f t="array" aca="1" ref="F37" ca="1">_xll.VoseSimPercentile(Avg5_VR,0.9)</f>
        <v>81.520996564394025</v>
      </c>
      <c r="G37" s="66" cm="1">
        <f t="array" aca="1" ref="G37" ca="1">_xll.VoseSimMean(Avg5_VR)</f>
        <v>61.420447222543196</v>
      </c>
    </row>
    <row r="38" spans="2:7" x14ac:dyDescent="0.45">
      <c r="B38" s="25" t="s">
        <v>176</v>
      </c>
      <c r="C38" s="26" t="s">
        <v>117</v>
      </c>
      <c r="D38" s="66" cm="1">
        <f t="array" aca="1" ref="D38" ca="1">_xll.VoseSimPercentile(Avg5_AJ,0.1)</f>
        <v>45.390243676157603</v>
      </c>
      <c r="E38" s="66" cm="1">
        <f t="array" aca="1" ref="E38" ca="1">_xll.VoseSimPercentile(Avg5_AJ,0.5)</f>
        <v>58.428458179562789</v>
      </c>
      <c r="F38" s="66" cm="1">
        <f t="array" aca="1" ref="F38" ca="1">_xll.VoseSimPercentile(Avg5_AJ,0.9)</f>
        <v>75.184616558441462</v>
      </c>
      <c r="G38" s="66" cm="1">
        <f t="array" aca="1" ref="G38" ca="1">_xll.VoseSimMean(Avg5_AJ)</f>
        <v>59.551480266403544</v>
      </c>
    </row>
    <row r="39" spans="2:7" x14ac:dyDescent="0.45">
      <c r="B39" s="25" t="s">
        <v>284</v>
      </c>
      <c r="C39" s="26" t="s">
        <v>117</v>
      </c>
      <c r="D39" s="66" cm="1">
        <f t="array" aca="1" ref="D39" ca="1">_xll.VoseSimPercentile(Avg_Y5,0.1)</f>
        <v>37.172693404303352</v>
      </c>
      <c r="E39" s="66" cm="1">
        <f t="array" aca="1" ref="E39" ca="1">_xll.VoseSimPercentile(Avg_Y5,0.5)</f>
        <v>62.70039848775145</v>
      </c>
      <c r="F39" s="66" cm="1">
        <f t="array" aca="1" ref="F39" ca="1">_xll.VoseSimPercentile(Avg_Y5,0.9)</f>
        <v>128.69738636822083</v>
      </c>
      <c r="G39" s="66" cm="1">
        <f t="array" aca="1" ref="G39" ca="1">_xll.VoseSimMean(Avg_Y5)</f>
        <v>76.358933379825302</v>
      </c>
    </row>
    <row r="40" spans="2:7" ht="8" customHeight="1" x14ac:dyDescent="0.45"/>
    <row r="41" spans="2:7" ht="22.05" customHeight="1" x14ac:dyDescent="0.5">
      <c r="B41" s="7" t="s">
        <v>285</v>
      </c>
      <c r="C41" s="8"/>
      <c r="D41" s="8"/>
      <c r="E41" s="8"/>
      <c r="F41" s="8"/>
      <c r="G41" s="8"/>
    </row>
    <row r="42" spans="2:7" ht="45" customHeight="1" x14ac:dyDescent="0.45">
      <c r="B42" s="71" t="s">
        <v>286</v>
      </c>
      <c r="C42" s="72"/>
      <c r="D42" s="72"/>
      <c r="E42" s="72"/>
      <c r="F42" s="72"/>
      <c r="G42" s="72"/>
    </row>
    <row r="43" spans="2:7" ht="32" customHeight="1" x14ac:dyDescent="0.45">
      <c r="B43" s="71" t="s">
        <v>287</v>
      </c>
      <c r="C43" s="72"/>
      <c r="D43" s="72"/>
      <c r="E43" s="72"/>
      <c r="F43" s="72"/>
      <c r="G43" s="72"/>
    </row>
    <row r="44" spans="2:7" ht="45" customHeight="1" x14ac:dyDescent="0.45">
      <c r="B44" s="71" t="s">
        <v>288</v>
      </c>
      <c r="C44" s="72"/>
      <c r="D44" s="72"/>
      <c r="E44" s="72"/>
      <c r="F44" s="72"/>
      <c r="G44" s="72"/>
    </row>
    <row r="45" spans="2:7" ht="32" customHeight="1" x14ac:dyDescent="0.45">
      <c r="B45" s="71" t="s">
        <v>289</v>
      </c>
      <c r="C45" s="72"/>
      <c r="D45" s="72"/>
      <c r="E45" s="72"/>
      <c r="F45" s="72"/>
      <c r="G45" s="72"/>
    </row>
    <row r="46" spans="2:7" ht="32" customHeight="1" x14ac:dyDescent="0.45">
      <c r="B46" s="71" t="s">
        <v>290</v>
      </c>
      <c r="C46" s="72"/>
      <c r="D46" s="72"/>
      <c r="E46" s="72"/>
      <c r="F46" s="72"/>
      <c r="G46" s="72"/>
    </row>
    <row r="47" spans="2:7" ht="14" customHeight="1" x14ac:dyDescent="0.45"/>
    <row r="48" spans="2:7" ht="14" customHeight="1" x14ac:dyDescent="0.45"/>
    <row r="49" spans="2:7" ht="22.05" customHeight="1" x14ac:dyDescent="0.5">
      <c r="B49" s="7" t="s">
        <v>291</v>
      </c>
      <c r="C49" s="8"/>
      <c r="D49" s="8"/>
      <c r="E49" s="8"/>
      <c r="F49" s="8"/>
      <c r="G49" s="8"/>
    </row>
    <row r="50" spans="2:7" ht="18" customHeight="1" x14ac:dyDescent="0.45">
      <c r="B50" s="13" t="s">
        <v>292</v>
      </c>
    </row>
    <row r="51" spans="2:7" ht="28.05" hidden="1" customHeight="1" outlineLevel="1" x14ac:dyDescent="0.45">
      <c r="B51" s="24" t="s">
        <v>293</v>
      </c>
      <c r="C51" s="24" t="s">
        <v>294</v>
      </c>
      <c r="D51" s="24" t="s">
        <v>295</v>
      </c>
      <c r="E51" s="24" t="s">
        <v>296</v>
      </c>
      <c r="F51" s="24" t="s">
        <v>297</v>
      </c>
      <c r="G51" s="24" t="s">
        <v>298</v>
      </c>
    </row>
    <row r="52" spans="2:7" hidden="1" outlineLevel="1" x14ac:dyDescent="0.45">
      <c r="B52" s="68">
        <v>0.01</v>
      </c>
      <c r="C52" s="68">
        <f t="shared" ref="C52:C83" si="0">1-B52</f>
        <v>0.99</v>
      </c>
      <c r="D52" s="69" cm="1">
        <f t="array" aca="1" ref="D52" ca="1">IF(ISNUMBER(_xll.VoseSimPercentile(Avg_Y5,$B52)),_xll.VoseSimPercentile(Avg_Y5,$B52),NA())</f>
        <v>18.284037310553945</v>
      </c>
      <c r="E52" s="69" cm="1">
        <f t="array" aca="1" ref="E52" ca="1">IF(ISNUMBER(_xll.VoseSimPercentile(Avg5_GBM,$B52)),_xll.VoseSimPercentile(Avg5_GBM,$B52),NA())</f>
        <v>15.32915728814387</v>
      </c>
      <c r="F52" s="69" cm="1">
        <f t="array" aca="1" ref="F52" ca="1">IF(ISNUMBER(_xll.VoseSimPercentile(Avg5_VR,$B52)),_xll.VoseSimPercentile(Avg5_VR,$B52),NA())</f>
        <v>31.841764612944957</v>
      </c>
      <c r="G52" s="69" cm="1">
        <f t="array" aca="1" ref="G52" ca="1">IF(ISNUMBER(_xll.VoseSimPercentile(Avg5_AJ,$B52)),_xll.VoseSimPercentile(Avg5_AJ,$B52),NA())</f>
        <v>36.666028553132442</v>
      </c>
    </row>
    <row r="53" spans="2:7" hidden="1" outlineLevel="1" x14ac:dyDescent="0.45">
      <c r="B53" s="68">
        <v>0.03</v>
      </c>
      <c r="C53" s="68">
        <f t="shared" si="0"/>
        <v>0.97</v>
      </c>
      <c r="D53" s="69" cm="1">
        <f t="array" aca="1" ref="D53" ca="1">IF(ISNUMBER(_xll.VoseSimPercentile(Avg_Y5,$B53)),_xll.VoseSimPercentile(Avg_Y5,$B53),NA())</f>
        <v>24.945041982640301</v>
      </c>
      <c r="E53" s="69" cm="1">
        <f t="array" aca="1" ref="E53" ca="1">IF(ISNUMBER(_xll.VoseSimPercentile(Avg5_GBM,$B53)),_xll.VoseSimPercentile(Avg5_GBM,$B53),NA())</f>
        <v>20.594084697962071</v>
      </c>
      <c r="F53" s="69" cm="1">
        <f t="array" aca="1" ref="F53" ca="1">IF(ISNUMBER(_xll.VoseSimPercentile(Avg5_VR,$B53)),_xll.VoseSimPercentile(Avg5_VR,$B53),NA())</f>
        <v>36.783401849109275</v>
      </c>
      <c r="G53" s="69" cm="1">
        <f t="array" aca="1" ref="G53" ca="1">IF(ISNUMBER(_xll.VoseSimPercentile(Avg5_AJ,$B53)),_xll.VoseSimPercentile(Avg5_AJ,$B53),NA())</f>
        <v>40.1891944965273</v>
      </c>
    </row>
    <row r="54" spans="2:7" hidden="1" outlineLevel="1" x14ac:dyDescent="0.45">
      <c r="B54" s="68">
        <v>0.05</v>
      </c>
      <c r="C54" s="68">
        <f t="shared" si="0"/>
        <v>0.95</v>
      </c>
      <c r="D54" s="69" cm="1">
        <f t="array" aca="1" ref="D54" ca="1">IF(ISNUMBER(_xll.VoseSimPercentile(Avg_Y5,$B54)),_xll.VoseSimPercentile(Avg_Y5,$B54),NA())</f>
        <v>29.37844378873179</v>
      </c>
      <c r="E54" s="69" cm="1">
        <f t="array" aca="1" ref="E54" ca="1">IF(ISNUMBER(_xll.VoseSimPercentile(Avg5_GBM,$B54)),_xll.VoseSimPercentile(Avg5_GBM,$B54),NA())</f>
        <v>24.302021090808523</v>
      </c>
      <c r="F54" s="69" cm="1">
        <f t="array" aca="1" ref="F54" ca="1">IF(ISNUMBER(_xll.VoseSimPercentile(Avg5_VR,$B54)),_xll.VoseSimPercentile(Avg5_VR,$B54),NA())</f>
        <v>39.47027029297513</v>
      </c>
      <c r="G54" s="69" cm="1">
        <f t="array" aca="1" ref="G54" ca="1">IF(ISNUMBER(_xll.VoseSimPercentile(Avg5_AJ,$B54)),_xll.VoseSimPercentile(Avg5_AJ,$B54),NA())</f>
        <v>42.272397369752433</v>
      </c>
    </row>
    <row r="55" spans="2:7" hidden="1" outlineLevel="1" x14ac:dyDescent="0.45">
      <c r="B55" s="68">
        <v>7.0000000000000007E-2</v>
      </c>
      <c r="C55" s="68">
        <f t="shared" si="0"/>
        <v>0.92999999999999994</v>
      </c>
      <c r="D55" s="69" cm="1">
        <f t="array" aca="1" ref="D55" ca="1">IF(ISNUMBER(_xll.VoseSimPercentile(Avg_Y5,$B55)),_xll.VoseSimPercentile(Avg_Y5,$B55),NA())</f>
        <v>32.925994008009781</v>
      </c>
      <c r="E55" s="69" cm="1">
        <f t="array" aca="1" ref="E55" ca="1">IF(ISNUMBER(_xll.VoseSimPercentile(Avg5_GBM,$B55)),_xll.VoseSimPercentile(Avg5_GBM,$B55),NA())</f>
        <v>26.749721034924079</v>
      </c>
      <c r="F55" s="69" cm="1">
        <f t="array" aca="1" ref="F55" ca="1">IF(ISNUMBER(_xll.VoseSimPercentile(Avg5_VR,$B55)),_xll.VoseSimPercentile(Avg5_VR,$B55),NA())</f>
        <v>41.33352850496609</v>
      </c>
      <c r="G55" s="69" cm="1">
        <f t="array" aca="1" ref="G55" ca="1">IF(ISNUMBER(_xll.VoseSimPercentile(Avg5_AJ,$B55)),_xll.VoseSimPercentile(Avg5_AJ,$B55),NA())</f>
        <v>43.753677662982263</v>
      </c>
    </row>
    <row r="56" spans="2:7" hidden="1" outlineLevel="1" x14ac:dyDescent="0.45">
      <c r="B56" s="68">
        <v>0.09</v>
      </c>
      <c r="C56" s="68">
        <f t="shared" si="0"/>
        <v>0.91</v>
      </c>
      <c r="D56" s="69" cm="1">
        <f t="array" aca="1" ref="D56" ca="1">IF(ISNUMBER(_xll.VoseSimPercentile(Avg_Y5,$B56)),_xll.VoseSimPercentile(Avg_Y5,$B56),NA())</f>
        <v>35.965023368506685</v>
      </c>
      <c r="E56" s="69" cm="1">
        <f t="array" aca="1" ref="E56" ca="1">IF(ISNUMBER(_xll.VoseSimPercentile(Avg5_GBM,$B56)),_xll.VoseSimPercentile(Avg5_GBM,$B56),NA())</f>
        <v>29.2899054970995</v>
      </c>
      <c r="F56" s="69" cm="1">
        <f t="array" aca="1" ref="F56" ca="1">IF(ISNUMBER(_xll.VoseSimPercentile(Avg5_VR,$B56)),_xll.VoseSimPercentile(Avg5_VR,$B56),NA())</f>
        <v>42.796239104462735</v>
      </c>
      <c r="G56" s="69" cm="1">
        <f t="array" aca="1" ref="G56" ca="1">IF(ISNUMBER(_xll.VoseSimPercentile(Avg5_AJ,$B56)),_xll.VoseSimPercentile(Avg5_AJ,$B56),NA())</f>
        <v>44.84310258310429</v>
      </c>
    </row>
    <row r="57" spans="2:7" hidden="1" outlineLevel="1" x14ac:dyDescent="0.45">
      <c r="B57" s="68">
        <v>0.11</v>
      </c>
      <c r="C57" s="68">
        <f t="shared" si="0"/>
        <v>0.89</v>
      </c>
      <c r="D57" s="69" cm="1">
        <f t="array" aca="1" ref="D57" ca="1">IF(ISNUMBER(_xll.VoseSimPercentile(Avg_Y5,$B57)),_xll.VoseSimPercentile(Avg_Y5,$B57),NA())</f>
        <v>38.404224631059215</v>
      </c>
      <c r="E57" s="69" cm="1">
        <f t="array" aca="1" ref="E57" ca="1">IF(ISNUMBER(_xll.VoseSimPercentile(Avg5_GBM,$B57)),_xll.VoseSimPercentile(Avg5_GBM,$B57),NA())</f>
        <v>31.55723730340446</v>
      </c>
      <c r="F57" s="69" cm="1">
        <f t="array" aca="1" ref="F57" ca="1">IF(ISNUMBER(_xll.VoseSimPercentile(Avg5_VR,$B57)),_xll.VoseSimPercentile(Avg5_VR,$B57),NA())</f>
        <v>44.119863372811437</v>
      </c>
      <c r="G57" s="69" cm="1">
        <f t="array" aca="1" ref="G57" ca="1">IF(ISNUMBER(_xll.VoseSimPercentile(Avg5_AJ,$B57)),_xll.VoseSimPercentile(Avg5_AJ,$B57),NA())</f>
        <v>45.883017605471593</v>
      </c>
    </row>
    <row r="58" spans="2:7" hidden="1" outlineLevel="1" x14ac:dyDescent="0.45">
      <c r="B58" s="68">
        <v>0.13</v>
      </c>
      <c r="C58" s="68">
        <f t="shared" si="0"/>
        <v>0.87</v>
      </c>
      <c r="D58" s="69" cm="1">
        <f t="array" aca="1" ref="D58" ca="1">IF(ISNUMBER(_xll.VoseSimPercentile(Avg_Y5,$B58)),_xll.VoseSimPercentile(Avg_Y5,$B58),NA())</f>
        <v>40.269545921903678</v>
      </c>
      <c r="E58" s="69" cm="1">
        <f t="array" aca="1" ref="E58" ca="1">IF(ISNUMBER(_xll.VoseSimPercentile(Avg5_GBM,$B58)),_xll.VoseSimPercentile(Avg5_GBM,$B58),NA())</f>
        <v>33.652350378461669</v>
      </c>
      <c r="F58" s="69" cm="1">
        <f t="array" aca="1" ref="F58" ca="1">IF(ISNUMBER(_xll.VoseSimPercentile(Avg5_VR,$B58)),_xll.VoseSimPercentile(Avg5_VR,$B58),NA())</f>
        <v>45.273609005755297</v>
      </c>
      <c r="G58" s="69" cm="1">
        <f t="array" aca="1" ref="G58" ca="1">IF(ISNUMBER(_xll.VoseSimPercentile(Avg5_AJ,$B58)),_xll.VoseSimPercentile(Avg5_AJ,$B58),NA())</f>
        <v>46.904494536904771</v>
      </c>
    </row>
    <row r="59" spans="2:7" hidden="1" outlineLevel="1" x14ac:dyDescent="0.45">
      <c r="B59" s="68">
        <v>0.15</v>
      </c>
      <c r="C59" s="68">
        <f t="shared" si="0"/>
        <v>0.85</v>
      </c>
      <c r="D59" s="69" cm="1">
        <f t="array" aca="1" ref="D59" ca="1">IF(ISNUMBER(_xll.VoseSimPercentile(Avg_Y5,$B59)),_xll.VoseSimPercentile(Avg_Y5,$B59),NA())</f>
        <v>42.242650059129154</v>
      </c>
      <c r="E59" s="69" cm="1">
        <f t="array" aca="1" ref="E59" ca="1">IF(ISNUMBER(_xll.VoseSimPercentile(Avg5_GBM,$B59)),_xll.VoseSimPercentile(Avg5_GBM,$B59),NA())</f>
        <v>35.731616826626983</v>
      </c>
      <c r="F59" s="69" cm="1">
        <f t="array" aca="1" ref="F59" ca="1">IF(ISNUMBER(_xll.VoseSimPercentile(Avg5_VR,$B59)),_xll.VoseSimPercentile(Avg5_VR,$B59),NA())</f>
        <v>46.316935101922176</v>
      </c>
      <c r="G59" s="69" cm="1">
        <f t="array" aca="1" ref="G59" ca="1">IF(ISNUMBER(_xll.VoseSimPercentile(Avg5_AJ,$B59)),_xll.VoseSimPercentile(Avg5_AJ,$B59),NA())</f>
        <v>47.703763885175213</v>
      </c>
    </row>
    <row r="60" spans="2:7" hidden="1" outlineLevel="1" x14ac:dyDescent="0.45">
      <c r="B60" s="68">
        <v>0.17</v>
      </c>
      <c r="C60" s="68">
        <f t="shared" si="0"/>
        <v>0.83</v>
      </c>
      <c r="D60" s="69" cm="1">
        <f t="array" aca="1" ref="D60" ca="1">IF(ISNUMBER(_xll.VoseSimPercentile(Avg_Y5,$B60)),_xll.VoseSimPercentile(Avg_Y5,$B60),NA())</f>
        <v>43.86698868644865</v>
      </c>
      <c r="E60" s="69" cm="1">
        <f t="array" aca="1" ref="E60" ca="1">IF(ISNUMBER(_xll.VoseSimPercentile(Avg5_GBM,$B60)),_xll.VoseSimPercentile(Avg5_GBM,$B60),NA())</f>
        <v>37.895538919528171</v>
      </c>
      <c r="F60" s="69" cm="1">
        <f t="array" aca="1" ref="F60" ca="1">IF(ISNUMBER(_xll.VoseSimPercentile(Avg5_VR,$B60)),_xll.VoseSimPercentile(Avg5_VR,$B60),NA())</f>
        <v>47.320998784278487</v>
      </c>
      <c r="G60" s="69" cm="1">
        <f t="array" aca="1" ref="G60" ca="1">IF(ISNUMBER(_xll.VoseSimPercentile(Avg5_AJ,$B60)),_xll.VoseSimPercentile(Avg5_AJ,$B60),NA())</f>
        <v>48.582526633137519</v>
      </c>
    </row>
    <row r="61" spans="2:7" hidden="1" outlineLevel="1" x14ac:dyDescent="0.45">
      <c r="B61" s="68">
        <v>0.19</v>
      </c>
      <c r="C61" s="68">
        <f t="shared" si="0"/>
        <v>0.81</v>
      </c>
      <c r="D61" s="69" cm="1">
        <f t="array" aca="1" ref="D61" ca="1">IF(ISNUMBER(_xll.VoseSimPercentile(Avg_Y5,$B61)),_xll.VoseSimPercentile(Avg_Y5,$B61),NA())</f>
        <v>45.218107080841996</v>
      </c>
      <c r="E61" s="69" cm="1">
        <f t="array" aca="1" ref="E61" ca="1">IF(ISNUMBER(_xll.VoseSimPercentile(Avg5_GBM,$B61)),_xll.VoseSimPercentile(Avg5_GBM,$B61),NA())</f>
        <v>39.54661868338318</v>
      </c>
      <c r="F61" s="69" cm="1">
        <f t="array" aca="1" ref="F61" ca="1">IF(ISNUMBER(_xll.VoseSimPercentile(Avg5_VR,$B61)),_xll.VoseSimPercentile(Avg5_VR,$B61),NA())</f>
        <v>48.195211985894247</v>
      </c>
      <c r="G61" s="69" cm="1">
        <f t="array" aca="1" ref="G61" ca="1">IF(ISNUMBER(_xll.VoseSimPercentile(Avg5_AJ,$B61)),_xll.VoseSimPercentile(Avg5_AJ,$B61),NA())</f>
        <v>49.213406755660237</v>
      </c>
    </row>
    <row r="62" spans="2:7" hidden="1" outlineLevel="1" x14ac:dyDescent="0.45">
      <c r="B62" s="68">
        <v>0.21</v>
      </c>
      <c r="C62" s="68">
        <f t="shared" si="0"/>
        <v>0.79</v>
      </c>
      <c r="D62" s="69" cm="1">
        <f t="array" aca="1" ref="D62" ca="1">IF(ISNUMBER(_xll.VoseSimPercentile(Avg_Y5,$B62)),_xll.VoseSimPercentile(Avg_Y5,$B62),NA())</f>
        <v>46.623177756592554</v>
      </c>
      <c r="E62" s="69" cm="1">
        <f t="array" aca="1" ref="E62" ca="1">IF(ISNUMBER(_xll.VoseSimPercentile(Avg5_GBM,$B62)),_xll.VoseSimPercentile(Avg5_GBM,$B62),NA())</f>
        <v>41.593234593829365</v>
      </c>
      <c r="F62" s="69" cm="1">
        <f t="array" aca="1" ref="F62" ca="1">IF(ISNUMBER(_xll.VoseSimPercentile(Avg5_VR,$B62)),_xll.VoseSimPercentile(Avg5_VR,$B62),NA())</f>
        <v>48.998793424014117</v>
      </c>
      <c r="G62" s="69" cm="1">
        <f t="array" aca="1" ref="G62" ca="1">IF(ISNUMBER(_xll.VoseSimPercentile(Avg5_AJ,$B62)),_xll.VoseSimPercentile(Avg5_AJ,$B62),NA())</f>
        <v>49.868894262584917</v>
      </c>
    </row>
    <row r="63" spans="2:7" hidden="1" outlineLevel="1" x14ac:dyDescent="0.45">
      <c r="B63" s="68">
        <v>0.23</v>
      </c>
      <c r="C63" s="68">
        <f t="shared" si="0"/>
        <v>0.77</v>
      </c>
      <c r="D63" s="69" cm="1">
        <f t="array" aca="1" ref="D63" ca="1">IF(ISNUMBER(_xll.VoseSimPercentile(Avg_Y5,$B63)),_xll.VoseSimPercentile(Avg_Y5,$B63),NA())</f>
        <v>47.934789566611933</v>
      </c>
      <c r="E63" s="69" cm="1">
        <f t="array" aca="1" ref="E63" ca="1">IF(ISNUMBER(_xll.VoseSimPercentile(Avg5_GBM,$B63)),_xll.VoseSimPercentile(Avg5_GBM,$B63),NA())</f>
        <v>43.66531061482241</v>
      </c>
      <c r="F63" s="69" cm="1">
        <f t="array" aca="1" ref="F63" ca="1">IF(ISNUMBER(_xll.VoseSimPercentile(Avg5_VR,$B63)),_xll.VoseSimPercentile(Avg5_VR,$B63),NA())</f>
        <v>49.932154306153244</v>
      </c>
      <c r="G63" s="69" cm="1">
        <f t="array" aca="1" ref="G63" ca="1">IF(ISNUMBER(_xll.VoseSimPercentile(Avg5_AJ,$B63)),_xll.VoseSimPercentile(Avg5_AJ,$B63),NA())</f>
        <v>50.547368264388815</v>
      </c>
    </row>
    <row r="64" spans="2:7" hidden="1" outlineLevel="1" x14ac:dyDescent="0.45">
      <c r="B64" s="68">
        <v>0.25</v>
      </c>
      <c r="C64" s="68">
        <f t="shared" si="0"/>
        <v>0.75</v>
      </c>
      <c r="D64" s="69" cm="1">
        <f t="array" aca="1" ref="D64" ca="1">IF(ISNUMBER(_xll.VoseSimPercentile(Avg_Y5,$B64)),_xll.VoseSimPercentile(Avg_Y5,$B64),NA())</f>
        <v>49.112645122977789</v>
      </c>
      <c r="E64" s="69" cm="1">
        <f t="array" aca="1" ref="E64" ca="1">IF(ISNUMBER(_xll.VoseSimPercentile(Avg5_GBM,$B64)),_xll.VoseSimPercentile(Avg5_GBM,$B64),NA())</f>
        <v>45.765477303323202</v>
      </c>
      <c r="F64" s="69" cm="1">
        <f t="array" aca="1" ref="F64" ca="1">IF(ISNUMBER(_xll.VoseSimPercentile(Avg5_VR,$B64)),_xll.VoseSimPercentile(Avg5_VR,$B64),NA())</f>
        <v>50.709703294926129</v>
      </c>
      <c r="G64" s="69" cm="1">
        <f t="array" aca="1" ref="G64" ca="1">IF(ISNUMBER(_xll.VoseSimPercentile(Avg5_AJ,$B64)),_xll.VoseSimPercentile(Avg5_AJ,$B64),NA())</f>
        <v>51.190864438452813</v>
      </c>
    </row>
    <row r="65" spans="2:7" hidden="1" outlineLevel="1" x14ac:dyDescent="0.45">
      <c r="B65" s="68">
        <v>0.27</v>
      </c>
      <c r="C65" s="68">
        <f t="shared" si="0"/>
        <v>0.73</v>
      </c>
      <c r="D65" s="69" cm="1">
        <f t="array" aca="1" ref="D65" ca="1">IF(ISNUMBER(_xll.VoseSimPercentile(Avg_Y5,$B65)),_xll.VoseSimPercentile(Avg_Y5,$B65),NA())</f>
        <v>50.37347092290122</v>
      </c>
      <c r="E65" s="69" cm="1">
        <f t="array" aca="1" ref="E65" ca="1">IF(ISNUMBER(_xll.VoseSimPercentile(Avg5_GBM,$B65)),_xll.VoseSimPercentile(Avg5_GBM,$B65),NA())</f>
        <v>47.578060598449305</v>
      </c>
      <c r="F65" s="69" cm="1">
        <f t="array" aca="1" ref="F65" ca="1">IF(ISNUMBER(_xll.VoseSimPercentile(Avg5_VR,$B65)),_xll.VoseSimPercentile(Avg5_VR,$B65),NA())</f>
        <v>51.404289537386397</v>
      </c>
      <c r="G65" s="69" cm="1">
        <f t="array" aca="1" ref="G65" ca="1">IF(ISNUMBER(_xll.VoseSimPercentile(Avg5_AJ,$B65)),_xll.VoseSimPercentile(Avg5_AJ,$B65),NA())</f>
        <v>51.805388830922375</v>
      </c>
    </row>
    <row r="66" spans="2:7" hidden="1" outlineLevel="1" x14ac:dyDescent="0.45">
      <c r="B66" s="68">
        <v>0.28999999999999998</v>
      </c>
      <c r="C66" s="68">
        <f t="shared" si="0"/>
        <v>0.71</v>
      </c>
      <c r="D66" s="69" cm="1">
        <f t="array" aca="1" ref="D66" ca="1">IF(ISNUMBER(_xll.VoseSimPercentile(Avg_Y5,$B66)),_xll.VoseSimPercentile(Avg_Y5,$B66),NA())</f>
        <v>51.387942235389964</v>
      </c>
      <c r="E66" s="69" cm="1">
        <f t="array" aca="1" ref="E66" ca="1">IF(ISNUMBER(_xll.VoseSimPercentile(Avg5_GBM,$B66)),_xll.VoseSimPercentile(Avg5_GBM,$B66),NA())</f>
        <v>49.777656464547498</v>
      </c>
      <c r="F66" s="69" cm="1">
        <f t="array" aca="1" ref="F66" ca="1">IF(ISNUMBER(_xll.VoseSimPercentile(Avg5_VR,$B66)),_xll.VoseSimPercentile(Avg5_VR,$B66),NA())</f>
        <v>52.161334246454061</v>
      </c>
      <c r="G66" s="69" cm="1">
        <f t="array" aca="1" ref="G66" ca="1">IF(ISNUMBER(_xll.VoseSimPercentile(Avg5_AJ,$B66)),_xll.VoseSimPercentile(Avg5_AJ,$B66),NA())</f>
        <v>52.46027137904364</v>
      </c>
    </row>
    <row r="67" spans="2:7" hidden="1" outlineLevel="1" x14ac:dyDescent="0.45">
      <c r="B67" s="68">
        <v>0.31</v>
      </c>
      <c r="C67" s="68">
        <f t="shared" si="0"/>
        <v>0.69</v>
      </c>
      <c r="D67" s="69" cm="1">
        <f t="array" aca="1" ref="D67" ca="1">IF(ISNUMBER(_xll.VoseSimPercentile(Avg_Y5,$B67)),_xll.VoseSimPercentile(Avg_Y5,$B67),NA())</f>
        <v>52.457520944845278</v>
      </c>
      <c r="E67" s="69" cm="1">
        <f t="array" aca="1" ref="E67" ca="1">IF(ISNUMBER(_xll.VoseSimPercentile(Avg5_GBM,$B67)),_xll.VoseSimPercentile(Avg5_GBM,$B67),NA())</f>
        <v>51.588546237215013</v>
      </c>
      <c r="F67" s="69" cm="1">
        <f t="array" aca="1" ref="F67" ca="1">IF(ISNUMBER(_xll.VoseSimPercentile(Avg5_VR,$B67)),_xll.VoseSimPercentile(Avg5_VR,$B67),NA())</f>
        <v>52.912206911839185</v>
      </c>
      <c r="G67" s="69" cm="1">
        <f t="array" aca="1" ref="G67" ca="1">IF(ISNUMBER(_xll.VoseSimPercentile(Avg5_AJ,$B67)),_xll.VoseSimPercentile(Avg5_AJ,$B67),NA())</f>
        <v>53.039305668535604</v>
      </c>
    </row>
    <row r="68" spans="2:7" hidden="1" outlineLevel="1" x14ac:dyDescent="0.45">
      <c r="B68" s="68">
        <v>0.33</v>
      </c>
      <c r="C68" s="68">
        <f t="shared" si="0"/>
        <v>0.66999999999999993</v>
      </c>
      <c r="D68" s="69" cm="1">
        <f t="array" aca="1" ref="D68" ca="1">IF(ISNUMBER(_xll.VoseSimPercentile(Avg_Y5,$B68)),_xll.VoseSimPercentile(Avg_Y5,$B68),NA())</f>
        <v>53.696969991758031</v>
      </c>
      <c r="E68" s="69" cm="1">
        <f t="array" aca="1" ref="E68" ca="1">IF(ISNUMBER(_xll.VoseSimPercentile(Avg5_GBM,$B68)),_xll.VoseSimPercentile(Avg5_GBM,$B68),NA())</f>
        <v>53.666190149105887</v>
      </c>
      <c r="F68" s="69" cm="1">
        <f t="array" aca="1" ref="F68" ca="1">IF(ISNUMBER(_xll.VoseSimPercentile(Avg5_VR,$B68)),_xll.VoseSimPercentile(Avg5_VR,$B68),NA())</f>
        <v>53.587961872115351</v>
      </c>
      <c r="G68" s="69" cm="1">
        <f t="array" aca="1" ref="G68" ca="1">IF(ISNUMBER(_xll.VoseSimPercentile(Avg5_AJ,$B68)),_xll.VoseSimPercentile(Avg5_AJ,$B68),NA())</f>
        <v>53.541052880993867</v>
      </c>
    </row>
    <row r="69" spans="2:7" hidden="1" outlineLevel="1" x14ac:dyDescent="0.45">
      <c r="B69" s="68">
        <v>0.35</v>
      </c>
      <c r="C69" s="68">
        <f t="shared" si="0"/>
        <v>0.65</v>
      </c>
      <c r="D69" s="69" cm="1">
        <f t="array" aca="1" ref="D69" ca="1">IF(ISNUMBER(_xll.VoseSimPercentile(Avg_Y5,$B69)),_xll.VoseSimPercentile(Avg_Y5,$B69),NA())</f>
        <v>54.787216172427698</v>
      </c>
      <c r="E69" s="69" cm="1">
        <f t="array" aca="1" ref="E69" ca="1">IF(ISNUMBER(_xll.VoseSimPercentile(Avg5_GBM,$B69)),_xll.VoseSimPercentile(Avg5_GBM,$B69),NA())</f>
        <v>55.826638323357308</v>
      </c>
      <c r="F69" s="69" cm="1">
        <f t="array" aca="1" ref="F69" ca="1">IF(ISNUMBER(_xll.VoseSimPercentile(Avg5_VR,$B69)),_xll.VoseSimPercentile(Avg5_VR,$B69),NA())</f>
        <v>54.265066822111265</v>
      </c>
      <c r="G69" s="69" cm="1">
        <f t="array" aca="1" ref="G69" ca="1">IF(ISNUMBER(_xll.VoseSimPercentile(Avg5_AJ,$B69)),_xll.VoseSimPercentile(Avg5_AJ,$B69),NA())</f>
        <v>54.123932273957358</v>
      </c>
    </row>
    <row r="70" spans="2:7" hidden="1" outlineLevel="1" x14ac:dyDescent="0.45">
      <c r="B70" s="68">
        <v>0.37</v>
      </c>
      <c r="C70" s="68">
        <f t="shared" si="0"/>
        <v>0.63</v>
      </c>
      <c r="D70" s="69" cm="1">
        <f t="array" aca="1" ref="D70" ca="1">IF(ISNUMBER(_xll.VoseSimPercentile(Avg_Y5,$B70)),_xll.VoseSimPercentile(Avg_Y5,$B70),NA())</f>
        <v>55.845410371444586</v>
      </c>
      <c r="E70" s="69" cm="1">
        <f t="array" aca="1" ref="E70" ca="1">IF(ISNUMBER(_xll.VoseSimPercentile(Avg5_GBM,$B70)),_xll.VoseSimPercentile(Avg5_GBM,$B70),NA())</f>
        <v>57.873481788356763</v>
      </c>
      <c r="F70" s="69" cm="1">
        <f t="array" aca="1" ref="F70" ca="1">IF(ISNUMBER(_xll.VoseSimPercentile(Avg5_VR,$B70)),_xll.VoseSimPercentile(Avg5_VR,$B70),NA())</f>
        <v>54.927271302578191</v>
      </c>
      <c r="G70" s="69" cm="1">
        <f t="array" aca="1" ref="G70" ca="1">IF(ISNUMBER(_xll.VoseSimPercentile(Avg5_AJ,$B70)),_xll.VoseSimPercentile(Avg5_AJ,$B70),NA())</f>
        <v>54.766381970801099</v>
      </c>
    </row>
    <row r="71" spans="2:7" hidden="1" outlineLevel="1" x14ac:dyDescent="0.45">
      <c r="B71" s="68">
        <v>0.39</v>
      </c>
      <c r="C71" s="68">
        <f t="shared" si="0"/>
        <v>0.61</v>
      </c>
      <c r="D71" s="69" cm="1">
        <f t="array" aca="1" ref="D71" ca="1">IF(ISNUMBER(_xll.VoseSimPercentile(Avg_Y5,$B71)),_xll.VoseSimPercentile(Avg_Y5,$B71),NA())</f>
        <v>56.949022195984504</v>
      </c>
      <c r="E71" s="69" cm="1">
        <f t="array" aca="1" ref="E71" ca="1">IF(ISNUMBER(_xll.VoseSimPercentile(Avg5_GBM,$B71)),_xll.VoseSimPercentile(Avg5_GBM,$B71),NA())</f>
        <v>60.013361140868703</v>
      </c>
      <c r="F71" s="69" cm="1">
        <f t="array" aca="1" ref="F71" ca="1">IF(ISNUMBER(_xll.VoseSimPercentile(Avg5_VR,$B71)),_xll.VoseSimPercentile(Avg5_VR,$B71),NA())</f>
        <v>55.647499196545759</v>
      </c>
      <c r="G71" s="69" cm="1">
        <f t="array" aca="1" ref="G71" ca="1">IF(ISNUMBER(_xll.VoseSimPercentile(Avg5_AJ,$B71)),_xll.VoseSimPercentile(Avg5_AJ,$B71),NA())</f>
        <v>55.323597700056887</v>
      </c>
    </row>
    <row r="72" spans="2:7" hidden="1" outlineLevel="1" x14ac:dyDescent="0.45">
      <c r="B72" s="68">
        <v>0.41</v>
      </c>
      <c r="C72" s="68">
        <f t="shared" si="0"/>
        <v>0.59000000000000008</v>
      </c>
      <c r="D72" s="69" cm="1">
        <f t="array" aca="1" ref="D72" ca="1">IF(ISNUMBER(_xll.VoseSimPercentile(Avg_Y5,$B72)),_xll.VoseSimPercentile(Avg_Y5,$B72),NA())</f>
        <v>57.994957682254011</v>
      </c>
      <c r="E72" s="69" cm="1">
        <f t="array" aca="1" ref="E72" ca="1">IF(ISNUMBER(_xll.VoseSimPercentile(Avg5_GBM,$B72)),_xll.VoseSimPercentile(Avg5_GBM,$B72),NA())</f>
        <v>62.142859771835674</v>
      </c>
      <c r="F72" s="69" cm="1">
        <f t="array" aca="1" ref="F72" ca="1">IF(ISNUMBER(_xll.VoseSimPercentile(Avg5_VR,$B72)),_xll.VoseSimPercentile(Avg5_VR,$B72),NA())</f>
        <v>56.339765322636367</v>
      </c>
      <c r="G72" s="69" cm="1">
        <f t="array" aca="1" ref="G72" ca="1">IF(ISNUMBER(_xll.VoseSimPercentile(Avg5_AJ,$B72)),_xll.VoseSimPercentile(Avg5_AJ,$B72),NA())</f>
        <v>55.886475412233601</v>
      </c>
    </row>
    <row r="73" spans="2:7" hidden="1" outlineLevel="1" x14ac:dyDescent="0.45">
      <c r="B73" s="68">
        <v>0.43</v>
      </c>
      <c r="C73" s="68">
        <f t="shared" si="0"/>
        <v>0.57000000000000006</v>
      </c>
      <c r="D73" s="69" cm="1">
        <f t="array" aca="1" ref="D73" ca="1">IF(ISNUMBER(_xll.VoseSimPercentile(Avg_Y5,$B73)),_xll.VoseSimPercentile(Avg_Y5,$B73),NA())</f>
        <v>59.053339604687388</v>
      </c>
      <c r="E73" s="69" cm="1">
        <f t="array" aca="1" ref="E73" ca="1">IF(ISNUMBER(_xll.VoseSimPercentile(Avg5_GBM,$B73)),_xll.VoseSimPercentile(Avg5_GBM,$B73),NA())</f>
        <v>64.295584030206001</v>
      </c>
      <c r="F73" s="69" cm="1">
        <f t="array" aca="1" ref="F73" ca="1">IF(ISNUMBER(_xll.VoseSimPercentile(Avg5_VR,$B73)),_xll.VoseSimPercentile(Avg5_VR,$B73),NA())</f>
        <v>57.011706638662936</v>
      </c>
      <c r="G73" s="69" cm="1">
        <f t="array" aca="1" ref="G73" ca="1">IF(ISNUMBER(_xll.VoseSimPercentile(Avg5_AJ,$B73)),_xll.VoseSimPercentile(Avg5_AJ,$B73),NA())</f>
        <v>56.479960444245272</v>
      </c>
    </row>
    <row r="74" spans="2:7" hidden="1" outlineLevel="1" x14ac:dyDescent="0.45">
      <c r="B74" s="68">
        <v>0.45</v>
      </c>
      <c r="C74" s="68">
        <f t="shared" si="0"/>
        <v>0.55000000000000004</v>
      </c>
      <c r="D74" s="69" cm="1">
        <f t="array" aca="1" ref="D74" ca="1">IF(ISNUMBER(_xll.VoseSimPercentile(Avg_Y5,$B74)),_xll.VoseSimPercentile(Avg_Y5,$B74),NA())</f>
        <v>60.128840762744041</v>
      </c>
      <c r="E74" s="69" cm="1">
        <f t="array" aca="1" ref="E74" ca="1">IF(ISNUMBER(_xll.VoseSimPercentile(Avg5_GBM,$B74)),_xll.VoseSimPercentile(Avg5_GBM,$B74),NA())</f>
        <v>66.889109856336816</v>
      </c>
      <c r="F74" s="69" cm="1">
        <f t="array" aca="1" ref="F74" ca="1">IF(ISNUMBER(_xll.VoseSimPercentile(Avg5_VR,$B74)),_xll.VoseSimPercentile(Avg5_VR,$B74),NA())</f>
        <v>57.651435715221801</v>
      </c>
      <c r="G74" s="69" cm="1">
        <f t="array" aca="1" ref="G74" ca="1">IF(ISNUMBER(_xll.VoseSimPercentile(Avg5_AJ,$B74)),_xll.VoseSimPercentile(Avg5_AJ,$B74),NA())</f>
        <v>57.008770201288222</v>
      </c>
    </row>
    <row r="75" spans="2:7" hidden="1" outlineLevel="1" x14ac:dyDescent="0.45">
      <c r="B75" s="68">
        <v>0.47</v>
      </c>
      <c r="C75" s="68">
        <f t="shared" si="0"/>
        <v>0.53</v>
      </c>
      <c r="D75" s="69" cm="1">
        <f t="array" aca="1" ref="D75" ca="1">IF(ISNUMBER(_xll.VoseSimPercentile(Avg_Y5,$B75)),_xll.VoseSimPercentile(Avg_Y5,$B75),NA())</f>
        <v>61.154584443258358</v>
      </c>
      <c r="E75" s="69" cm="1">
        <f t="array" aca="1" ref="E75" ca="1">IF(ISNUMBER(_xll.VoseSimPercentile(Avg5_GBM,$B75)),_xll.VoseSimPercentile(Avg5_GBM,$B75),NA())</f>
        <v>69.183321430683364</v>
      </c>
      <c r="F75" s="69" cm="1">
        <f t="array" aca="1" ref="F75" ca="1">IF(ISNUMBER(_xll.VoseSimPercentile(Avg5_VR,$B75)),_xll.VoseSimPercentile(Avg5_VR,$B75),NA())</f>
        <v>58.370319487639669</v>
      </c>
      <c r="G75" s="69" cm="1">
        <f t="array" aca="1" ref="G75" ca="1">IF(ISNUMBER(_xll.VoseSimPercentile(Avg5_AJ,$B75)),_xll.VoseSimPercentile(Avg5_AJ,$B75),NA())</f>
        <v>57.564505234653346</v>
      </c>
    </row>
    <row r="76" spans="2:7" hidden="1" outlineLevel="1" x14ac:dyDescent="0.45">
      <c r="B76" s="68">
        <v>0.49</v>
      </c>
      <c r="C76" s="68">
        <f t="shared" si="0"/>
        <v>0.51</v>
      </c>
      <c r="D76" s="69" cm="1">
        <f t="array" aca="1" ref="D76" ca="1">IF(ISNUMBER(_xll.VoseSimPercentile(Avg_Y5,$B76)),_xll.VoseSimPercentile(Avg_Y5,$B76),NA())</f>
        <v>62.150223378844039</v>
      </c>
      <c r="E76" s="69" cm="1">
        <f t="array" aca="1" ref="E76" ca="1">IF(ISNUMBER(_xll.VoseSimPercentile(Avg5_GBM,$B76)),_xll.VoseSimPercentile(Avg5_GBM,$B76),NA())</f>
        <v>71.581710832724411</v>
      </c>
      <c r="F76" s="69" cm="1">
        <f t="array" aca="1" ref="F76" ca="1">IF(ISNUMBER(_xll.VoseSimPercentile(Avg5_VR,$B76)),_xll.VoseSimPercentile(Avg5_VR,$B76),NA())</f>
        <v>59.081763282999923</v>
      </c>
      <c r="G76" s="69" cm="1">
        <f t="array" aca="1" ref="G76" ca="1">IF(ISNUMBER(_xll.VoseSimPercentile(Avg5_AJ,$B76)),_xll.VoseSimPercentile(Avg5_AJ,$B76),NA())</f>
        <v>58.134257273439545</v>
      </c>
    </row>
    <row r="77" spans="2:7" hidden="1" outlineLevel="1" x14ac:dyDescent="0.45">
      <c r="B77" s="68">
        <v>0.51</v>
      </c>
      <c r="C77" s="68">
        <f t="shared" si="0"/>
        <v>0.49</v>
      </c>
      <c r="D77" s="69" cm="1">
        <f t="array" aca="1" ref="D77" ca="1">IF(ISNUMBER(_xll.VoseSimPercentile(Avg_Y5,$B77)),_xll.VoseSimPercentile(Avg_Y5,$B77),NA())</f>
        <v>63.193506460342967</v>
      </c>
      <c r="E77" s="69" cm="1">
        <f t="array" aca="1" ref="E77" ca="1">IF(ISNUMBER(_xll.VoseSimPercentile(Avg5_GBM,$B77)),_xll.VoseSimPercentile(Avg5_GBM,$B77),NA())</f>
        <v>74.051405461184828</v>
      </c>
      <c r="F77" s="69" cm="1">
        <f t="array" aca="1" ref="F77" ca="1">IF(ISNUMBER(_xll.VoseSimPercentile(Avg5_VR,$B77)),_xll.VoseSimPercentile(Avg5_VR,$B77),NA())</f>
        <v>59.80384484502747</v>
      </c>
      <c r="G77" s="69" cm="1">
        <f t="array" aca="1" ref="G77" ca="1">IF(ISNUMBER(_xll.VoseSimPercentile(Avg5_AJ,$B77)),_xll.VoseSimPercentile(Avg5_AJ,$B77),NA())</f>
        <v>58.768655174569545</v>
      </c>
    </row>
    <row r="78" spans="2:7" hidden="1" outlineLevel="1" x14ac:dyDescent="0.45">
      <c r="B78" s="68">
        <v>0.53</v>
      </c>
      <c r="C78" s="68">
        <f t="shared" si="0"/>
        <v>0.47</v>
      </c>
      <c r="D78" s="69" cm="1">
        <f t="array" aca="1" ref="D78" ca="1">IF(ISNUMBER(_xll.VoseSimPercentile(Avg_Y5,$B78)),_xll.VoseSimPercentile(Avg_Y5,$B78),NA())</f>
        <v>64.38919608222416</v>
      </c>
      <c r="E78" s="69" cm="1">
        <f t="array" aca="1" ref="E78" ca="1">IF(ISNUMBER(_xll.VoseSimPercentile(Avg5_GBM,$B78)),_xll.VoseSimPercentile(Avg5_GBM,$B78),NA())</f>
        <v>76.721047483624986</v>
      </c>
      <c r="F78" s="69" cm="1">
        <f t="array" aca="1" ref="F78" ca="1">IF(ISNUMBER(_xll.VoseSimPercentile(Avg5_VR,$B78)),_xll.VoseSimPercentile(Avg5_VR,$B78),NA())</f>
        <v>60.569598465827681</v>
      </c>
      <c r="G78" s="69" cm="1">
        <f t="array" aca="1" ref="G78" ca="1">IF(ISNUMBER(_xll.VoseSimPercentile(Avg5_AJ,$B78)),_xll.VoseSimPercentile(Avg5_AJ,$B78),NA())</f>
        <v>59.271993781430957</v>
      </c>
    </row>
    <row r="79" spans="2:7" hidden="1" outlineLevel="1" x14ac:dyDescent="0.45">
      <c r="B79" s="68">
        <v>0.55000000000000004</v>
      </c>
      <c r="C79" s="68">
        <f t="shared" si="0"/>
        <v>0.44999999999999996</v>
      </c>
      <c r="D79" s="69" cm="1">
        <f t="array" aca="1" ref="D79" ca="1">IF(ISNUMBER(_xll.VoseSimPercentile(Avg_Y5,$B79)),_xll.VoseSimPercentile(Avg_Y5,$B79),NA())</f>
        <v>65.660593390589852</v>
      </c>
      <c r="E79" s="69" cm="1">
        <f t="array" aca="1" ref="E79" ca="1">IF(ISNUMBER(_xll.VoseSimPercentile(Avg5_GBM,$B79)),_xll.VoseSimPercentile(Avg5_GBM,$B79),NA())</f>
        <v>79.488122248240799</v>
      </c>
      <c r="F79" s="69" cm="1">
        <f t="array" aca="1" ref="F79" ca="1">IF(ISNUMBER(_xll.VoseSimPercentile(Avg5_VR,$B79)),_xll.VoseSimPercentile(Avg5_VR,$B79),NA())</f>
        <v>61.29477377642899</v>
      </c>
      <c r="G79" s="69" cm="1">
        <f t="array" aca="1" ref="G79" ca="1">IF(ISNUMBER(_xll.VoseSimPercentile(Avg5_AJ,$B79)),_xll.VoseSimPercentile(Avg5_AJ,$B79),NA())</f>
        <v>59.834055904533159</v>
      </c>
    </row>
    <row r="80" spans="2:7" hidden="1" outlineLevel="1" x14ac:dyDescent="0.45">
      <c r="B80" s="68">
        <v>0.56999999999999995</v>
      </c>
      <c r="C80" s="68">
        <f t="shared" si="0"/>
        <v>0.43000000000000005</v>
      </c>
      <c r="D80" s="69" cm="1">
        <f t="array" aca="1" ref="D80" ca="1">IF(ISNUMBER(_xll.VoseSimPercentile(Avg_Y5,$B80)),_xll.VoseSimPercentile(Avg_Y5,$B80),NA())</f>
        <v>66.865969076114155</v>
      </c>
      <c r="E80" s="69" cm="1">
        <f t="array" aca="1" ref="E80" ca="1">IF(ISNUMBER(_xll.VoseSimPercentile(Avg5_GBM,$B80)),_xll.VoseSimPercentile(Avg5_GBM,$B80),NA())</f>
        <v>82.176409326027652</v>
      </c>
      <c r="F80" s="69" cm="1">
        <f t="array" aca="1" ref="F80" ca="1">IF(ISNUMBER(_xll.VoseSimPercentile(Avg5_VR,$B80)),_xll.VoseSimPercentile(Avg5_VR,$B80),NA())</f>
        <v>61.960754531290853</v>
      </c>
      <c r="G80" s="69" cm="1">
        <f t="array" aca="1" ref="G80" ca="1">IF(ISNUMBER(_xll.VoseSimPercentile(Avg5_AJ,$B80)),_xll.VoseSimPercentile(Avg5_AJ,$B80),NA())</f>
        <v>60.45050427080357</v>
      </c>
    </row>
    <row r="81" spans="2:7" hidden="1" outlineLevel="1" x14ac:dyDescent="0.45">
      <c r="B81" s="68">
        <v>0.59</v>
      </c>
      <c r="C81" s="68">
        <f t="shared" si="0"/>
        <v>0.41000000000000003</v>
      </c>
      <c r="D81" s="69" cm="1">
        <f t="array" aca="1" ref="D81" ca="1">IF(ISNUMBER(_xll.VoseSimPercentile(Avg_Y5,$B81)),_xll.VoseSimPercentile(Avg_Y5,$B81),NA())</f>
        <v>68.098873104592812</v>
      </c>
      <c r="E81" s="69" cm="1">
        <f t="array" aca="1" ref="E81" ca="1">IF(ISNUMBER(_xll.VoseSimPercentile(Avg5_GBM,$B81)),_xll.VoseSimPercentile(Avg5_GBM,$B81),NA())</f>
        <v>85.072527508366605</v>
      </c>
      <c r="F81" s="69" cm="1">
        <f t="array" aca="1" ref="F81" ca="1">IF(ISNUMBER(_xll.VoseSimPercentile(Avg5_VR,$B81)),_xll.VoseSimPercentile(Avg5_VR,$B81),NA())</f>
        <v>62.62121920377087</v>
      </c>
      <c r="G81" s="69" cm="1">
        <f t="array" aca="1" ref="G81" ca="1">IF(ISNUMBER(_xll.VoseSimPercentile(Avg5_AJ,$B81)),_xll.VoseSimPercentile(Avg5_AJ,$B81),NA())</f>
        <v>61.019930076265943</v>
      </c>
    </row>
    <row r="82" spans="2:7" hidden="1" outlineLevel="1" x14ac:dyDescent="0.45">
      <c r="B82" s="68">
        <v>0.61</v>
      </c>
      <c r="C82" s="68">
        <f t="shared" si="0"/>
        <v>0.39</v>
      </c>
      <c r="D82" s="69" cm="1">
        <f t="array" aca="1" ref="D82" ca="1">IF(ISNUMBER(_xll.VoseSimPercentile(Avg_Y5,$B82)),_xll.VoseSimPercentile(Avg_Y5,$B82),NA())</f>
        <v>69.585116905291855</v>
      </c>
      <c r="E82" s="69" cm="1">
        <f t="array" aca="1" ref="E82" ca="1">IF(ISNUMBER(_xll.VoseSimPercentile(Avg5_GBM,$B82)),_xll.VoseSimPercentile(Avg5_GBM,$B82),NA())</f>
        <v>87.893414634285818</v>
      </c>
      <c r="F82" s="69" cm="1">
        <f t="array" aca="1" ref="F82" ca="1">IF(ISNUMBER(_xll.VoseSimPercentile(Avg5_VR,$B82)),_xll.VoseSimPercentile(Avg5_VR,$B82),NA())</f>
        <v>63.481609415895242</v>
      </c>
      <c r="G82" s="69" cm="1">
        <f t="array" aca="1" ref="G82" ca="1">IF(ISNUMBER(_xll.VoseSimPercentile(Avg5_AJ,$B82)),_xll.VoseSimPercentile(Avg5_AJ,$B82),NA())</f>
        <v>61.656721779666761</v>
      </c>
    </row>
    <row r="83" spans="2:7" hidden="1" outlineLevel="1" x14ac:dyDescent="0.45">
      <c r="B83" s="68">
        <v>0.63</v>
      </c>
      <c r="C83" s="68">
        <f t="shared" si="0"/>
        <v>0.37</v>
      </c>
      <c r="D83" s="69" cm="1">
        <f t="array" aca="1" ref="D83" ca="1">IF(ISNUMBER(_xll.VoseSimPercentile(Avg_Y5,$B83)),_xll.VoseSimPercentile(Avg_Y5,$B83),NA())</f>
        <v>71.407623603860671</v>
      </c>
      <c r="E83" s="69" cm="1">
        <f t="array" aca="1" ref="E83" ca="1">IF(ISNUMBER(_xll.VoseSimPercentile(Avg5_GBM,$B83)),_xll.VoseSimPercentile(Avg5_GBM,$B83),NA())</f>
        <v>90.684739357720616</v>
      </c>
      <c r="F83" s="69" cm="1">
        <f t="array" aca="1" ref="F83" ca="1">IF(ISNUMBER(_xll.VoseSimPercentile(Avg5_VR,$B83)),_xll.VoseSimPercentile(Avg5_VR,$B83),NA())</f>
        <v>64.26993437740542</v>
      </c>
      <c r="G83" s="69" cm="1">
        <f t="array" aca="1" ref="G83" ca="1">IF(ISNUMBER(_xll.VoseSimPercentile(Avg5_AJ,$B83)),_xll.VoseSimPercentile(Avg5_AJ,$B83),NA())</f>
        <v>62.206191334571379</v>
      </c>
    </row>
    <row r="84" spans="2:7" hidden="1" outlineLevel="1" x14ac:dyDescent="0.45">
      <c r="B84" s="68">
        <v>0.65</v>
      </c>
      <c r="C84" s="68">
        <f t="shared" ref="C84:C115" si="1">1-B84</f>
        <v>0.35</v>
      </c>
      <c r="D84" s="69" cm="1">
        <f t="array" aca="1" ref="D84" ca="1">IF(ISNUMBER(_xll.VoseSimPercentile(Avg_Y5,$B84)),_xll.VoseSimPercentile(Avg_Y5,$B84),NA())</f>
        <v>73.002739938302057</v>
      </c>
      <c r="E84" s="69" cm="1">
        <f t="array" aca="1" ref="E84" ca="1">IF(ISNUMBER(_xll.VoseSimPercentile(Avg5_GBM,$B84)),_xll.VoseSimPercentile(Avg5_GBM,$B84),NA())</f>
        <v>94.044735643452825</v>
      </c>
      <c r="F84" s="69" cm="1">
        <f t="array" aca="1" ref="F84" ca="1">IF(ISNUMBER(_xll.VoseSimPercentile(Avg5_VR,$B84)),_xll.VoseSimPercentile(Avg5_VR,$B84),NA())</f>
        <v>65.042567394708925</v>
      </c>
      <c r="G84" s="69" cm="1">
        <f t="array" aca="1" ref="G84" ca="1">IF(ISNUMBER(_xll.VoseSimPercentile(Avg5_AJ,$B84)),_xll.VoseSimPercentile(Avg5_AJ,$B84),NA())</f>
        <v>62.875808563740797</v>
      </c>
    </row>
    <row r="85" spans="2:7" hidden="1" outlineLevel="1" x14ac:dyDescent="0.45">
      <c r="B85" s="68">
        <v>0.67</v>
      </c>
      <c r="C85" s="68">
        <f t="shared" si="1"/>
        <v>0.32999999999999996</v>
      </c>
      <c r="D85" s="69" cm="1">
        <f t="array" aca="1" ref="D85" ca="1">IF(ISNUMBER(_xll.VoseSimPercentile(Avg_Y5,$B85)),_xll.VoseSimPercentile(Avg_Y5,$B85),NA())</f>
        <v>74.930996672090856</v>
      </c>
      <c r="E85" s="69" cm="1">
        <f t="array" aca="1" ref="E85" ca="1">IF(ISNUMBER(_xll.VoseSimPercentile(Avg5_GBM,$B85)),_xll.VoseSimPercentile(Avg5_GBM,$B85),NA())</f>
        <v>97.849083143073031</v>
      </c>
      <c r="F85" s="69" cm="1">
        <f t="array" aca="1" ref="F85" ca="1">IF(ISNUMBER(_xll.VoseSimPercentile(Avg5_VR,$B85)),_xll.VoseSimPercentile(Avg5_VR,$B85),NA())</f>
        <v>65.895970105856236</v>
      </c>
      <c r="G85" s="69" cm="1">
        <f t="array" aca="1" ref="G85" ca="1">IF(ISNUMBER(_xll.VoseSimPercentile(Avg5_AJ,$B85)),_xll.VoseSimPercentile(Avg5_AJ,$B85),NA())</f>
        <v>63.542057085907182</v>
      </c>
    </row>
    <row r="86" spans="2:7" hidden="1" outlineLevel="1" x14ac:dyDescent="0.45">
      <c r="B86" s="68">
        <v>0.69</v>
      </c>
      <c r="C86" s="68">
        <f t="shared" si="1"/>
        <v>0.31000000000000005</v>
      </c>
      <c r="D86" s="69" cm="1">
        <f t="array" aca="1" ref="D86" ca="1">IF(ISNUMBER(_xll.VoseSimPercentile(Avg_Y5,$B86)),_xll.VoseSimPercentile(Avg_Y5,$B86),NA())</f>
        <v>76.897261626112737</v>
      </c>
      <c r="E86" s="69" cm="1">
        <f t="array" aca="1" ref="E86" ca="1">IF(ISNUMBER(_xll.VoseSimPercentile(Avg5_GBM,$B86)),_xll.VoseSimPercentile(Avg5_GBM,$B86),NA())</f>
        <v>101.99058903250949</v>
      </c>
      <c r="F86" s="69" cm="1">
        <f t="array" aca="1" ref="F86" ca="1">IF(ISNUMBER(_xll.VoseSimPercentile(Avg5_VR,$B86)),_xll.VoseSimPercentile(Avg5_VR,$B86),NA())</f>
        <v>66.756549292508396</v>
      </c>
      <c r="G86" s="69" cm="1">
        <f t="array" aca="1" ref="G86" ca="1">IF(ISNUMBER(_xll.VoseSimPercentile(Avg5_AJ,$B86)),_xll.VoseSimPercentile(Avg5_AJ,$B86),NA())</f>
        <v>64.302712450956918</v>
      </c>
    </row>
    <row r="87" spans="2:7" hidden="1" outlineLevel="1" x14ac:dyDescent="0.45">
      <c r="B87" s="68">
        <v>0.71</v>
      </c>
      <c r="C87" s="68">
        <f t="shared" si="1"/>
        <v>0.29000000000000004</v>
      </c>
      <c r="D87" s="69" cm="1">
        <f t="array" aca="1" ref="D87" ca="1">IF(ISNUMBER(_xll.VoseSimPercentile(Avg_Y5,$B87)),_xll.VoseSimPercentile(Avg_Y5,$B87),NA())</f>
        <v>79.094802105875829</v>
      </c>
      <c r="E87" s="69" cm="1">
        <f t="array" aca="1" ref="E87" ca="1">IF(ISNUMBER(_xll.VoseSimPercentile(Avg5_GBM,$B87)),_xll.VoseSimPercentile(Avg5_GBM,$B87),NA())</f>
        <v>105.71172601386201</v>
      </c>
      <c r="F87" s="69" cm="1">
        <f t="array" aca="1" ref="F87" ca="1">IF(ISNUMBER(_xll.VoseSimPercentile(Avg5_VR,$B87)),_xll.VoseSimPercentile(Avg5_VR,$B87),NA())</f>
        <v>67.623084181647968</v>
      </c>
      <c r="G87" s="69" cm="1">
        <f t="array" aca="1" ref="G87" ca="1">IF(ISNUMBER(_xll.VoseSimPercentile(Avg5_AJ,$B87)),_xll.VoseSimPercentile(Avg5_AJ,$B87),NA())</f>
        <v>65.113223465033272</v>
      </c>
    </row>
    <row r="88" spans="2:7" hidden="1" outlineLevel="1" x14ac:dyDescent="0.45">
      <c r="B88" s="68">
        <v>0.73</v>
      </c>
      <c r="C88" s="68">
        <f t="shared" si="1"/>
        <v>0.27</v>
      </c>
      <c r="D88" s="69" cm="1">
        <f t="array" aca="1" ref="D88" ca="1">IF(ISNUMBER(_xll.VoseSimPercentile(Avg_Y5,$B88)),_xll.VoseSimPercentile(Avg_Y5,$B88),NA())</f>
        <v>81.659140514805316</v>
      </c>
      <c r="E88" s="69" cm="1">
        <f t="array" aca="1" ref="E88" ca="1">IF(ISNUMBER(_xll.VoseSimPercentile(Avg5_GBM,$B88)),_xll.VoseSimPercentile(Avg5_GBM,$B88),NA())</f>
        <v>109.38127550510593</v>
      </c>
      <c r="F88" s="69" cm="1">
        <f t="array" aca="1" ref="F88" ca="1">IF(ISNUMBER(_xll.VoseSimPercentile(Avg5_VR,$B88)),_xll.VoseSimPercentile(Avg5_VR,$B88),NA())</f>
        <v>68.567459067667841</v>
      </c>
      <c r="G88" s="69" cm="1">
        <f t="array" aca="1" ref="G88" ca="1">IF(ISNUMBER(_xll.VoseSimPercentile(Avg5_AJ,$B88)),_xll.VoseSimPercentile(Avg5_AJ,$B88),NA())</f>
        <v>65.885096607396392</v>
      </c>
    </row>
    <row r="89" spans="2:7" hidden="1" outlineLevel="1" x14ac:dyDescent="0.45">
      <c r="B89" s="68">
        <v>0.75</v>
      </c>
      <c r="C89" s="68">
        <f t="shared" si="1"/>
        <v>0.25</v>
      </c>
      <c r="D89" s="69" cm="1">
        <f t="array" aca="1" ref="D89" ca="1">IF(ISNUMBER(_xll.VoseSimPercentile(Avg_Y5,$B89)),_xll.VoseSimPercentile(Avg_Y5,$B89),NA())</f>
        <v>84.162746616168974</v>
      </c>
      <c r="E89" s="69" cm="1">
        <f t="array" aca="1" ref="E89" ca="1">IF(ISNUMBER(_xll.VoseSimPercentile(Avg5_GBM,$B89)),_xll.VoseSimPercentile(Avg5_GBM,$B89),NA())</f>
        <v>113.85915907942628</v>
      </c>
      <c r="F89" s="69" cm="1">
        <f t="array" aca="1" ref="F89" ca="1">IF(ISNUMBER(_xll.VoseSimPercentile(Avg5_VR,$B89)),_xll.VoseSimPercentile(Avg5_VR,$B89),NA())</f>
        <v>69.58044123358026</v>
      </c>
      <c r="G89" s="69" cm="1">
        <f t="array" aca="1" ref="G89" ca="1">IF(ISNUMBER(_xll.VoseSimPercentile(Avg5_AJ,$B89)),_xll.VoseSimPercentile(Avg5_AJ,$B89),NA())</f>
        <v>66.578089419639156</v>
      </c>
    </row>
    <row r="90" spans="2:7" hidden="1" outlineLevel="1" x14ac:dyDescent="0.45">
      <c r="B90" s="68">
        <v>0.77</v>
      </c>
      <c r="C90" s="68">
        <f t="shared" si="1"/>
        <v>0.22999999999999998</v>
      </c>
      <c r="D90" s="69" cm="1">
        <f t="array" aca="1" ref="D90" ca="1">IF(ISNUMBER(_xll.VoseSimPercentile(Avg_Y5,$B90)),_xll.VoseSimPercentile(Avg_Y5,$B90),NA())</f>
        <v>87.195231385775614</v>
      </c>
      <c r="E90" s="69" cm="1">
        <f t="array" aca="1" ref="E90" ca="1">IF(ISNUMBER(_xll.VoseSimPercentile(Avg5_GBM,$B90)),_xll.VoseSimPercentile(Avg5_GBM,$B90),NA())</f>
        <v>118.71834561816308</v>
      </c>
      <c r="F90" s="69" cm="1">
        <f t="array" aca="1" ref="F90" ca="1">IF(ISNUMBER(_xll.VoseSimPercentile(Avg5_VR,$B90)),_xll.VoseSimPercentile(Avg5_VR,$B90),NA())</f>
        <v>70.845593493079051</v>
      </c>
      <c r="G90" s="69" cm="1">
        <f t="array" aca="1" ref="G90" ca="1">IF(ISNUMBER(_xll.VoseSimPercentile(Avg5_AJ,$B90)),_xll.VoseSimPercentile(Avg5_AJ,$B90),NA())</f>
        <v>67.443911526690115</v>
      </c>
    </row>
    <row r="91" spans="2:7" hidden="1" outlineLevel="1" x14ac:dyDescent="0.45">
      <c r="B91" s="68">
        <v>0.79</v>
      </c>
      <c r="C91" s="68">
        <f t="shared" si="1"/>
        <v>0.20999999999999996</v>
      </c>
      <c r="D91" s="69" cm="1">
        <f t="array" aca="1" ref="D91" ca="1">IF(ISNUMBER(_xll.VoseSimPercentile(Avg_Y5,$B91)),_xll.VoseSimPercentile(Avg_Y5,$B91),NA())</f>
        <v>90.689017386765215</v>
      </c>
      <c r="E91" s="69" cm="1">
        <f t="array" aca="1" ref="E91" ca="1">IF(ISNUMBER(_xll.VoseSimPercentile(Avg5_GBM,$B91)),_xll.VoseSimPercentile(Avg5_GBM,$B91),NA())</f>
        <v>123.71810272781869</v>
      </c>
      <c r="F91" s="69" cm="1">
        <f t="array" aca="1" ref="F91" ca="1">IF(ISNUMBER(_xll.VoseSimPercentile(Avg5_VR,$B91)),_xll.VoseSimPercentile(Avg5_VR,$B91),NA())</f>
        <v>72.105619483346288</v>
      </c>
      <c r="G91" s="69" cm="1">
        <f t="array" aca="1" ref="G91" ca="1">IF(ISNUMBER(_xll.VoseSimPercentile(Avg5_AJ,$B91)),_xll.VoseSimPercentile(Avg5_AJ,$B91),NA())</f>
        <v>68.418435381446798</v>
      </c>
    </row>
    <row r="92" spans="2:7" hidden="1" outlineLevel="1" x14ac:dyDescent="0.45">
      <c r="B92" s="68">
        <v>0.81</v>
      </c>
      <c r="C92" s="68">
        <f t="shared" si="1"/>
        <v>0.18999999999999995</v>
      </c>
      <c r="D92" s="69" cm="1">
        <f t="array" aca="1" ref="D92" ca="1">IF(ISNUMBER(_xll.VoseSimPercentile(Avg_Y5,$B92)),_xll.VoseSimPercentile(Avg_Y5,$B92),NA())</f>
        <v>95.53808844011796</v>
      </c>
      <c r="E92" s="69" cm="1">
        <f t="array" aca="1" ref="E92" ca="1">IF(ISNUMBER(_xll.VoseSimPercentile(Avg5_GBM,$B92)),_xll.VoseSimPercentile(Avg5_GBM,$B92),NA())</f>
        <v>129.38119566997821</v>
      </c>
      <c r="F92" s="69" cm="1">
        <f t="array" aca="1" ref="F92" ca="1">IF(ISNUMBER(_xll.VoseSimPercentile(Avg5_VR,$B92)),_xll.VoseSimPercentile(Avg5_VR,$B92),NA())</f>
        <v>73.514025616217779</v>
      </c>
      <c r="G92" s="69" cm="1">
        <f t="array" aca="1" ref="G92" ca="1">IF(ISNUMBER(_xll.VoseSimPercentile(Avg5_AJ,$B92)),_xll.VoseSimPercentile(Avg5_AJ,$B92),NA())</f>
        <v>69.3738523133038</v>
      </c>
    </row>
    <row r="93" spans="2:7" hidden="1" outlineLevel="1" x14ac:dyDescent="0.45">
      <c r="B93" s="68">
        <v>0.83</v>
      </c>
      <c r="C93" s="68">
        <f t="shared" si="1"/>
        <v>0.17000000000000004</v>
      </c>
      <c r="D93" s="69" cm="1">
        <f t="array" aca="1" ref="D93" ca="1">IF(ISNUMBER(_xll.VoseSimPercentile(Avg_Y5,$B93)),_xll.VoseSimPercentile(Avg_Y5,$B93),NA())</f>
        <v>101.65405292475567</v>
      </c>
      <c r="E93" s="69" cm="1">
        <f t="array" aca="1" ref="E93" ca="1">IF(ISNUMBER(_xll.VoseSimPercentile(Avg5_GBM,$B93)),_xll.VoseSimPercentile(Avg5_GBM,$B93),NA())</f>
        <v>136.1379038025124</v>
      </c>
      <c r="F93" s="69" cm="1">
        <f t="array" aca="1" ref="F93" ca="1">IF(ISNUMBER(_xll.VoseSimPercentile(Avg5_VR,$B93)),_xll.VoseSimPercentile(Avg5_VR,$B93),NA())</f>
        <v>74.985330324746357</v>
      </c>
      <c r="G93" s="69" cm="1">
        <f t="array" aca="1" ref="G93" ca="1">IF(ISNUMBER(_xll.VoseSimPercentile(Avg5_AJ,$B93)),_xll.VoseSimPercentile(Avg5_AJ,$B93),NA())</f>
        <v>70.288298498807805</v>
      </c>
    </row>
    <row r="94" spans="2:7" hidden="1" outlineLevel="1" x14ac:dyDescent="0.45">
      <c r="B94" s="68">
        <v>0.85</v>
      </c>
      <c r="C94" s="68">
        <f t="shared" si="1"/>
        <v>0.15000000000000002</v>
      </c>
      <c r="D94" s="69" cm="1">
        <f t="array" aca="1" ref="D94" ca="1">IF(ISNUMBER(_xll.VoseSimPercentile(Avg_Y5,$B94)),_xll.VoseSimPercentile(Avg_Y5,$B94),NA())</f>
        <v>107.52094708823871</v>
      </c>
      <c r="E94" s="69" cm="1">
        <f t="array" aca="1" ref="E94" ca="1">IF(ISNUMBER(_xll.VoseSimPercentile(Avg5_GBM,$B94)),_xll.VoseSimPercentile(Avg5_GBM,$B94),NA())</f>
        <v>143.51594773516209</v>
      </c>
      <c r="F94" s="69" cm="1">
        <f t="array" aca="1" ref="F94" ca="1">IF(ISNUMBER(_xll.VoseSimPercentile(Avg5_VR,$B94)),_xll.VoseSimPercentile(Avg5_VR,$B94),NA())</f>
        <v>76.504620675244908</v>
      </c>
      <c r="G94" s="69" cm="1">
        <f t="array" aca="1" ref="G94" ca="1">IF(ISNUMBER(_xll.VoseSimPercentile(Avg5_AJ,$B94)),_xll.VoseSimPercentile(Avg5_AJ,$B94),NA())</f>
        <v>71.477070353716101</v>
      </c>
    </row>
    <row r="95" spans="2:7" hidden="1" outlineLevel="1" x14ac:dyDescent="0.45">
      <c r="B95" s="68">
        <v>0.87</v>
      </c>
      <c r="C95" s="68">
        <f t="shared" si="1"/>
        <v>0.13</v>
      </c>
      <c r="D95" s="69" cm="1">
        <f t="array" aca="1" ref="D95" ca="1">IF(ISNUMBER(_xll.VoseSimPercentile(Avg_Y5,$B95)),_xll.VoseSimPercentile(Avg_Y5,$B95),NA())</f>
        <v>114.51676463491931</v>
      </c>
      <c r="E95" s="69" cm="1">
        <f t="array" aca="1" ref="E95" ca="1">IF(ISNUMBER(_xll.VoseSimPercentile(Avg5_GBM,$B95)),_xll.VoseSimPercentile(Avg5_GBM,$B95),NA())</f>
        <v>152.14934501553822</v>
      </c>
      <c r="F95" s="69" cm="1">
        <f t="array" aca="1" ref="F95" ca="1">IF(ISNUMBER(_xll.VoseSimPercentile(Avg5_VR,$B95)),_xll.VoseSimPercentile(Avg5_VR,$B95),NA())</f>
        <v>78.171621486171901</v>
      </c>
      <c r="G95" s="69" cm="1">
        <f t="array" aca="1" ref="G95" ca="1">IF(ISNUMBER(_xll.VoseSimPercentile(Avg5_AJ,$B95)),_xll.VoseSimPercentile(Avg5_AJ,$B95),NA())</f>
        <v>72.788754002442943</v>
      </c>
    </row>
    <row r="96" spans="2:7" hidden="1" outlineLevel="1" x14ac:dyDescent="0.45">
      <c r="B96" s="68">
        <v>0.89</v>
      </c>
      <c r="C96" s="68">
        <f t="shared" si="1"/>
        <v>0.10999999999999999</v>
      </c>
      <c r="D96" s="69" cm="1">
        <f t="array" aca="1" ref="D96" ca="1">IF(ISNUMBER(_xll.VoseSimPercentile(Avg_Y5,$B96)),_xll.VoseSimPercentile(Avg_Y5,$B96),NA())</f>
        <v>123.3409620387488</v>
      </c>
      <c r="E96" s="69" cm="1">
        <f t="array" aca="1" ref="E96" ca="1">IF(ISNUMBER(_xll.VoseSimPercentile(Avg5_GBM,$B96)),_xll.VoseSimPercentile(Avg5_GBM,$B96),NA())</f>
        <v>161.96443882099183</v>
      </c>
      <c r="F96" s="69" cm="1">
        <f t="array" aca="1" ref="F96" ca="1">IF(ISNUMBER(_xll.VoseSimPercentile(Avg5_VR,$B96)),_xll.VoseSimPercentile(Avg5_VR,$B96),NA())</f>
        <v>80.361156345878996</v>
      </c>
      <c r="G96" s="69" cm="1">
        <f t="array" aca="1" ref="G96" ca="1">IF(ISNUMBER(_xll.VoseSimPercentile(Avg5_AJ,$B96)),_xll.VoseSimPercentile(Avg5_AJ,$B96),NA())</f>
        <v>74.299609839200855</v>
      </c>
    </row>
    <row r="97" spans="2:7" hidden="1" outlineLevel="1" x14ac:dyDescent="0.45">
      <c r="B97" s="68">
        <v>0.91</v>
      </c>
      <c r="C97" s="68">
        <f t="shared" si="1"/>
        <v>8.9999999999999969E-2</v>
      </c>
      <c r="D97" s="69" cm="1">
        <f t="array" aca="1" ref="D97" ca="1">IF(ISNUMBER(_xll.VoseSimPercentile(Avg_Y5,$B97)),_xll.VoseSimPercentile(Avg_Y5,$B97),NA())</f>
        <v>135.49096329527268</v>
      </c>
      <c r="E97" s="69" cm="1">
        <f t="array" aca="1" ref="E97" ca="1">IF(ISNUMBER(_xll.VoseSimPercentile(Avg5_GBM,$B97)),_xll.VoseSimPercentile(Avg5_GBM,$B97),NA())</f>
        <v>174.85770494361793</v>
      </c>
      <c r="F97" s="69" cm="1">
        <f t="array" aca="1" ref="F97" ca="1">IF(ISNUMBER(_xll.VoseSimPercentile(Avg5_VR,$B97)),_xll.VoseSimPercentile(Avg5_VR,$B97),NA())</f>
        <v>82.967989774640458</v>
      </c>
      <c r="G97" s="69" cm="1">
        <f t="array" aca="1" ref="G97" ca="1">IF(ISNUMBER(_xll.VoseSimPercentile(Avg5_AJ,$B97)),_xll.VoseSimPercentile(Avg5_AJ,$B97),NA())</f>
        <v>76.121959094600072</v>
      </c>
    </row>
    <row r="98" spans="2:7" hidden="1" outlineLevel="1" x14ac:dyDescent="0.45">
      <c r="B98" s="68">
        <v>0.93</v>
      </c>
      <c r="C98" s="68">
        <f t="shared" si="1"/>
        <v>6.9999999999999951E-2</v>
      </c>
      <c r="D98" s="69" cm="1">
        <f t="array" aca="1" ref="D98" ca="1">IF(ISNUMBER(_xll.VoseSimPercentile(Avg_Y5,$B98)),_xll.VoseSimPercentile(Avg_Y5,$B98),NA())</f>
        <v>150.52893053743017</v>
      </c>
      <c r="E98" s="69" cm="1">
        <f t="array" aca="1" ref="E98" ca="1">IF(ISNUMBER(_xll.VoseSimPercentile(Avg5_GBM,$B98)),_xll.VoseSimPercentile(Avg5_GBM,$B98),NA())</f>
        <v>190.47465999476174</v>
      </c>
      <c r="F98" s="69" cm="1">
        <f t="array" aca="1" ref="F98" ca="1">IF(ISNUMBER(_xll.VoseSimPercentile(Avg5_VR,$B98)),_xll.VoseSimPercentile(Avg5_VR,$B98),NA())</f>
        <v>85.92943408755302</v>
      </c>
      <c r="G98" s="69" cm="1">
        <f t="array" aca="1" ref="G98" ca="1">IF(ISNUMBER(_xll.VoseSimPercentile(Avg5_AJ,$B98)),_xll.VoseSimPercentile(Avg5_AJ,$B98),NA())</f>
        <v>78.102555596453271</v>
      </c>
    </row>
    <row r="99" spans="2:7" hidden="1" outlineLevel="1" x14ac:dyDescent="0.45">
      <c r="B99" s="68">
        <v>0.95</v>
      </c>
      <c r="C99" s="68">
        <f t="shared" si="1"/>
        <v>5.0000000000000044E-2</v>
      </c>
      <c r="D99" s="69" cm="1">
        <f t="array" aca="1" ref="D99" ca="1">IF(ISNUMBER(_xll.VoseSimPercentile(Avg_Y5,$B99)),_xll.VoseSimPercentile(Avg_Y5,$B99),NA())</f>
        <v>173.15895167851042</v>
      </c>
      <c r="E99" s="69" cm="1">
        <f t="array" aca="1" ref="E99" ca="1">IF(ISNUMBER(_xll.VoseSimPercentile(Avg5_GBM,$B99)),_xll.VoseSimPercentile(Avg5_GBM,$B99),NA())</f>
        <v>214.69003158841812</v>
      </c>
      <c r="F99" s="69" cm="1">
        <f t="array" aca="1" ref="F99" ca="1">IF(ISNUMBER(_xll.VoseSimPercentile(Avg5_VR,$B99)),_xll.VoseSimPercentile(Avg5_VR,$B99),NA())</f>
        <v>89.903234583177152</v>
      </c>
      <c r="G99" s="69" cm="1">
        <f t="array" aca="1" ref="G99" ca="1">IF(ISNUMBER(_xll.VoseSimPercentile(Avg5_AJ,$B99)),_xll.VoseSimPercentile(Avg5_AJ,$B99),NA())</f>
        <v>80.779480000286583</v>
      </c>
    </row>
    <row r="100" spans="2:7" hidden="1" outlineLevel="1" x14ac:dyDescent="0.45">
      <c r="B100" s="68">
        <v>0.97</v>
      </c>
      <c r="C100" s="68">
        <f t="shared" si="1"/>
        <v>3.0000000000000027E-2</v>
      </c>
      <c r="D100" s="69" cm="1">
        <f t="array" aca="1" ref="D100" ca="1">IF(ISNUMBER(_xll.VoseSimPercentile(Avg_Y5,$B100)),_xll.VoseSimPercentile(Avg_Y5,$B100),NA())</f>
        <v>208.23381830131405</v>
      </c>
      <c r="E100" s="69" cm="1">
        <f t="array" aca="1" ref="E100" ca="1">IF(ISNUMBER(_xll.VoseSimPercentile(Avg5_GBM,$B100)),_xll.VoseSimPercentile(Avg5_GBM,$B100),NA())</f>
        <v>250.91223650209724</v>
      </c>
      <c r="F100" s="69" cm="1">
        <f t="array" aca="1" ref="F100" ca="1">IF(ISNUMBER(_xll.VoseSimPercentile(Avg5_VR,$B100)),_xll.VoseSimPercentile(Avg5_VR,$B100),NA())</f>
        <v>96.12765933766606</v>
      </c>
      <c r="G100" s="69" cm="1">
        <f t="array" aca="1" ref="G100" ca="1">IF(ISNUMBER(_xll.VoseSimPercentile(Avg5_AJ,$B100)),_xll.VoseSimPercentile(Avg5_AJ,$B100),NA())</f>
        <v>84.66705724234906</v>
      </c>
    </row>
    <row r="101" spans="2:7" hidden="1" outlineLevel="1" x14ac:dyDescent="0.45">
      <c r="B101" s="68">
        <v>0.99</v>
      </c>
      <c r="C101" s="68">
        <f t="shared" si="1"/>
        <v>1.0000000000000009E-2</v>
      </c>
      <c r="D101" s="69" cm="1">
        <f t="array" aca="1" ref="D101" ca="1">IF(ISNUMBER(_xll.VoseSimPercentile(Avg_Y5,$B101)),_xll.VoseSimPercentile(Avg_Y5,$B101),NA())</f>
        <v>286.57563666960493</v>
      </c>
      <c r="E101" s="69" cm="1">
        <f t="array" aca="1" ref="E101" ca="1">IF(ISNUMBER(_xll.VoseSimPercentile(Avg5_GBM,$B101)),_xll.VoseSimPercentile(Avg5_GBM,$B101),NA())</f>
        <v>344.81144007106576</v>
      </c>
      <c r="F101" s="69" cm="1">
        <f t="array" aca="1" ref="F101" ca="1">IF(ISNUMBER(_xll.VoseSimPercentile(Avg5_VR,$B101)),_xll.VoseSimPercentile(Avg5_VR,$B101),NA())</f>
        <v>110.73534565663483</v>
      </c>
      <c r="G101" s="69" cm="1">
        <f t="array" aca="1" ref="G101" ca="1">IF(ISNUMBER(_xll.VoseSimPercentile(Avg5_AJ,$B101)),_xll.VoseSimPercentile(Avg5_AJ,$B101),NA())</f>
        <v>92.755844489548224</v>
      </c>
    </row>
    <row r="102" spans="2:7" hidden="1" outlineLevel="1" x14ac:dyDescent="0.45"/>
    <row r="103" spans="2:7" ht="28.05" hidden="1" customHeight="1" outlineLevel="1" x14ac:dyDescent="0.45">
      <c r="B103" s="23" t="s">
        <v>299</v>
      </c>
      <c r="C103" s="24" t="s">
        <v>300</v>
      </c>
      <c r="D103" s="24" t="s">
        <v>272</v>
      </c>
      <c r="E103" s="24" t="s">
        <v>301</v>
      </c>
      <c r="F103" s="24" t="s">
        <v>274</v>
      </c>
      <c r="G103" s="5"/>
    </row>
    <row r="104" spans="2:7" hidden="1" outlineLevel="1" x14ac:dyDescent="0.45">
      <c r="B104" s="70">
        <f>'Прогноз'!C10</f>
        <v>46388</v>
      </c>
      <c r="C104" s="69" cm="1">
        <f t="array" aca="1" ref="C104" ca="1">IF(ISNUMBER(_xll.VoseSimPercentile('Прогноз'!D10,0.1)),_xll.VoseSimPercentile('Прогноз'!D10,0.1),NA())</f>
        <v>59.356363307393501</v>
      </c>
      <c r="D104" s="69" cm="1">
        <f t="array" aca="1" ref="D104" ca="1">IF(ISNUMBER(_xll.VoseSimPercentile('Прогноз'!D10,0.5)),_xll.VoseSimPercentile('Прогноз'!D10,0.5),NA())</f>
        <v>65.366128125215639</v>
      </c>
      <c r="E104" s="69" cm="1">
        <f t="array" aca="1" ref="E104" ca="1">IF(ISNUMBER(_xll.VoseSimPercentile('Прогноз'!D10,0.9)),_xll.VoseSimPercentile('Прогноз'!D10,0.9),NA())</f>
        <v>72.068182573958211</v>
      </c>
      <c r="F104" s="69" cm="1">
        <f t="array" aca="1" ref="F104" ca="1">IF(ISNUMBER(_xll.VoseSimMean('Прогноз'!D10)),_xll.VoseSimMean('Прогноз'!D10),NA())</f>
        <v>65.553493900292423</v>
      </c>
    </row>
    <row r="105" spans="2:7" hidden="1" outlineLevel="1" x14ac:dyDescent="0.45">
      <c r="B105" s="70">
        <f>'Прогноз'!C11</f>
        <v>46419</v>
      </c>
      <c r="C105" s="69" cm="1">
        <f t="array" aca="1" ref="C105" ca="1">IF(ISNUMBER(_xll.VoseSimPercentile('Прогноз'!D11,0.1)),_xll.VoseSimPercentile('Прогноз'!D11,0.1),NA())</f>
        <v>56.894806664244001</v>
      </c>
      <c r="D105" s="69" cm="1">
        <f t="array" aca="1" ref="D105" ca="1">IF(ISNUMBER(_xll.VoseSimPercentile('Прогноз'!D11,0.5)),_xll.VoseSimPercentile('Прогноз'!D11,0.5),NA())</f>
        <v>65.193819948659311</v>
      </c>
      <c r="E105" s="69" cm="1">
        <f t="array" aca="1" ref="E105" ca="1">IF(ISNUMBER(_xll.VoseSimPercentile('Прогноз'!D11,0.9)),_xll.VoseSimPercentile('Прогноз'!D11,0.9),NA())</f>
        <v>74.740745647161489</v>
      </c>
      <c r="F105" s="69" cm="1">
        <f t="array" aca="1" ref="F105" ca="1">IF(ISNUMBER(_xll.VoseSimMean('Прогноз'!D11)),_xll.VoseSimMean('Прогноз'!D11),NA())</f>
        <v>65.55972866215464</v>
      </c>
    </row>
    <row r="106" spans="2:7" hidden="1" outlineLevel="1" x14ac:dyDescent="0.45">
      <c r="B106" s="70">
        <f>'Прогноз'!C12</f>
        <v>46447</v>
      </c>
      <c r="C106" s="69" cm="1">
        <f t="array" aca="1" ref="C106" ca="1">IF(ISNUMBER(_xll.VoseSimPercentile('Прогноз'!D12,0.1)),_xll.VoseSimPercentile('Прогноз'!D12,0.1),NA())</f>
        <v>55.220209699274143</v>
      </c>
      <c r="D106" s="69" cm="1">
        <f t="array" aca="1" ref="D106" ca="1">IF(ISNUMBER(_xll.VoseSimPercentile('Прогноз'!D12,0.5)),_xll.VoseSimPercentile('Прогноз'!D12,0.5),NA())</f>
        <v>64.848796477434377</v>
      </c>
      <c r="E106" s="69" cm="1">
        <f t="array" aca="1" ref="E106" ca="1">IF(ISNUMBER(_xll.VoseSimPercentile('Прогноз'!D12,0.9)),_xll.VoseSimPercentile('Прогноз'!D12,0.9),NA())</f>
        <v>76.934896300851406</v>
      </c>
      <c r="F106" s="69" cm="1">
        <f t="array" aca="1" ref="F106" ca="1">IF(ISNUMBER(_xll.VoseSimMean('Прогноз'!D12)),_xll.VoseSimMean('Прогноз'!D12),NA())</f>
        <v>65.523929127794631</v>
      </c>
    </row>
    <row r="107" spans="2:7" hidden="1" outlineLevel="1" x14ac:dyDescent="0.45">
      <c r="B107" s="70">
        <f>'Прогноз'!C13</f>
        <v>46478</v>
      </c>
      <c r="C107" s="69" cm="1">
        <f t="array" aca="1" ref="C107" ca="1">IF(ISNUMBER(_xll.VoseSimPercentile('Прогноз'!D13,0.1)),_xll.VoseSimPercentile('Прогноз'!D13,0.1),NA())</f>
        <v>53.677956680276573</v>
      </c>
      <c r="D107" s="69" cm="1">
        <f t="array" aca="1" ref="D107" ca="1">IF(ISNUMBER(_xll.VoseSimPercentile('Прогноз'!D13,0.5)),_xll.VoseSimPercentile('Прогноз'!D13,0.5),NA())</f>
        <v>64.685613364859606</v>
      </c>
      <c r="E107" s="69" cm="1">
        <f t="array" aca="1" ref="E107" ca="1">IF(ISNUMBER(_xll.VoseSimPercentile('Прогноз'!D13,0.9)),_xll.VoseSimPercentile('Прогноз'!D13,0.9),NA())</f>
        <v>78.753752712289824</v>
      </c>
      <c r="F107" s="69" cm="1">
        <f t="array" aca="1" ref="F107" ca="1">IF(ISNUMBER(_xll.VoseSimMean('Прогноз'!D13)),_xll.VoseSimMean('Прогноз'!D13),NA())</f>
        <v>65.651568473984597</v>
      </c>
    </row>
    <row r="108" spans="2:7" hidden="1" outlineLevel="1" x14ac:dyDescent="0.45">
      <c r="B108" s="70">
        <f>'Прогноз'!C14</f>
        <v>46508</v>
      </c>
      <c r="C108" s="69" cm="1">
        <f t="array" aca="1" ref="C108" ca="1">IF(ISNUMBER(_xll.VoseSimPercentile('Прогноз'!D14,0.1)),_xll.VoseSimPercentile('Прогноз'!D14,0.1),NA())</f>
        <v>52.497876342993699</v>
      </c>
      <c r="D108" s="69" cm="1">
        <f t="array" aca="1" ref="D108" ca="1">IF(ISNUMBER(_xll.VoseSimPercentile('Прогноз'!D14,0.5)),_xll.VoseSimPercentile('Прогноз'!D14,0.5),NA())</f>
        <v>64.73429259060714</v>
      </c>
      <c r="E108" s="69" cm="1">
        <f t="array" aca="1" ref="E108" ca="1">IF(ISNUMBER(_xll.VoseSimPercentile('Прогноз'!D14,0.9)),_xll.VoseSimPercentile('Прогноз'!D14,0.9),NA())</f>
        <v>80.254971124602903</v>
      </c>
      <c r="F108" s="69" cm="1">
        <f t="array" aca="1" ref="F108" ca="1">IF(ISNUMBER(_xll.VoseSimMean('Прогноз'!D14)),_xll.VoseSimMean('Прогноз'!D14),NA())</f>
        <v>65.781493918771119</v>
      </c>
    </row>
    <row r="109" spans="2:7" hidden="1" outlineLevel="1" x14ac:dyDescent="0.45">
      <c r="B109" s="70">
        <f>'Прогноз'!C15</f>
        <v>46539</v>
      </c>
      <c r="C109" s="69" cm="1">
        <f t="array" aca="1" ref="C109" ca="1">IF(ISNUMBER(_xll.VoseSimPercentile('Прогноз'!D15,0.1)),_xll.VoseSimPercentile('Прогноз'!D15,0.1),NA())</f>
        <v>51.293004513526412</v>
      </c>
      <c r="D109" s="69" cm="1">
        <f t="array" aca="1" ref="D109" ca="1">IF(ISNUMBER(_xll.VoseSimPercentile('Прогноз'!D15,0.5)),_xll.VoseSimPercentile('Прогноз'!D15,0.5),NA())</f>
        <v>64.539883734722324</v>
      </c>
      <c r="E109" s="69" cm="1">
        <f t="array" aca="1" ref="E109" ca="1">IF(ISNUMBER(_xll.VoseSimPercentile('Прогноз'!D15,0.9)),_xll.VoseSimPercentile('Прогноз'!D15,0.9),NA())</f>
        <v>81.920157308421622</v>
      </c>
      <c r="F109" s="69" cm="1">
        <f t="array" aca="1" ref="F109" ca="1">IF(ISNUMBER(_xll.VoseSimMean('Прогноз'!D15)),_xll.VoseSimMean('Прогноз'!D15),NA())</f>
        <v>65.837115044222216</v>
      </c>
    </row>
    <row r="110" spans="2:7" hidden="1" outlineLevel="1" x14ac:dyDescent="0.45">
      <c r="B110" s="70">
        <f>'Прогноз'!C16</f>
        <v>46569</v>
      </c>
      <c r="C110" s="69" cm="1">
        <f t="array" aca="1" ref="C110" ca="1">IF(ISNUMBER(_xll.VoseSimPercentile('Прогноз'!D16,0.1)),_xll.VoseSimPercentile('Прогноз'!D16,0.1),NA())</f>
        <v>50.262302241400555</v>
      </c>
      <c r="D110" s="69" cm="1">
        <f t="array" aca="1" ref="D110" ca="1">IF(ISNUMBER(_xll.VoseSimPercentile('Прогноз'!D16,0.5)),_xll.VoseSimPercentile('Прогноз'!D16,0.5),NA())</f>
        <v>64.413821825599996</v>
      </c>
      <c r="E110" s="69" cm="1">
        <f t="array" aca="1" ref="E110" ca="1">IF(ISNUMBER(_xll.VoseSimPercentile('Прогноз'!D16,0.9)),_xll.VoseSimPercentile('Прогноз'!D16,0.9),NA())</f>
        <v>83.014909245542313</v>
      </c>
      <c r="F110" s="69" cm="1">
        <f t="array" aca="1" ref="F110" ca="1">IF(ISNUMBER(_xll.VoseSimMean('Прогноз'!D16)),_xll.VoseSimMean('Прогноз'!D16),NA())</f>
        <v>65.918088143863187</v>
      </c>
    </row>
    <row r="111" spans="2:7" hidden="1" outlineLevel="1" x14ac:dyDescent="0.45">
      <c r="B111" s="70">
        <f>'Прогноз'!C17</f>
        <v>46600</v>
      </c>
      <c r="C111" s="69" cm="1">
        <f t="array" aca="1" ref="C111" ca="1">IF(ISNUMBER(_xll.VoseSimPercentile('Прогноз'!D17,0.1)),_xll.VoseSimPercentile('Прогноз'!D17,0.1),NA())</f>
        <v>49.728115583142348</v>
      </c>
      <c r="D111" s="69" cm="1">
        <f t="array" aca="1" ref="D111" ca="1">IF(ISNUMBER(_xll.VoseSimPercentile('Прогноз'!D17,0.5)),_xll.VoseSimPercentile('Прогноз'!D17,0.5),NA())</f>
        <v>64.288758039051189</v>
      </c>
      <c r="E111" s="69" cm="1">
        <f t="array" aca="1" ref="E111" ca="1">IF(ISNUMBER(_xll.VoseSimPercentile('Прогноз'!D17,0.9)),_xll.VoseSimPercentile('Прогноз'!D17,0.9),NA())</f>
        <v>83.888404597950213</v>
      </c>
      <c r="F111" s="69" cm="1">
        <f t="array" aca="1" ref="F111" ca="1">IF(ISNUMBER(_xll.VoseSimMean('Прогноз'!D17)),_xll.VoseSimMean('Прогноз'!D17),NA())</f>
        <v>66.026853006488736</v>
      </c>
    </row>
    <row r="112" spans="2:7" hidden="1" outlineLevel="1" x14ac:dyDescent="0.45">
      <c r="B112" s="70">
        <f>'Прогноз'!C18</f>
        <v>46631</v>
      </c>
      <c r="C112" s="69" cm="1">
        <f t="array" aca="1" ref="C112" ca="1">IF(ISNUMBER(_xll.VoseSimPercentile('Прогноз'!D18,0.1)),_xll.VoseSimPercentile('Прогноз'!D18,0.1),NA())</f>
        <v>48.941550942427739</v>
      </c>
      <c r="D112" s="69" cm="1">
        <f t="array" aca="1" ref="D112" ca="1">IF(ISNUMBER(_xll.VoseSimPercentile('Прогноз'!D18,0.5)),_xll.VoseSimPercentile('Прогноз'!D18,0.5),NA())</f>
        <v>64.138250374577453</v>
      </c>
      <c r="E112" s="69" cm="1">
        <f t="array" aca="1" ref="E112" ca="1">IF(ISNUMBER(_xll.VoseSimPercentile('Прогноз'!D18,0.9)),_xll.VoseSimPercentile('Прогноз'!D18,0.9),NA())</f>
        <v>85.181370443568738</v>
      </c>
      <c r="F112" s="69" cm="1">
        <f t="array" aca="1" ref="F112" ca="1">IF(ISNUMBER(_xll.VoseSimMean('Прогноз'!D18)),_xll.VoseSimMean('Прогноз'!D18),NA())</f>
        <v>66.068852311671762</v>
      </c>
    </row>
    <row r="113" spans="2:6" hidden="1" outlineLevel="1" x14ac:dyDescent="0.45">
      <c r="B113" s="70">
        <f>'Прогноз'!C19</f>
        <v>46661</v>
      </c>
      <c r="C113" s="69" cm="1">
        <f t="array" aca="1" ref="C113" ca="1">IF(ISNUMBER(_xll.VoseSimPercentile('Прогноз'!D19,0.1)),_xll.VoseSimPercentile('Прогноз'!D19,0.1),NA())</f>
        <v>48.499690654263993</v>
      </c>
      <c r="D113" s="69" cm="1">
        <f t="array" aca="1" ref="D113" ca="1">IF(ISNUMBER(_xll.VoseSimPercentile('Прогноз'!D19,0.5)),_xll.VoseSimPercentile('Прогноз'!D19,0.5),NA())</f>
        <v>64.145652426012617</v>
      </c>
      <c r="E113" s="69" cm="1">
        <f t="array" aca="1" ref="E113" ca="1">IF(ISNUMBER(_xll.VoseSimPercentile('Прогноз'!D19,0.9)),_xll.VoseSimPercentile('Прогноз'!D19,0.9),NA())</f>
        <v>86.252117361521286</v>
      </c>
      <c r="F113" s="69" cm="1">
        <f t="array" aca="1" ref="F113" ca="1">IF(ISNUMBER(_xll.VoseSimMean('Прогноз'!D19)),_xll.VoseSimMean('Прогноз'!D19),NA())</f>
        <v>66.11669435947735</v>
      </c>
    </row>
    <row r="114" spans="2:6" hidden="1" outlineLevel="1" x14ac:dyDescent="0.45">
      <c r="B114" s="70">
        <f>'Прогноз'!C20</f>
        <v>46692</v>
      </c>
      <c r="C114" s="69" cm="1">
        <f t="array" aca="1" ref="C114" ca="1">IF(ISNUMBER(_xll.VoseSimPercentile('Прогноз'!D20,0.1)),_xll.VoseSimPercentile('Прогноз'!D20,0.1),NA())</f>
        <v>47.946455630660452</v>
      </c>
      <c r="D114" s="69" cm="1">
        <f t="array" aca="1" ref="D114" ca="1">IF(ISNUMBER(_xll.VoseSimPercentile('Прогноз'!D20,0.5)),_xll.VoseSimPercentile('Прогноз'!D20,0.5),NA())</f>
        <v>64.197653835897455</v>
      </c>
      <c r="E114" s="69" cm="1">
        <f t="array" aca="1" ref="E114" ca="1">IF(ISNUMBER(_xll.VoseSimPercentile('Прогноз'!D20,0.9)),_xll.VoseSimPercentile('Прогноз'!D20,0.9),NA())</f>
        <v>87.323848240392621</v>
      </c>
      <c r="F114" s="69" cm="1">
        <f t="array" aca="1" ref="F114" ca="1">IF(ISNUMBER(_xll.VoseSimMean('Прогноз'!D20)),_xll.VoseSimMean('Прогноз'!D20),NA())</f>
        <v>66.350612373600001</v>
      </c>
    </row>
    <row r="115" spans="2:6" hidden="1" outlineLevel="1" x14ac:dyDescent="0.45">
      <c r="B115" s="70">
        <f>'Прогноз'!C21</f>
        <v>46722</v>
      </c>
      <c r="C115" s="69" cm="1">
        <f t="array" aca="1" ref="C115" ca="1">IF(ISNUMBER(_xll.VoseSimPercentile('Прогноз'!D21,0.1)),_xll.VoseSimPercentile('Прогноз'!D21,0.1),NA())</f>
        <v>47.325515097658069</v>
      </c>
      <c r="D115" s="69" cm="1">
        <f t="array" aca="1" ref="D115" ca="1">IF(ISNUMBER(_xll.VoseSimPercentile('Прогноз'!D21,0.5)),_xll.VoseSimPercentile('Прогноз'!D21,0.5),NA())</f>
        <v>63.824693680958305</v>
      </c>
      <c r="E115" s="69" cm="1">
        <f t="array" aca="1" ref="E115" ca="1">IF(ISNUMBER(_xll.VoseSimPercentile('Прогноз'!D21,0.9)),_xll.VoseSimPercentile('Прогноз'!D21,0.9),NA())</f>
        <v>88.745701596938815</v>
      </c>
      <c r="F115" s="69" cm="1">
        <f t="array" aca="1" ref="F115" ca="1">IF(ISNUMBER(_xll.VoseSimMean('Прогноз'!D21)),_xll.VoseSimMean('Прогноз'!D21),NA())</f>
        <v>66.474986820710015</v>
      </c>
    </row>
    <row r="116" spans="2:6" hidden="1" outlineLevel="1" x14ac:dyDescent="0.45">
      <c r="B116" s="70">
        <f>'Прогноз'!C22</f>
        <v>46753</v>
      </c>
      <c r="C116" s="69" cm="1">
        <f t="array" aca="1" ref="C116" ca="1">IF(ISNUMBER(_xll.VoseSimPercentile('Прогноз'!D22,0.1)),_xll.VoseSimPercentile('Прогноз'!D22,0.1),NA())</f>
        <v>46.667391669453572</v>
      </c>
      <c r="D116" s="69" cm="1">
        <f t="array" aca="1" ref="D116" ca="1">IF(ISNUMBER(_xll.VoseSimPercentile('Прогноз'!D22,0.5)),_xll.VoseSimPercentile('Прогноз'!D22,0.5),NA())</f>
        <v>63.664645700809771</v>
      </c>
      <c r="E116" s="69" cm="1">
        <f t="array" aca="1" ref="E116" ca="1">IF(ISNUMBER(_xll.VoseSimPercentile('Прогноз'!D22,0.9)),_xll.VoseSimPercentile('Прогноз'!D22,0.9),NA())</f>
        <v>89.981122979120258</v>
      </c>
      <c r="F116" s="69" cm="1">
        <f t="array" aca="1" ref="F116" ca="1">IF(ISNUMBER(_xll.VoseSimMean('Прогноз'!D22)),_xll.VoseSimMean('Прогноз'!D22),NA())</f>
        <v>66.517995189996157</v>
      </c>
    </row>
    <row r="117" spans="2:6" hidden="1" outlineLevel="1" x14ac:dyDescent="0.45">
      <c r="B117" s="70">
        <f>'Прогноз'!C23</f>
        <v>46784</v>
      </c>
      <c r="C117" s="69" cm="1">
        <f t="array" aca="1" ref="C117" ca="1">IF(ISNUMBER(_xll.VoseSimPercentile('Прогноз'!D23,0.1)),_xll.VoseSimPercentile('Прогноз'!D23,0.1),NA())</f>
        <v>46.176462441131875</v>
      </c>
      <c r="D117" s="69" cm="1">
        <f t="array" aca="1" ref="D117" ca="1">IF(ISNUMBER(_xll.VoseSimPercentile('Прогноз'!D23,0.5)),_xll.VoseSimPercentile('Прогноз'!D23,0.5),NA())</f>
        <v>63.584496940067027</v>
      </c>
      <c r="E117" s="69" cm="1">
        <f t="array" aca="1" ref="E117" ca="1">IF(ISNUMBER(_xll.VoseSimPercentile('Прогноз'!D23,0.9)),_xll.VoseSimPercentile('Прогноз'!D23,0.9),NA())</f>
        <v>91.293184730616048</v>
      </c>
      <c r="F117" s="69" cm="1">
        <f t="array" aca="1" ref="F117" ca="1">IF(ISNUMBER(_xll.VoseSimMean('Прогноз'!D23)),_xll.VoseSimMean('Прогноз'!D23),NA())</f>
        <v>66.700216391312196</v>
      </c>
    </row>
    <row r="118" spans="2:6" hidden="1" outlineLevel="1" x14ac:dyDescent="0.45">
      <c r="B118" s="70">
        <f>'Прогноз'!C24</f>
        <v>46813</v>
      </c>
      <c r="C118" s="69" cm="1">
        <f t="array" aca="1" ref="C118" ca="1">IF(ISNUMBER(_xll.VoseSimPercentile('Прогноз'!D24,0.1)),_xll.VoseSimPercentile('Прогноз'!D24,0.1),NA())</f>
        <v>45.600902670604462</v>
      </c>
      <c r="D118" s="69" cm="1">
        <f t="array" aca="1" ref="D118" ca="1">IF(ISNUMBER(_xll.VoseSimPercentile('Прогноз'!D24,0.5)),_xll.VoseSimPercentile('Прогноз'!D24,0.5),NA())</f>
        <v>63.651860589658668</v>
      </c>
      <c r="E118" s="69" cm="1">
        <f t="array" aca="1" ref="E118" ca="1">IF(ISNUMBER(_xll.VoseSimPercentile('Прогноз'!D24,0.9)),_xll.VoseSimPercentile('Прогноз'!D24,0.9),NA())</f>
        <v>92.368187660899338</v>
      </c>
      <c r="F118" s="69" cm="1">
        <f t="array" aca="1" ref="F118" ca="1">IF(ISNUMBER(_xll.VoseSimMean('Прогноз'!D24)),_xll.VoseSimMean('Прогноз'!D24),NA())</f>
        <v>66.882898581055912</v>
      </c>
    </row>
    <row r="119" spans="2:6" hidden="1" outlineLevel="1" x14ac:dyDescent="0.45">
      <c r="B119" s="70">
        <f>'Прогноз'!C25</f>
        <v>46844</v>
      </c>
      <c r="C119" s="69" cm="1">
        <f t="array" aca="1" ref="C119" ca="1">IF(ISNUMBER(_xll.VoseSimPercentile('Прогноз'!D25,0.1)),_xll.VoseSimPercentile('Прогноз'!D25,0.1),NA())</f>
        <v>45.122313232235655</v>
      </c>
      <c r="D119" s="69" cm="1">
        <f t="array" aca="1" ref="D119" ca="1">IF(ISNUMBER(_xll.VoseSimPercentile('Прогноз'!D25,0.5)),_xll.VoseSimPercentile('Прогноз'!D25,0.5),NA())</f>
        <v>63.461680362703056</v>
      </c>
      <c r="E119" s="69" cm="1">
        <f t="array" aca="1" ref="E119" ca="1">IF(ISNUMBER(_xll.VoseSimPercentile('Прогноз'!D25,0.9)),_xll.VoseSimPercentile('Прогноз'!D25,0.9),NA())</f>
        <v>93.226402222880509</v>
      </c>
      <c r="F119" s="69" cm="1">
        <f t="array" aca="1" ref="F119" ca="1">IF(ISNUMBER(_xll.VoseSimMean('Прогноз'!D25)),_xll.VoseSimMean('Прогноз'!D25),NA())</f>
        <v>67.010791553278978</v>
      </c>
    </row>
    <row r="120" spans="2:6" hidden="1" outlineLevel="1" x14ac:dyDescent="0.45">
      <c r="B120" s="70">
        <f>'Прогноз'!C26</f>
        <v>46874</v>
      </c>
      <c r="C120" s="69" cm="1">
        <f t="array" aca="1" ref="C120" ca="1">IF(ISNUMBER(_xll.VoseSimPercentile('Прогноз'!D26,0.1)),_xll.VoseSimPercentile('Прогноз'!D26,0.1),NA())</f>
        <v>44.794094313026072</v>
      </c>
      <c r="D120" s="69" cm="1">
        <f t="array" aca="1" ref="D120" ca="1">IF(ISNUMBER(_xll.VoseSimPercentile('Прогноз'!D26,0.5)),_xll.VoseSimPercentile('Прогноз'!D26,0.5),NA())</f>
        <v>63.364605722062443</v>
      </c>
      <c r="E120" s="69" cm="1">
        <f t="array" aca="1" ref="E120" ca="1">IF(ISNUMBER(_xll.VoseSimPercentile('Прогноз'!D26,0.9)),_xll.VoseSimPercentile('Прогноз'!D26,0.9),NA())</f>
        <v>94.680816091117777</v>
      </c>
      <c r="F120" s="69" cm="1">
        <f t="array" aca="1" ref="F120" ca="1">IF(ISNUMBER(_xll.VoseSimMean('Прогноз'!D26)),_xll.VoseSimMean('Прогноз'!D26),NA())</f>
        <v>67.138532299007423</v>
      </c>
    </row>
    <row r="121" spans="2:6" hidden="1" outlineLevel="1" x14ac:dyDescent="0.45">
      <c r="B121" s="70">
        <f>'Прогноз'!C27</f>
        <v>46905</v>
      </c>
      <c r="C121" s="69" cm="1">
        <f t="array" aca="1" ref="C121" ca="1">IF(ISNUMBER(_xll.VoseSimPercentile('Прогноз'!D27,0.1)),_xll.VoseSimPercentile('Прогноз'!D27,0.1),NA())</f>
        <v>44.408928973198719</v>
      </c>
      <c r="D121" s="69" cm="1">
        <f t="array" aca="1" ref="D121" ca="1">IF(ISNUMBER(_xll.VoseSimPercentile('Прогноз'!D27,0.5)),_xll.VoseSimPercentile('Прогноз'!D27,0.5),NA())</f>
        <v>63.364062073709526</v>
      </c>
      <c r="E121" s="69" cm="1">
        <f t="array" aca="1" ref="E121" ca="1">IF(ISNUMBER(_xll.VoseSimPercentile('Прогноз'!D27,0.9)),_xll.VoseSimPercentile('Прогноз'!D27,0.9),NA())</f>
        <v>94.779642753898258</v>
      </c>
      <c r="F121" s="69" cm="1">
        <f t="array" aca="1" ref="F121" ca="1">IF(ISNUMBER(_xll.VoseSimMean('Прогноз'!D27)),_xll.VoseSimMean('Прогноз'!D27),NA())</f>
        <v>67.305620182195085</v>
      </c>
    </row>
    <row r="122" spans="2:6" hidden="1" outlineLevel="1" x14ac:dyDescent="0.45">
      <c r="B122" s="70">
        <f>'Прогноз'!C28</f>
        <v>46935</v>
      </c>
      <c r="C122" s="69" cm="1">
        <f t="array" aca="1" ref="C122" ca="1">IF(ISNUMBER(_xll.VoseSimPercentile('Прогноз'!D28,0.1)),_xll.VoseSimPercentile('Прогноз'!D28,0.1),NA())</f>
        <v>44.23577083801046</v>
      </c>
      <c r="D122" s="69" cm="1">
        <f t="array" aca="1" ref="D122" ca="1">IF(ISNUMBER(_xll.VoseSimPercentile('Прогноз'!D28,0.5)),_xll.VoseSimPercentile('Прогноз'!D28,0.5),NA())</f>
        <v>63.303555067984703</v>
      </c>
      <c r="E122" s="69" cm="1">
        <f t="array" aca="1" ref="E122" ca="1">IF(ISNUMBER(_xll.VoseSimPercentile('Прогноз'!D28,0.9)),_xll.VoseSimPercentile('Прогноз'!D28,0.9),NA())</f>
        <v>96.155855906277594</v>
      </c>
      <c r="F122" s="69" cm="1">
        <f t="array" aca="1" ref="F122" ca="1">IF(ISNUMBER(_xll.VoseSimMean('Прогноз'!D28)),_xll.VoseSimMean('Прогноз'!D28),NA())</f>
        <v>67.512848787464165</v>
      </c>
    </row>
    <row r="123" spans="2:6" hidden="1" outlineLevel="1" x14ac:dyDescent="0.45">
      <c r="B123" s="70">
        <f>'Прогноз'!C29</f>
        <v>46966</v>
      </c>
      <c r="C123" s="69" cm="1">
        <f t="array" aca="1" ref="C123" ca="1">IF(ISNUMBER(_xll.VoseSimPercentile('Прогноз'!D29,0.1)),_xll.VoseSimPercentile('Прогноз'!D29,0.1),NA())</f>
        <v>43.628887376603842</v>
      </c>
      <c r="D123" s="69" cm="1">
        <f t="array" aca="1" ref="D123" ca="1">IF(ISNUMBER(_xll.VoseSimPercentile('Прогноз'!D29,0.5)),_xll.VoseSimPercentile('Прогноз'!D29,0.5),NA())</f>
        <v>63.215424053388155</v>
      </c>
      <c r="E123" s="69" cm="1">
        <f t="array" aca="1" ref="E123" ca="1">IF(ISNUMBER(_xll.VoseSimPercentile('Прогноз'!D29,0.9)),_xll.VoseSimPercentile('Прогноз'!D29,0.9),NA())</f>
        <v>96.684445133421136</v>
      </c>
      <c r="F123" s="69" cm="1">
        <f t="array" aca="1" ref="F123" ca="1">IF(ISNUMBER(_xll.VoseSimMean('Прогноз'!D29)),_xll.VoseSimMean('Прогноз'!D29),NA())</f>
        <v>67.610732850008631</v>
      </c>
    </row>
    <row r="124" spans="2:6" hidden="1" outlineLevel="1" x14ac:dyDescent="0.45">
      <c r="B124" s="70">
        <f>'Прогноз'!C30</f>
        <v>46997</v>
      </c>
      <c r="C124" s="69" cm="1">
        <f t="array" aca="1" ref="C124" ca="1">IF(ISNUMBER(_xll.VoseSimPercentile('Прогноз'!D30,0.1)),_xll.VoseSimPercentile('Прогноз'!D30,0.1),NA())</f>
        <v>43.38219719715736</v>
      </c>
      <c r="D124" s="69" cm="1">
        <f t="array" aca="1" ref="D124" ca="1">IF(ISNUMBER(_xll.VoseSimPercentile('Прогноз'!D30,0.5)),_xll.VoseSimPercentile('Прогноз'!D30,0.5),NA())</f>
        <v>63.273680684719999</v>
      </c>
      <c r="E124" s="69" cm="1">
        <f t="array" aca="1" ref="E124" ca="1">IF(ISNUMBER(_xll.VoseSimPercentile('Прогноз'!D30,0.9)),_xll.VoseSimPercentile('Прогноз'!D30,0.9),NA())</f>
        <v>97.706093058296972</v>
      </c>
      <c r="F124" s="69" cm="1">
        <f t="array" aca="1" ref="F124" ca="1">IF(ISNUMBER(_xll.VoseSimMean('Прогноз'!D30)),_xll.VoseSimMean('Прогноз'!D30),NA())</f>
        <v>67.812330519563744</v>
      </c>
    </row>
    <row r="125" spans="2:6" hidden="1" outlineLevel="1" x14ac:dyDescent="0.45">
      <c r="B125" s="70">
        <f>'Прогноз'!C31</f>
        <v>47027</v>
      </c>
      <c r="C125" s="69" cm="1">
        <f t="array" aca="1" ref="C125" ca="1">IF(ISNUMBER(_xll.VoseSimPercentile('Прогноз'!D31,0.1)),_xll.VoseSimPercentile('Прогноз'!D31,0.1),NA())</f>
        <v>42.871740842544256</v>
      </c>
      <c r="D125" s="69" cm="1">
        <f t="array" aca="1" ref="D125" ca="1">IF(ISNUMBER(_xll.VoseSimPercentile('Прогноз'!D31,0.5)),_xll.VoseSimPercentile('Прогноз'!D31,0.5),NA())</f>
        <v>63.110066589570714</v>
      </c>
      <c r="E125" s="69" cm="1">
        <f t="array" aca="1" ref="E125" ca="1">IF(ISNUMBER(_xll.VoseSimPercentile('Прогноз'!D31,0.9)),_xll.VoseSimPercentile('Прогноз'!D31,0.9),NA())</f>
        <v>98.439042810691632</v>
      </c>
      <c r="F125" s="69" cm="1">
        <f t="array" aca="1" ref="F125" ca="1">IF(ISNUMBER(_xll.VoseSimMean('Прогноз'!D31)),_xll.VoseSimMean('Прогноз'!D31),NA())</f>
        <v>67.94419222835198</v>
      </c>
    </row>
    <row r="126" spans="2:6" hidden="1" outlineLevel="1" x14ac:dyDescent="0.45">
      <c r="B126" s="70">
        <f>'Прогноз'!C32</f>
        <v>47058</v>
      </c>
      <c r="C126" s="69" cm="1">
        <f t="array" aca="1" ref="C126" ca="1">IF(ISNUMBER(_xll.VoseSimPercentile('Прогноз'!D32,0.1)),_xll.VoseSimPercentile('Прогноз'!D32,0.1),NA())</f>
        <v>42.514092566973311</v>
      </c>
      <c r="D126" s="69" cm="1">
        <f t="array" aca="1" ref="D126" ca="1">IF(ISNUMBER(_xll.VoseSimPercentile('Прогноз'!D32,0.5)),_xll.VoseSimPercentile('Прогноз'!D32,0.5),NA())</f>
        <v>63.065189218287529</v>
      </c>
      <c r="E126" s="69" cm="1">
        <f t="array" aca="1" ref="E126" ca="1">IF(ISNUMBER(_xll.VoseSimPercentile('Прогноз'!D32,0.9)),_xll.VoseSimPercentile('Прогноз'!D32,0.9),NA())</f>
        <v>99.658730666378489</v>
      </c>
      <c r="F126" s="69" cm="1">
        <f t="array" aca="1" ref="F126" ca="1">IF(ISNUMBER(_xll.VoseSimMean('Прогноз'!D32)),_xll.VoseSimMean('Прогноз'!D32),NA())</f>
        <v>68.153664706474501</v>
      </c>
    </row>
    <row r="127" spans="2:6" hidden="1" outlineLevel="1" x14ac:dyDescent="0.45">
      <c r="B127" s="70">
        <f>'Прогноз'!C33</f>
        <v>47088</v>
      </c>
      <c r="C127" s="69" cm="1">
        <f t="array" aca="1" ref="C127" ca="1">IF(ISNUMBER(_xll.VoseSimPercentile('Прогноз'!D33,0.1)),_xll.VoseSimPercentile('Прогноз'!D33,0.1),NA())</f>
        <v>42.365440809665202</v>
      </c>
      <c r="D127" s="69" cm="1">
        <f t="array" aca="1" ref="D127" ca="1">IF(ISNUMBER(_xll.VoseSimPercentile('Прогноз'!D33,0.5)),_xll.VoseSimPercentile('Прогноз'!D33,0.5),NA())</f>
        <v>63.029876904118893</v>
      </c>
      <c r="E127" s="69" cm="1">
        <f t="array" aca="1" ref="E127" ca="1">IF(ISNUMBER(_xll.VoseSimPercentile('Прогноз'!D33,0.9)),_xll.VoseSimPercentile('Прогноз'!D33,0.9),NA())</f>
        <v>100.57648297291428</v>
      </c>
      <c r="F127" s="69" cm="1">
        <f t="array" aca="1" ref="F127" ca="1">IF(ISNUMBER(_xll.VoseSimMean('Прогноз'!D33)),_xll.VoseSimMean('Прогноз'!D33),NA())</f>
        <v>68.30718407945038</v>
      </c>
    </row>
    <row r="128" spans="2:6" hidden="1" outlineLevel="1" x14ac:dyDescent="0.45">
      <c r="B128" s="70">
        <f>'Прогноз'!C34</f>
        <v>47119</v>
      </c>
      <c r="C128" s="69" cm="1">
        <f t="array" aca="1" ref="C128" ca="1">IF(ISNUMBER(_xll.VoseSimPercentile('Прогноз'!D34,0.1)),_xll.VoseSimPercentile('Прогноз'!D34,0.1),NA())</f>
        <v>42.156835653837362</v>
      </c>
      <c r="D128" s="69" cm="1">
        <f t="array" aca="1" ref="D128" ca="1">IF(ISNUMBER(_xll.VoseSimPercentile('Прогноз'!D34,0.5)),_xll.VoseSimPercentile('Прогноз'!D34,0.5),NA())</f>
        <v>63.17896085869188</v>
      </c>
      <c r="E128" s="69" cm="1">
        <f t="array" aca="1" ref="E128" ca="1">IF(ISNUMBER(_xll.VoseSimPercentile('Прогноз'!D34,0.9)),_xll.VoseSimPercentile('Прогноз'!D34,0.9),NA())</f>
        <v>101.35664036956311</v>
      </c>
      <c r="F128" s="69" cm="1">
        <f t="array" aca="1" ref="F128" ca="1">IF(ISNUMBER(_xll.VoseSimMean('Прогноз'!D34)),_xll.VoseSimMean('Прогноз'!D34),NA())</f>
        <v>68.566324769200463</v>
      </c>
    </row>
    <row r="129" spans="2:6" hidden="1" outlineLevel="1" x14ac:dyDescent="0.45">
      <c r="B129" s="70">
        <f>'Прогноз'!C35</f>
        <v>47150</v>
      </c>
      <c r="C129" s="69" cm="1">
        <f t="array" aca="1" ref="C129" ca="1">IF(ISNUMBER(_xll.VoseSimPercentile('Прогноз'!D35,0.1)),_xll.VoseSimPercentile('Прогноз'!D35,0.1),NA())</f>
        <v>42.025757431282763</v>
      </c>
      <c r="D129" s="69" cm="1">
        <f t="array" aca="1" ref="D129" ca="1">IF(ISNUMBER(_xll.VoseSimPercentile('Прогноз'!D35,0.5)),_xll.VoseSimPercentile('Прогноз'!D35,0.5),NA())</f>
        <v>62.903182008994371</v>
      </c>
      <c r="E129" s="69" cm="1">
        <f t="array" aca="1" ref="E129" ca="1">IF(ISNUMBER(_xll.VoseSimPercentile('Прогноз'!D35,0.9)),_xll.VoseSimPercentile('Прогноз'!D35,0.9),NA())</f>
        <v>101.96763417552467</v>
      </c>
      <c r="F129" s="69" cm="1">
        <f t="array" aca="1" ref="F129" ca="1">IF(ISNUMBER(_xll.VoseSimMean('Прогноз'!D35)),_xll.VoseSimMean('Прогноз'!D35),NA())</f>
        <v>68.748662119459738</v>
      </c>
    </row>
    <row r="130" spans="2:6" hidden="1" outlineLevel="1" x14ac:dyDescent="0.45">
      <c r="B130" s="70">
        <f>'Прогноз'!C36</f>
        <v>47178</v>
      </c>
      <c r="C130" s="69" cm="1">
        <f t="array" aca="1" ref="C130" ca="1">IF(ISNUMBER(_xll.VoseSimPercentile('Прогноз'!D36,0.1)),_xll.VoseSimPercentile('Прогноз'!D36,0.1),NA())</f>
        <v>41.769781414547737</v>
      </c>
      <c r="D130" s="69" cm="1">
        <f t="array" aca="1" ref="D130" ca="1">IF(ISNUMBER(_xll.VoseSimPercentile('Прогноз'!D36,0.5)),_xll.VoseSimPercentile('Прогноз'!D36,0.5),NA())</f>
        <v>63.087972679701537</v>
      </c>
      <c r="E130" s="69" cm="1">
        <f t="array" aca="1" ref="E130" ca="1">IF(ISNUMBER(_xll.VoseSimPercentile('Прогноз'!D36,0.9)),_xll.VoseSimPercentile('Прогноз'!D36,0.9),NA())</f>
        <v>103.75786266766747</v>
      </c>
      <c r="F130" s="69" cm="1">
        <f t="array" aca="1" ref="F130" ca="1">IF(ISNUMBER(_xll.VoseSimMean('Прогноз'!D36)),_xll.VoseSimMean('Прогноз'!D36),NA())</f>
        <v>68.957663003854108</v>
      </c>
    </row>
    <row r="131" spans="2:6" hidden="1" outlineLevel="1" x14ac:dyDescent="0.45">
      <c r="B131" s="70">
        <f>'Прогноз'!C37</f>
        <v>47209</v>
      </c>
      <c r="C131" s="69" cm="1">
        <f t="array" aca="1" ref="C131" ca="1">IF(ISNUMBER(_xll.VoseSimPercentile('Прогноз'!D37,0.1)),_xll.VoseSimPercentile('Прогноз'!D37,0.1),NA())</f>
        <v>41.347165780627023</v>
      </c>
      <c r="D131" s="69" cm="1">
        <f t="array" aca="1" ref="D131" ca="1">IF(ISNUMBER(_xll.VoseSimPercentile('Прогноз'!D37,0.5)),_xll.VoseSimPercentile('Прогноз'!D37,0.5),NA())</f>
        <v>62.944827187795653</v>
      </c>
      <c r="E131" s="69" cm="1">
        <f t="array" aca="1" ref="E131" ca="1">IF(ISNUMBER(_xll.VoseSimPercentile('Прогноз'!D37,0.9)),_xll.VoseSimPercentile('Прогноз'!D37,0.9),NA())</f>
        <v>104.61284183542251</v>
      </c>
      <c r="F131" s="69" cm="1">
        <f t="array" aca="1" ref="F131" ca="1">IF(ISNUMBER(_xll.VoseSimMean('Прогноз'!D37)),_xll.VoseSimMean('Прогноз'!D37),NA())</f>
        <v>69.095811612964226</v>
      </c>
    </row>
    <row r="132" spans="2:6" hidden="1" outlineLevel="1" x14ac:dyDescent="0.45">
      <c r="B132" s="70">
        <f>'Прогноз'!C38</f>
        <v>47239</v>
      </c>
      <c r="C132" s="69" cm="1">
        <f t="array" aca="1" ref="C132" ca="1">IF(ISNUMBER(_xll.VoseSimPercentile('Прогноз'!D38,0.1)),_xll.VoseSimPercentile('Прогноз'!D38,0.1),NA())</f>
        <v>41.257953958784263</v>
      </c>
      <c r="D132" s="69" cm="1">
        <f t="array" aca="1" ref="D132" ca="1">IF(ISNUMBER(_xll.VoseSimPercentile('Прогноз'!D38,0.5)),_xll.VoseSimPercentile('Прогноз'!D38,0.5),NA())</f>
        <v>62.939803342406321</v>
      </c>
      <c r="E132" s="69" cm="1">
        <f t="array" aca="1" ref="E132" ca="1">IF(ISNUMBER(_xll.VoseSimPercentile('Прогноз'!D38,0.9)),_xll.VoseSimPercentile('Прогноз'!D38,0.9),NA())</f>
        <v>105.16267189079041</v>
      </c>
      <c r="F132" s="69" cm="1">
        <f t="array" aca="1" ref="F132" ca="1">IF(ISNUMBER(_xll.VoseSimMean('Прогноз'!D38)),_xll.VoseSimMean('Прогноз'!D38),NA())</f>
        <v>69.263291210516613</v>
      </c>
    </row>
    <row r="133" spans="2:6" hidden="1" outlineLevel="1" x14ac:dyDescent="0.45">
      <c r="B133" s="70">
        <f>'Прогноз'!C39</f>
        <v>47270</v>
      </c>
      <c r="C133" s="69" cm="1">
        <f t="array" aca="1" ref="C133" ca="1">IF(ISNUMBER(_xll.VoseSimPercentile('Прогноз'!D39,0.1)),_xll.VoseSimPercentile('Прогноз'!D39,0.1),NA())</f>
        <v>40.916370668880418</v>
      </c>
      <c r="D133" s="69" cm="1">
        <f t="array" aca="1" ref="D133" ca="1">IF(ISNUMBER(_xll.VoseSimPercentile('Прогноз'!D39,0.5)),_xll.VoseSimPercentile('Прогноз'!D39,0.5),NA())</f>
        <v>62.929950292528758</v>
      </c>
      <c r="E133" s="69" cm="1">
        <f t="array" aca="1" ref="E133" ca="1">IF(ISNUMBER(_xll.VoseSimPercentile('Прогноз'!D39,0.9)),_xll.VoseSimPercentile('Прогноз'!D39,0.9),NA())</f>
        <v>105.64933111926429</v>
      </c>
      <c r="F133" s="69" cm="1">
        <f t="array" aca="1" ref="F133" ca="1">IF(ISNUMBER(_xll.VoseSimMean('Прогноз'!D39)),_xll.VoseSimMean('Прогноз'!D39),NA())</f>
        <v>69.483752011639226</v>
      </c>
    </row>
    <row r="134" spans="2:6" hidden="1" outlineLevel="1" x14ac:dyDescent="0.45">
      <c r="B134" s="70">
        <f>'Прогноз'!C40</f>
        <v>47300</v>
      </c>
      <c r="C134" s="69" cm="1">
        <f t="array" aca="1" ref="C134" ca="1">IF(ISNUMBER(_xll.VoseSimPercentile('Прогноз'!D40,0.1)),_xll.VoseSimPercentile('Прогноз'!D40,0.1),NA())</f>
        <v>40.685667399312003</v>
      </c>
      <c r="D134" s="69" cm="1">
        <f t="array" aca="1" ref="D134" ca="1">IF(ISNUMBER(_xll.VoseSimPercentile('Прогноз'!D40,0.5)),_xll.VoseSimPercentile('Прогноз'!D40,0.5),NA())</f>
        <v>62.859927723636943</v>
      </c>
      <c r="E134" s="69" cm="1">
        <f t="array" aca="1" ref="E134" ca="1">IF(ISNUMBER(_xll.VoseSimPercentile('Прогноз'!D40,0.9)),_xll.VoseSimPercentile('Прогноз'!D40,0.9),NA())</f>
        <v>106.59942893394215</v>
      </c>
      <c r="F134" s="69" cm="1">
        <f t="array" aca="1" ref="F134" ca="1">IF(ISNUMBER(_xll.VoseSimMean('Прогноз'!D40)),_xll.VoseSimMean('Прогноз'!D40),NA())</f>
        <v>69.714388717399217</v>
      </c>
    </row>
    <row r="135" spans="2:6" hidden="1" outlineLevel="1" x14ac:dyDescent="0.45">
      <c r="B135" s="70">
        <f>'Прогноз'!C41</f>
        <v>47331</v>
      </c>
      <c r="C135" s="69" cm="1">
        <f t="array" aca="1" ref="C135" ca="1">IF(ISNUMBER(_xll.VoseSimPercentile('Прогноз'!D41,0.1)),_xll.VoseSimPercentile('Прогноз'!D41,0.1),NA())</f>
        <v>40.472617402558569</v>
      </c>
      <c r="D135" s="69" cm="1">
        <f t="array" aca="1" ref="D135" ca="1">IF(ISNUMBER(_xll.VoseSimPercentile('Прогноз'!D41,0.5)),_xll.VoseSimPercentile('Прогноз'!D41,0.5),NA())</f>
        <v>62.861072781331004</v>
      </c>
      <c r="E135" s="69" cm="1">
        <f t="array" aca="1" ref="E135" ca="1">IF(ISNUMBER(_xll.VoseSimPercentile('Прогноз'!D41,0.9)),_xll.VoseSimPercentile('Прогноз'!D41,0.9),NA())</f>
        <v>107.56147032863639</v>
      </c>
      <c r="F135" s="69" cm="1">
        <f t="array" aca="1" ref="F135" ca="1">IF(ISNUMBER(_xll.VoseSimMean('Прогноз'!D41)),_xll.VoseSimMean('Прогноз'!D41),NA())</f>
        <v>69.928949039882951</v>
      </c>
    </row>
    <row r="136" spans="2:6" hidden="1" outlineLevel="1" x14ac:dyDescent="0.45">
      <c r="B136" s="70">
        <f>'Прогноз'!C42</f>
        <v>47362</v>
      </c>
      <c r="C136" s="69" cm="1">
        <f t="array" aca="1" ref="C136" ca="1">IF(ISNUMBER(_xll.VoseSimPercentile('Прогноз'!D42,0.1)),_xll.VoseSimPercentile('Прогноз'!D42,0.1),NA())</f>
        <v>40.131785534168039</v>
      </c>
      <c r="D136" s="69" cm="1">
        <f t="array" aca="1" ref="D136" ca="1">IF(ISNUMBER(_xll.VoseSimPercentile('Прогноз'!D42,0.5)),_xll.VoseSimPercentile('Прогноз'!D42,0.5),NA())</f>
        <v>62.757861984069081</v>
      </c>
      <c r="E136" s="69" cm="1">
        <f t="array" aca="1" ref="E136" ca="1">IF(ISNUMBER(_xll.VoseSimPercentile('Прогноз'!D42,0.9)),_xll.VoseSimPercentile('Прогноз'!D42,0.9),NA())</f>
        <v>108.60300121844475</v>
      </c>
      <c r="F136" s="69" cm="1">
        <f t="array" aca="1" ref="F136" ca="1">IF(ISNUMBER(_xll.VoseSimMean('Прогноз'!D42)),_xll.VoseSimMean('Прогноз'!D42),NA())</f>
        <v>70.146625934664485</v>
      </c>
    </row>
    <row r="137" spans="2:6" hidden="1" outlineLevel="1" x14ac:dyDescent="0.45">
      <c r="B137" s="70">
        <f>'Прогноз'!C43</f>
        <v>47392</v>
      </c>
      <c r="C137" s="69" cm="1">
        <f t="array" aca="1" ref="C137" ca="1">IF(ISNUMBER(_xll.VoseSimPercentile('Прогноз'!D43,0.1)),_xll.VoseSimPercentile('Прогноз'!D43,0.1),NA())</f>
        <v>39.982158258617176</v>
      </c>
      <c r="D137" s="69" cm="1">
        <f t="array" aca="1" ref="D137" ca="1">IF(ISNUMBER(_xll.VoseSimPercentile('Прогноз'!D43,0.5)),_xll.VoseSimPercentile('Прогноз'!D43,0.5),NA())</f>
        <v>62.712942489147935</v>
      </c>
      <c r="E137" s="69" cm="1">
        <f t="array" aca="1" ref="E137" ca="1">IF(ISNUMBER(_xll.VoseSimPercentile('Прогноз'!D43,0.9)),_xll.VoseSimPercentile('Прогноз'!D43,0.9),NA())</f>
        <v>109.11631553967212</v>
      </c>
      <c r="F137" s="69" cm="1">
        <f t="array" aca="1" ref="F137" ca="1">IF(ISNUMBER(_xll.VoseSimMean('Прогноз'!D43)),_xll.VoseSimMean('Прогноз'!D43),NA())</f>
        <v>70.451498374069985</v>
      </c>
    </row>
    <row r="138" spans="2:6" hidden="1" outlineLevel="1" x14ac:dyDescent="0.45">
      <c r="B138" s="70">
        <f>'Прогноз'!C44</f>
        <v>47423</v>
      </c>
      <c r="C138" s="69" cm="1">
        <f t="array" aca="1" ref="C138" ca="1">IF(ISNUMBER(_xll.VoseSimPercentile('Прогноз'!D44,0.1)),_xll.VoseSimPercentile('Прогноз'!D44,0.1),NA())</f>
        <v>40.028591537002676</v>
      </c>
      <c r="D138" s="69" cm="1">
        <f t="array" aca="1" ref="D138" ca="1">IF(ISNUMBER(_xll.VoseSimPercentile('Прогноз'!D44,0.5)),_xll.VoseSimPercentile('Прогноз'!D44,0.5),NA())</f>
        <v>62.810902624920004</v>
      </c>
      <c r="E138" s="69" cm="1">
        <f t="array" aca="1" ref="E138" ca="1">IF(ISNUMBER(_xll.VoseSimPercentile('Прогноз'!D44,0.9)),_xll.VoseSimPercentile('Прогноз'!D44,0.9),NA())</f>
        <v>110.55603720694032</v>
      </c>
      <c r="F138" s="69" cm="1">
        <f t="array" aca="1" ref="F138" ca="1">IF(ISNUMBER(_xll.VoseSimMean('Прогноз'!D44)),_xll.VoseSimMean('Прогноз'!D44),NA())</f>
        <v>70.712215434539004</v>
      </c>
    </row>
    <row r="139" spans="2:6" hidden="1" outlineLevel="1" x14ac:dyDescent="0.45">
      <c r="B139" s="70">
        <f>'Прогноз'!C45</f>
        <v>47453</v>
      </c>
      <c r="C139" s="69" cm="1">
        <f t="array" aca="1" ref="C139" ca="1">IF(ISNUMBER(_xll.VoseSimPercentile('Прогноз'!D45,0.1)),_xll.VoseSimPercentile('Прогноз'!D45,0.1),NA())</f>
        <v>39.832481464644964</v>
      </c>
      <c r="D139" s="69" cm="1">
        <f t="array" aca="1" ref="D139" ca="1">IF(ISNUMBER(_xll.VoseSimPercentile('Прогноз'!D45,0.5)),_xll.VoseSimPercentile('Прогноз'!D45,0.5),NA())</f>
        <v>62.639260506555189</v>
      </c>
      <c r="E139" s="69" cm="1">
        <f t="array" aca="1" ref="E139" ca="1">IF(ISNUMBER(_xll.VoseSimPercentile('Прогноз'!D45,0.9)),_xll.VoseSimPercentile('Прогноз'!D45,0.9),NA())</f>
        <v>110.59408742279579</v>
      </c>
      <c r="F139" s="69" cm="1">
        <f t="array" aca="1" ref="F139" ca="1">IF(ISNUMBER(_xll.VoseSimMean('Прогноз'!D45)),_xll.VoseSimMean('Прогноз'!D45),NA())</f>
        <v>70.8062032078209</v>
      </c>
    </row>
    <row r="140" spans="2:6" hidden="1" outlineLevel="1" x14ac:dyDescent="0.45">
      <c r="B140" s="70">
        <f>'Прогноз'!C46</f>
        <v>47484</v>
      </c>
      <c r="C140" s="69" cm="1">
        <f t="array" aca="1" ref="C140" ca="1">IF(ISNUMBER(_xll.VoseSimPercentile('Прогноз'!D46,0.1)),_xll.VoseSimPercentile('Прогноз'!D46,0.1),NA())</f>
        <v>39.340004117171247</v>
      </c>
      <c r="D140" s="69" cm="1">
        <f t="array" aca="1" ref="D140" ca="1">IF(ISNUMBER(_xll.VoseSimPercentile('Прогноз'!D46,0.5)),_xll.VoseSimPercentile('Прогноз'!D46,0.5),NA())</f>
        <v>62.632974495198638</v>
      </c>
      <c r="E140" s="69" cm="1">
        <f t="array" aca="1" ref="E140" ca="1">IF(ISNUMBER(_xll.VoseSimPercentile('Прогноз'!D46,0.9)),_xll.VoseSimPercentile('Прогноз'!D46,0.9),NA())</f>
        <v>112.06771345797442</v>
      </c>
      <c r="F140" s="69" cm="1">
        <f t="array" aca="1" ref="F140" ca="1">IF(ISNUMBER(_xll.VoseSimMean('Прогноз'!D46)),_xll.VoseSimMean('Прогноз'!D46),NA())</f>
        <v>70.985341514191532</v>
      </c>
    </row>
    <row r="141" spans="2:6" hidden="1" outlineLevel="1" x14ac:dyDescent="0.45">
      <c r="B141" s="70">
        <f>'Прогноз'!C47</f>
        <v>47515</v>
      </c>
      <c r="C141" s="69" cm="1">
        <f t="array" aca="1" ref="C141" ca="1">IF(ISNUMBER(_xll.VoseSimPercentile('Прогноз'!D47,0.1)),_xll.VoseSimPercentile('Прогноз'!D47,0.1),NA())</f>
        <v>39.300061568189221</v>
      </c>
      <c r="D141" s="69" cm="1">
        <f t="array" aca="1" ref="D141" ca="1">IF(ISNUMBER(_xll.VoseSimPercentile('Прогноз'!D47,0.5)),_xll.VoseSimPercentile('Прогноз'!D47,0.5),NA())</f>
        <v>62.387212186870855</v>
      </c>
      <c r="E141" s="69" cm="1">
        <f t="array" aca="1" ref="E141" ca="1">IF(ISNUMBER(_xll.VoseSimPercentile('Прогноз'!D47,0.9)),_xll.VoseSimPercentile('Прогноз'!D47,0.9),NA())</f>
        <v>112.77172205451394</v>
      </c>
      <c r="F141" s="69" cm="1">
        <f t="array" aca="1" ref="F141" ca="1">IF(ISNUMBER(_xll.VoseSimMean('Прогноз'!D47)),_xll.VoseSimMean('Прогноз'!D47),NA())</f>
        <v>71.227257517476247</v>
      </c>
    </row>
    <row r="142" spans="2:6" hidden="1" outlineLevel="1" x14ac:dyDescent="0.45">
      <c r="B142" s="70">
        <f>'Прогноз'!C48</f>
        <v>47543</v>
      </c>
      <c r="C142" s="69" cm="1">
        <f t="array" aca="1" ref="C142" ca="1">IF(ISNUMBER(_xll.VoseSimPercentile('Прогноз'!D48,0.1)),_xll.VoseSimPercentile('Прогноз'!D48,0.1),NA())</f>
        <v>39.091281421494195</v>
      </c>
      <c r="D142" s="69" cm="1">
        <f t="array" aca="1" ref="D142" ca="1">IF(ISNUMBER(_xll.VoseSimPercentile('Прогноз'!D48,0.5)),_xll.VoseSimPercentile('Прогноз'!D48,0.5),NA())</f>
        <v>62.372155469866243</v>
      </c>
      <c r="E142" s="69" cm="1">
        <f t="array" aca="1" ref="E142" ca="1">IF(ISNUMBER(_xll.VoseSimPercentile('Прогноз'!D48,0.9)),_xll.VoseSimPercentile('Прогноз'!D48,0.9),NA())</f>
        <v>113.45805962002754</v>
      </c>
      <c r="F142" s="69" cm="1">
        <f t="array" aca="1" ref="F142" ca="1">IF(ISNUMBER(_xll.VoseSimMean('Прогноз'!D48)),_xll.VoseSimMean('Прогноз'!D48),NA())</f>
        <v>71.537783280307949</v>
      </c>
    </row>
    <row r="143" spans="2:6" hidden="1" outlineLevel="1" x14ac:dyDescent="0.45">
      <c r="B143" s="70">
        <f>'Прогноз'!C49</f>
        <v>47574</v>
      </c>
      <c r="C143" s="69" cm="1">
        <f t="array" aca="1" ref="C143" ca="1">IF(ISNUMBER(_xll.VoseSimPercentile('Прогноз'!D49,0.1)),_xll.VoseSimPercentile('Прогноз'!D49,0.1),NA())</f>
        <v>38.88063956554921</v>
      </c>
      <c r="D143" s="69" cm="1">
        <f t="array" aca="1" ref="D143" ca="1">IF(ISNUMBER(_xll.VoseSimPercentile('Прогноз'!D49,0.5)),_xll.VoseSimPercentile('Прогноз'!D49,0.5),NA())</f>
        <v>62.723942402093577</v>
      </c>
      <c r="E143" s="69" cm="1">
        <f t="array" aca="1" ref="E143" ca="1">IF(ISNUMBER(_xll.VoseSimPercentile('Прогноз'!D49,0.9)),_xll.VoseSimPercentile('Прогноз'!D49,0.9),NA())</f>
        <v>114.35768960346465</v>
      </c>
      <c r="F143" s="69" cm="1">
        <f t="array" aca="1" ref="F143" ca="1">IF(ISNUMBER(_xll.VoseSimMean('Прогноз'!D49)),_xll.VoseSimMean('Прогноз'!D49),NA())</f>
        <v>71.846645649503373</v>
      </c>
    </row>
    <row r="144" spans="2:6" hidden="1" outlineLevel="1" x14ac:dyDescent="0.45">
      <c r="B144" s="70">
        <f>'Прогноз'!C50</f>
        <v>47604</v>
      </c>
      <c r="C144" s="69" cm="1">
        <f t="array" aca="1" ref="C144" ca="1">IF(ISNUMBER(_xll.VoseSimPercentile('Прогноз'!D50,0.1)),_xll.VoseSimPercentile('Прогноз'!D50,0.1),NA())</f>
        <v>38.502079669690076</v>
      </c>
      <c r="D144" s="69" cm="1">
        <f t="array" aca="1" ref="D144" ca="1">IF(ISNUMBER(_xll.VoseSimPercentile('Прогноз'!D50,0.5)),_xll.VoseSimPercentile('Прогноз'!D50,0.5),NA())</f>
        <v>62.666445803984253</v>
      </c>
      <c r="E144" s="69" cm="1">
        <f t="array" aca="1" ref="E144" ca="1">IF(ISNUMBER(_xll.VoseSimPercentile('Прогноз'!D50,0.9)),_xll.VoseSimPercentile('Прогноз'!D50,0.9),NA())</f>
        <v>115.4688282641644</v>
      </c>
      <c r="F144" s="69" cm="1">
        <f t="array" aca="1" ref="F144" ca="1">IF(ISNUMBER(_xll.VoseSimMean('Прогноз'!D50)),_xll.VoseSimMean('Прогноз'!D50),NA())</f>
        <v>72.124716188234601</v>
      </c>
    </row>
    <row r="145" spans="2:6" hidden="1" outlineLevel="1" x14ac:dyDescent="0.45">
      <c r="B145" s="70">
        <f>'Прогноз'!C51</f>
        <v>47635</v>
      </c>
      <c r="C145" s="69" cm="1">
        <f t="array" aca="1" ref="C145" ca="1">IF(ISNUMBER(_xll.VoseSimPercentile('Прогноз'!D51,0.1)),_xll.VoseSimPercentile('Прогноз'!D51,0.1),NA())</f>
        <v>38.371174699522847</v>
      </c>
      <c r="D145" s="69" cm="1">
        <f t="array" aca="1" ref="D145" ca="1">IF(ISNUMBER(_xll.VoseSimPercentile('Прогноз'!D51,0.5)),_xll.VoseSimPercentile('Прогноз'!D51,0.5),NA())</f>
        <v>62.74256351630445</v>
      </c>
      <c r="E145" s="69" cm="1">
        <f t="array" aca="1" ref="E145" ca="1">IF(ISNUMBER(_xll.VoseSimPercentile('Прогноз'!D51,0.9)),_xll.VoseSimPercentile('Прогноз'!D51,0.9),NA())</f>
        <v>116.50381304612894</v>
      </c>
      <c r="F145" s="69" cm="1">
        <f t="array" aca="1" ref="F145" ca="1">IF(ISNUMBER(_xll.VoseSimMean('Прогноз'!D51)),_xll.VoseSimMean('Прогноз'!D51),NA())</f>
        <v>72.432914689081713</v>
      </c>
    </row>
    <row r="146" spans="2:6" hidden="1" outlineLevel="1" x14ac:dyDescent="0.45">
      <c r="B146" s="70">
        <f>'Прогноз'!C52</f>
        <v>47665</v>
      </c>
      <c r="C146" s="69" cm="1">
        <f t="array" aca="1" ref="C146" ca="1">IF(ISNUMBER(_xll.VoseSimPercentile('Прогноз'!D52,0.1)),_xll.VoseSimPercentile('Прогноз'!D52,0.1),NA())</f>
        <v>38.442626896464454</v>
      </c>
      <c r="D146" s="69" cm="1">
        <f t="array" aca="1" ref="D146" ca="1">IF(ISNUMBER(_xll.VoseSimPercentile('Прогноз'!D52,0.5)),_xll.VoseSimPercentile('Прогноз'!D52,0.5),NA())</f>
        <v>62.757225687572905</v>
      </c>
      <c r="E146" s="69" cm="1">
        <f t="array" aca="1" ref="E146" ca="1">IF(ISNUMBER(_xll.VoseSimPercentile('Прогноз'!D52,0.9)),_xll.VoseSimPercentile('Прогноз'!D52,0.9),NA())</f>
        <v>117.64585503155614</v>
      </c>
      <c r="F146" s="69" cm="1">
        <f t="array" aca="1" ref="F146" ca="1">IF(ISNUMBER(_xll.VoseSimMean('Прогноз'!D52)),_xll.VoseSimMean('Прогноз'!D52),NA())</f>
        <v>72.721418162967666</v>
      </c>
    </row>
    <row r="147" spans="2:6" hidden="1" outlineLevel="1" x14ac:dyDescent="0.45">
      <c r="B147" s="70">
        <f>'Прогноз'!C53</f>
        <v>47696</v>
      </c>
      <c r="C147" s="69" cm="1">
        <f t="array" aca="1" ref="C147" ca="1">IF(ISNUMBER(_xll.VoseSimPercentile('Прогноз'!D53,0.1)),_xll.VoseSimPercentile('Прогноз'!D53,0.1),NA())</f>
        <v>38.091584427661772</v>
      </c>
      <c r="D147" s="69" cm="1">
        <f t="array" aca="1" ref="D147" ca="1">IF(ISNUMBER(_xll.VoseSimPercentile('Прогноз'!D53,0.5)),_xll.VoseSimPercentile('Прогноз'!D53,0.5),NA())</f>
        <v>62.45619281172916</v>
      </c>
      <c r="E147" s="69" cm="1">
        <f t="array" aca="1" ref="E147" ca="1">IF(ISNUMBER(_xll.VoseSimPercentile('Прогноз'!D53,0.9)),_xll.VoseSimPercentile('Прогноз'!D53,0.9),NA())</f>
        <v>118.27086591341445</v>
      </c>
      <c r="F147" s="69" cm="1">
        <f t="array" aca="1" ref="F147" ca="1">IF(ISNUMBER(_xll.VoseSimMean('Прогноз'!D53)),_xll.VoseSimMean('Прогноз'!D53),NA())</f>
        <v>72.941496305673937</v>
      </c>
    </row>
    <row r="148" spans="2:6" hidden="1" outlineLevel="1" x14ac:dyDescent="0.45">
      <c r="B148" s="70">
        <f>'Прогноз'!C54</f>
        <v>47727</v>
      </c>
      <c r="C148" s="69" cm="1">
        <f t="array" aca="1" ref="C148" ca="1">IF(ISNUMBER(_xll.VoseSimPercentile('Прогноз'!D54,0.1)),_xll.VoseSimPercentile('Прогноз'!D54,0.1),NA())</f>
        <v>38.078591465813268</v>
      </c>
      <c r="D148" s="69" cm="1">
        <f t="array" aca="1" ref="D148" ca="1">IF(ISNUMBER(_xll.VoseSimPercentile('Прогноз'!D54,0.5)),_xll.VoseSimPercentile('Прогноз'!D54,0.5),NA())</f>
        <v>62.724231292013926</v>
      </c>
      <c r="E148" s="69" cm="1">
        <f t="array" aca="1" ref="E148" ca="1">IF(ISNUMBER(_xll.VoseSimPercentile('Прогноз'!D54,0.9)),_xll.VoseSimPercentile('Прогноз'!D54,0.9),NA())</f>
        <v>119.0541161288415</v>
      </c>
      <c r="F148" s="69" cm="1">
        <f t="array" aca="1" ref="F148" ca="1">IF(ISNUMBER(_xll.VoseSimMean('Прогноз'!D54)),_xll.VoseSimMean('Прогноз'!D54),NA())</f>
        <v>73.228433408817494</v>
      </c>
    </row>
    <row r="149" spans="2:6" hidden="1" outlineLevel="1" x14ac:dyDescent="0.45">
      <c r="B149" s="70">
        <f>'Прогноз'!C55</f>
        <v>47757</v>
      </c>
      <c r="C149" s="69" cm="1">
        <f t="array" aca="1" ref="C149" ca="1">IF(ISNUMBER(_xll.VoseSimPercentile('Прогноз'!D55,0.1)),_xll.VoseSimPercentile('Прогноз'!D55,0.1),NA())</f>
        <v>37.83213971946553</v>
      </c>
      <c r="D149" s="69" cm="1">
        <f t="array" aca="1" ref="D149" ca="1">IF(ISNUMBER(_xll.VoseSimPercentile('Прогноз'!D55,0.5)),_xll.VoseSimPercentile('Прогноз'!D55,0.5),NA())</f>
        <v>62.433044505836214</v>
      </c>
      <c r="E149" s="69" cm="1">
        <f t="array" aca="1" ref="E149" ca="1">IF(ISNUMBER(_xll.VoseSimPercentile('Прогноз'!D55,0.9)),_xll.VoseSimPercentile('Прогноз'!D55,0.9),NA())</f>
        <v>119.80288730598988</v>
      </c>
      <c r="F149" s="69" cm="1">
        <f t="array" aca="1" ref="F149" ca="1">IF(ISNUMBER(_xll.VoseSimMean('Прогноз'!D55)),_xll.VoseSimMean('Прогноз'!D55),NA())</f>
        <v>73.427702711299659</v>
      </c>
    </row>
    <row r="150" spans="2:6" hidden="1" outlineLevel="1" x14ac:dyDescent="0.45">
      <c r="B150" s="70">
        <f>'Прогноз'!C56</f>
        <v>47788</v>
      </c>
      <c r="C150" s="69" cm="1">
        <f t="array" aca="1" ref="C150" ca="1">IF(ISNUMBER(_xll.VoseSimPercentile('Прогноз'!D56,0.1)),_xll.VoseSimPercentile('Прогноз'!D56,0.1),NA())</f>
        <v>37.733036129505422</v>
      </c>
      <c r="D150" s="69" cm="1">
        <f t="array" aca="1" ref="D150" ca="1">IF(ISNUMBER(_xll.VoseSimPercentile('Прогноз'!D56,0.5)),_xll.VoseSimPercentile('Прогноз'!D56,0.5),NA())</f>
        <v>62.436923316397873</v>
      </c>
      <c r="E150" s="69" cm="1">
        <f t="array" aca="1" ref="E150" ca="1">IF(ISNUMBER(_xll.VoseSimPercentile('Прогноз'!D56,0.9)),_xll.VoseSimPercentile('Прогноз'!D56,0.9),NA())</f>
        <v>121.24385222189009</v>
      </c>
      <c r="F150" s="69" cm="1">
        <f t="array" aca="1" ref="F150" ca="1">IF(ISNUMBER(_xll.VoseSimMean('Прогноз'!D56)),_xll.VoseSimMean('Прогноз'!D56),NA())</f>
        <v>73.746461197740985</v>
      </c>
    </row>
    <row r="151" spans="2:6" hidden="1" outlineLevel="1" x14ac:dyDescent="0.45">
      <c r="B151" s="70">
        <f>'Прогноз'!C57</f>
        <v>47818</v>
      </c>
      <c r="C151" s="69" cm="1">
        <f t="array" aca="1" ref="C151" ca="1">IF(ISNUMBER(_xll.VoseSimPercentile('Прогноз'!D57,0.1)),_xll.VoseSimPercentile('Прогноз'!D57,0.1),NA())</f>
        <v>37.344550293422095</v>
      </c>
      <c r="D151" s="69" cm="1">
        <f t="array" aca="1" ref="D151" ca="1">IF(ISNUMBER(_xll.VoseSimPercentile('Прогноз'!D57,0.5)),_xll.VoseSimPercentile('Прогноз'!D57,0.5),NA())</f>
        <v>62.478977456910854</v>
      </c>
      <c r="E151" s="69" cm="1">
        <f t="array" aca="1" ref="E151" ca="1">IF(ISNUMBER(_xll.VoseSimPercentile('Прогноз'!D57,0.9)),_xll.VoseSimPercentile('Прогноз'!D57,0.9),NA())</f>
        <v>122.28275394259185</v>
      </c>
      <c r="F151" s="69" cm="1">
        <f t="array" aca="1" ref="F151" ca="1">IF(ISNUMBER(_xll.VoseSimMean('Прогноз'!D57)),_xll.VoseSimMean('Прогноз'!D57),NA())</f>
        <v>74.068366257333466</v>
      </c>
    </row>
    <row r="152" spans="2:6" hidden="1" outlineLevel="1" x14ac:dyDescent="0.45">
      <c r="B152" s="70">
        <f>'Прогноз'!C58</f>
        <v>47849</v>
      </c>
      <c r="C152" s="69" cm="1">
        <f t="array" aca="1" ref="C152" ca="1">IF(ISNUMBER(_xll.VoseSimPercentile('Прогноз'!D58,0.1)),_xll.VoseSimPercentile('Прогноз'!D58,0.1),NA())</f>
        <v>37.148526347385918</v>
      </c>
      <c r="D152" s="69" cm="1">
        <f t="array" aca="1" ref="D152" ca="1">IF(ISNUMBER(_xll.VoseSimPercentile('Прогноз'!D58,0.5)),_xll.VoseSimPercentile('Прогноз'!D58,0.5),NA())</f>
        <v>62.776307557850039</v>
      </c>
      <c r="E152" s="69" cm="1">
        <f t="array" aca="1" ref="E152" ca="1">IF(ISNUMBER(_xll.VoseSimPercentile('Прогноз'!D58,0.9)),_xll.VoseSimPercentile('Прогноз'!D58,0.9),NA())</f>
        <v>123.63737606825291</v>
      </c>
      <c r="F152" s="69" cm="1">
        <f t="array" aca="1" ref="F152" ca="1">IF(ISNUMBER(_xll.VoseSimMean('Прогноз'!D58)),_xll.VoseSimMean('Прогноз'!D58),NA())</f>
        <v>74.438962933781823</v>
      </c>
    </row>
    <row r="153" spans="2:6" hidden="1" outlineLevel="1" x14ac:dyDescent="0.45">
      <c r="B153" s="70">
        <f>'Прогноз'!C59</f>
        <v>47880</v>
      </c>
      <c r="C153" s="69" cm="1">
        <f t="array" aca="1" ref="C153" ca="1">IF(ISNUMBER(_xll.VoseSimPercentile('Прогноз'!D59,0.1)),_xll.VoseSimPercentile('Прогноз'!D59,0.1),NA())</f>
        <v>37.045902699433043</v>
      </c>
      <c r="D153" s="69" cm="1">
        <f t="array" aca="1" ref="D153" ca="1">IF(ISNUMBER(_xll.VoseSimPercentile('Прогноз'!D59,0.5)),_xll.VoseSimPercentile('Прогноз'!D59,0.5),NA())</f>
        <v>62.884410017277943</v>
      </c>
      <c r="E153" s="69" cm="1">
        <f t="array" aca="1" ref="E153" ca="1">IF(ISNUMBER(_xll.VoseSimPercentile('Прогноз'!D59,0.9)),_xll.VoseSimPercentile('Прогноз'!D59,0.9),NA())</f>
        <v>124.55476046729042</v>
      </c>
      <c r="F153" s="69" cm="1">
        <f t="array" aca="1" ref="F153" ca="1">IF(ISNUMBER(_xll.VoseSimMean('Прогноз'!D59)),_xll.VoseSimMean('Прогноз'!D59),NA())</f>
        <v>74.827135445092694</v>
      </c>
    </row>
    <row r="154" spans="2:6" hidden="1" outlineLevel="1" x14ac:dyDescent="0.45">
      <c r="B154" s="70">
        <f>'Прогноз'!C60</f>
        <v>47908</v>
      </c>
      <c r="C154" s="69" cm="1">
        <f t="array" aca="1" ref="C154" ca="1">IF(ISNUMBER(_xll.VoseSimPercentile('Прогноз'!D60,0.1)),_xll.VoseSimPercentile('Прогноз'!D60,0.1),NA())</f>
        <v>36.858731563861646</v>
      </c>
      <c r="D154" s="69" cm="1">
        <f t="array" aca="1" ref="D154" ca="1">IF(ISNUMBER(_xll.VoseSimPercentile('Прогноз'!D60,0.5)),_xll.VoseSimPercentile('Прогноз'!D60,0.5),NA())</f>
        <v>62.728720533412044</v>
      </c>
      <c r="E154" s="69" cm="1">
        <f t="array" aca="1" ref="E154" ca="1">IF(ISNUMBER(_xll.VoseSimPercentile('Прогноз'!D60,0.9)),_xll.VoseSimPercentile('Прогноз'!D60,0.9),NA())</f>
        <v>125.44730707729202</v>
      </c>
      <c r="F154" s="69" cm="1">
        <f t="array" aca="1" ref="F154" ca="1">IF(ISNUMBER(_xll.VoseSimMean('Прогноз'!D60)),_xll.VoseSimMean('Прогноз'!D60),NA())</f>
        <v>75.121198145941804</v>
      </c>
    </row>
    <row r="155" spans="2:6" hidden="1" outlineLevel="1" x14ac:dyDescent="0.45">
      <c r="B155" s="70">
        <f>'Прогноз'!C61</f>
        <v>47939</v>
      </c>
      <c r="C155" s="69" cm="1">
        <f t="array" aca="1" ref="C155" ca="1">IF(ISNUMBER(_xll.VoseSimPercentile('Прогноз'!D61,0.1)),_xll.VoseSimPercentile('Прогноз'!D61,0.1),NA())</f>
        <v>36.567396179586467</v>
      </c>
      <c r="D155" s="69" cm="1">
        <f t="array" aca="1" ref="D155" ca="1">IF(ISNUMBER(_xll.VoseSimPercentile('Прогноз'!D61,0.5)),_xll.VoseSimPercentile('Прогноз'!D61,0.5),NA())</f>
        <v>62.760062803841677</v>
      </c>
      <c r="E155" s="69" cm="1">
        <f t="array" aca="1" ref="E155" ca="1">IF(ISNUMBER(_xll.VoseSimPercentile('Прогноз'!D61,0.9)),_xll.VoseSimPercentile('Прогноз'!D61,0.9),NA())</f>
        <v>126.4256711844842</v>
      </c>
      <c r="F155" s="69" cm="1">
        <f t="array" aca="1" ref="F155" ca="1">IF(ISNUMBER(_xll.VoseSimMean('Прогноз'!D61)),_xll.VoseSimMean('Прогноз'!D61),NA())</f>
        <v>75.493443428389114</v>
      </c>
    </row>
    <row r="156" spans="2:6" hidden="1" outlineLevel="1" x14ac:dyDescent="0.45">
      <c r="B156" s="70">
        <f>'Прогноз'!C62</f>
        <v>47969</v>
      </c>
      <c r="C156" s="69" cm="1">
        <f t="array" aca="1" ref="C156" ca="1">IF(ISNUMBER(_xll.VoseSimPercentile('Прогноз'!D62,0.1)),_xll.VoseSimPercentile('Прогноз'!D62,0.1),NA())</f>
        <v>36.4426808388708</v>
      </c>
      <c r="D156" s="69" cm="1">
        <f t="array" aca="1" ref="D156" ca="1">IF(ISNUMBER(_xll.VoseSimPercentile('Прогноз'!D62,0.5)),_xll.VoseSimPercentile('Прогноз'!D62,0.5),NA())</f>
        <v>62.80469292656327</v>
      </c>
      <c r="E156" s="69" cm="1">
        <f t="array" aca="1" ref="E156" ca="1">IF(ISNUMBER(_xll.VoseSimPercentile('Прогноз'!D62,0.9)),_xll.VoseSimPercentile('Прогноз'!D62,0.9),NA())</f>
        <v>127.16294389179247</v>
      </c>
      <c r="F156" s="69" cm="1">
        <f t="array" aca="1" ref="F156" ca="1">IF(ISNUMBER(_xll.VoseSimMean('Прогноз'!D62)),_xll.VoseSimMean('Прогноз'!D62),NA())</f>
        <v>75.80596998073824</v>
      </c>
    </row>
    <row r="157" spans="2:6" hidden="1" outlineLevel="1" x14ac:dyDescent="0.45">
      <c r="B157" s="70">
        <f>'Прогноз'!C63</f>
        <v>48000</v>
      </c>
      <c r="C157" s="69" cm="1">
        <f t="array" aca="1" ref="C157" ca="1">IF(ISNUMBER(_xll.VoseSimPercentile('Прогноз'!D63,0.1)),_xll.VoseSimPercentile('Прогноз'!D63,0.1),NA())</f>
        <v>36.295489183676089</v>
      </c>
      <c r="D157" s="69" cm="1">
        <f t="array" aca="1" ref="D157" ca="1">IF(ISNUMBER(_xll.VoseSimPercentile('Прогноз'!D63,0.5)),_xll.VoseSimPercentile('Прогноз'!D63,0.5),NA())</f>
        <v>62.530517020675006</v>
      </c>
      <c r="E157" s="69" cm="1">
        <f t="array" aca="1" ref="E157" ca="1">IF(ISNUMBER(_xll.VoseSimPercentile('Прогноз'!D63,0.9)),_xll.VoseSimPercentile('Прогноз'!D63,0.9),NA())</f>
        <v>127.87916379737707</v>
      </c>
      <c r="F157" s="69" cm="1">
        <f t="array" aca="1" ref="F157" ca="1">IF(ISNUMBER(_xll.VoseSimMean('Прогноз'!D63)),_xll.VoseSimMean('Прогноз'!D63),NA())</f>
        <v>76.101018934401466</v>
      </c>
    </row>
    <row r="158" spans="2:6" hidden="1" outlineLevel="1" x14ac:dyDescent="0.45">
      <c r="B158" s="70">
        <f>'Прогноз'!C64</f>
        <v>48030</v>
      </c>
      <c r="C158" s="69" cm="1">
        <f t="array" aca="1" ref="C158" ca="1">IF(ISNUMBER(_xll.VoseSimPercentile('Прогноз'!D64,0.1)),_xll.VoseSimPercentile('Прогноз'!D64,0.1),NA())</f>
        <v>36.11017325403219</v>
      </c>
      <c r="D158" s="69" cm="1">
        <f t="array" aca="1" ref="D158" ca="1">IF(ISNUMBER(_xll.VoseSimPercentile('Прогноз'!D64,0.5)),_xll.VoseSimPercentile('Прогноз'!D64,0.5),NA())</f>
        <v>62.356750462940838</v>
      </c>
      <c r="E158" s="69" cm="1">
        <f t="array" aca="1" ref="E158" ca="1">IF(ISNUMBER(_xll.VoseSimPercentile('Прогноз'!D64,0.9)),_xll.VoseSimPercentile('Прогноз'!D64,0.9),NA())</f>
        <v>129.5173391826639</v>
      </c>
      <c r="F158" s="69" cm="1">
        <f t="array" aca="1" ref="F158" ca="1">IF(ISNUMBER(_xll.VoseSimMean('Прогноз'!D64)),_xll.VoseSimMean('Прогноз'!D64),NA())</f>
        <v>76.443970128505953</v>
      </c>
    </row>
    <row r="159" spans="2:6" hidden="1" outlineLevel="1" x14ac:dyDescent="0.45">
      <c r="B159" s="70">
        <f>'Прогноз'!C65</f>
        <v>48061</v>
      </c>
      <c r="C159" s="69" cm="1">
        <f t="array" aca="1" ref="C159" ca="1">IF(ISNUMBER(_xll.VoseSimPercentile('Прогноз'!D65,0.1)),_xll.VoseSimPercentile('Прогноз'!D65,0.1),NA())</f>
        <v>35.914155002933349</v>
      </c>
      <c r="D159" s="69" cm="1">
        <f t="array" aca="1" ref="D159" ca="1">IF(ISNUMBER(_xll.VoseSimPercentile('Прогноз'!D65,0.5)),_xll.VoseSimPercentile('Прогноз'!D65,0.5),NA())</f>
        <v>62.396186010144497</v>
      </c>
      <c r="E159" s="69" cm="1">
        <f t="array" aca="1" ref="E159" ca="1">IF(ISNUMBER(_xll.VoseSimPercentile('Прогноз'!D65,0.9)),_xll.VoseSimPercentile('Прогноз'!D65,0.9),NA())</f>
        <v>131.5295470997938</v>
      </c>
      <c r="F159" s="69" cm="1">
        <f t="array" aca="1" ref="F159" ca="1">IF(ISNUMBER(_xll.VoseSimMean('Прогноз'!D65)),_xll.VoseSimMean('Прогноз'!D65),NA())</f>
        <v>76.830206109885253</v>
      </c>
    </row>
    <row r="160" spans="2:6" hidden="1" outlineLevel="1" x14ac:dyDescent="0.45">
      <c r="B160" s="70">
        <f>'Прогноз'!C66</f>
        <v>48092</v>
      </c>
      <c r="C160" s="69" cm="1">
        <f t="array" aca="1" ref="C160" ca="1">IF(ISNUMBER(_xll.VoseSimPercentile('Прогноз'!D66,0.1)),_xll.VoseSimPercentile('Прогноз'!D66,0.1),NA())</f>
        <v>35.700430191696334</v>
      </c>
      <c r="D160" s="69" cm="1">
        <f t="array" aca="1" ref="D160" ca="1">IF(ISNUMBER(_xll.VoseSimPercentile('Прогноз'!D66,0.5)),_xll.VoseSimPercentile('Прогноз'!D66,0.5),NA())</f>
        <v>62.324739921136242</v>
      </c>
      <c r="E160" s="69" cm="1">
        <f t="array" aca="1" ref="E160" ca="1">IF(ISNUMBER(_xll.VoseSimPercentile('Прогноз'!D66,0.9)),_xll.VoseSimPercentile('Прогноз'!D66,0.9),NA())</f>
        <v>133.35004296012596</v>
      </c>
      <c r="F160" s="69" cm="1">
        <f t="array" aca="1" ref="F160" ca="1">IF(ISNUMBER(_xll.VoseSimMean('Прогноз'!D66)),_xll.VoseSimMean('Прогноз'!D66),NA())</f>
        <v>77.18496905496167</v>
      </c>
    </row>
    <row r="161" spans="2:6" hidden="1" outlineLevel="1" x14ac:dyDescent="0.45">
      <c r="B161" s="70">
        <f>'Прогноз'!C67</f>
        <v>48122</v>
      </c>
      <c r="C161" s="69" cm="1">
        <f t="array" aca="1" ref="C161" ca="1">IF(ISNUMBER(_xll.VoseSimPercentile('Прогноз'!D67,0.1)),_xll.VoseSimPercentile('Прогноз'!D67,0.1),NA())</f>
        <v>35.650747367874985</v>
      </c>
      <c r="D161" s="69" cm="1">
        <f t="array" aca="1" ref="D161" ca="1">IF(ISNUMBER(_xll.VoseSimPercentile('Прогноз'!D67,0.5)),_xll.VoseSimPercentile('Прогноз'!D67,0.5),NA())</f>
        <v>62.557807439511777</v>
      </c>
      <c r="E161" s="69" cm="1">
        <f t="array" aca="1" ref="E161" ca="1">IF(ISNUMBER(_xll.VoseSimPercentile('Прогноз'!D67,0.9)),_xll.VoseSimPercentile('Прогноз'!D67,0.9),NA())</f>
        <v>133.37983009253568</v>
      </c>
      <c r="F161" s="69" cm="1">
        <f t="array" aca="1" ref="F161" ca="1">IF(ISNUMBER(_xll.VoseSimMean('Прогноз'!D67)),_xll.VoseSimMean('Прогноз'!D67),NA())</f>
        <v>77.606181255253787</v>
      </c>
    </row>
    <row r="162" spans="2:6" hidden="1" outlineLevel="1" x14ac:dyDescent="0.45">
      <c r="B162" s="70">
        <f>'Прогноз'!C68</f>
        <v>48153</v>
      </c>
      <c r="C162" s="69" cm="1">
        <f t="array" aca="1" ref="C162" ca="1">IF(ISNUMBER(_xll.VoseSimPercentile('Прогноз'!D68,0.1)),_xll.VoseSimPercentile('Прогноз'!D68,0.1),NA())</f>
        <v>35.683989511081364</v>
      </c>
      <c r="D162" s="69" cm="1">
        <f t="array" aca="1" ref="D162" ca="1">IF(ISNUMBER(_xll.VoseSimPercentile('Прогноз'!D68,0.5)),_xll.VoseSimPercentile('Прогноз'!D68,0.5),NA())</f>
        <v>62.49147073656232</v>
      </c>
      <c r="E162" s="69" cm="1">
        <f t="array" aca="1" ref="E162" ca="1">IF(ISNUMBER(_xll.VoseSimPercentile('Прогноз'!D68,0.9)),_xll.VoseSimPercentile('Прогноз'!D68,0.9),NA())</f>
        <v>136.32386007326699</v>
      </c>
      <c r="F162" s="69" cm="1">
        <f t="array" aca="1" ref="F162" ca="1">IF(ISNUMBER(_xll.VoseSimMean('Прогноз'!D68)),_xll.VoseSimMean('Прогноз'!D68),NA())</f>
        <v>78.056388161133967</v>
      </c>
    </row>
    <row r="163" spans="2:6" hidden="1" outlineLevel="1" x14ac:dyDescent="0.45">
      <c r="B163" s="70">
        <f>'Прогноз'!C69</f>
        <v>48183</v>
      </c>
      <c r="C163" s="69" cm="1">
        <f t="array" aca="1" ref="C163" ca="1">IF(ISNUMBER(_xll.VoseSimPercentile('Прогноз'!D69,0.1)),_xll.VoseSimPercentile('Прогноз'!D69,0.1),NA())</f>
        <v>35.662290606383777</v>
      </c>
      <c r="D163" s="69" cm="1">
        <f t="array" aca="1" ref="D163" ca="1">IF(ISNUMBER(_xll.VoseSimPercentile('Прогноз'!D69,0.5)),_xll.VoseSimPercentile('Прогноз'!D69,0.5),NA())</f>
        <v>62.298899495582567</v>
      </c>
      <c r="E163" s="69" cm="1">
        <f t="array" aca="1" ref="E163" ca="1">IF(ISNUMBER(_xll.VoseSimPercentile('Прогноз'!D69,0.9)),_xll.VoseSimPercentile('Прогноз'!D69,0.9),NA())</f>
        <v>136.28344831428817</v>
      </c>
      <c r="F163" s="69" cm="1">
        <f t="array" aca="1" ref="F163" ca="1">IF(ISNUMBER(_xll.VoseSimMean('Прогноз'!D69)),_xll.VoseSimMean('Прогноз'!D69),NA())</f>
        <v>78.425479358978507</v>
      </c>
    </row>
  </sheetData>
  <mergeCells count="5">
    <mergeCell ref="B42:G42"/>
    <mergeCell ref="B46:G46"/>
    <mergeCell ref="B45:G45"/>
    <mergeCell ref="B43:G43"/>
    <mergeCell ref="B44:G44"/>
  </mergeCells>
  <conditionalFormatting sqref="B7">
    <cfRule type="expression" dxfId="3" priority="2">
      <formula>LEFT($B$7,1)="✗"</formula>
    </cfRule>
  </conditionalFormatting>
  <conditionalFormatting sqref="B6:G6">
    <cfRule type="expression" dxfId="2" priority="1">
      <formula>LEFT($B$6,1)&lt;&gt;"✔"</formula>
    </cfRule>
  </conditionalFormatting>
  <conditionalFormatting sqref="C104:F163">
    <cfRule type="expression" dxfId="1" priority="4">
      <formula>ISNA(C104)</formula>
    </cfRule>
  </conditionalFormatting>
  <conditionalFormatting sqref="D52:G101">
    <cfRule type="expression" dxfId="0" priority="3">
      <formula>ISNA(D52)</formula>
    </cfRule>
  </conditionalFormatting>
  <hyperlinks>
    <hyperlink ref="B4" location="'Прогноз'!A1" display="◂  Прогноз" xr:uid="{00000000-0004-0000-0500-000000000000}"/>
  </hyperlinks>
  <printOptions horizontalCentered="1"/>
  <pageMargins left="0.4" right="0.4" top="0.5" bottom="0.6" header="0.25" footer="0.25"/>
  <pageSetup paperSize="9" scale="73" fitToHeight="0" orientation="landscape" r:id="rId1"/>
  <headerFooter>
    <oddFooter>&amp;L&amp;K3F5876&amp;8&amp;F · &amp;A&amp;R&amp;K3F5876&amp;8Page &amp;P of &amp;N</oddFooter>
  </headerFooter>
  <rowBreaks count="1" manualBreakCount="1">
    <brk id="27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6D32C-B8AE-491A-8126-862187E74EAB}">
  <dimension ref="A1:B1"/>
  <sheetViews>
    <sheetView workbookViewId="0"/>
  </sheetViews>
  <sheetFormatPr defaultRowHeight="14.25" x14ac:dyDescent="0.45"/>
  <sheetData>
    <row r="1" spans="1:2" x14ac:dyDescent="0.45">
      <c r="A1" s="75" t="s">
        <v>302</v>
      </c>
      <c r="B1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DBBEB-32D5-4998-A5E8-F61EDCB48102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CBC16-8825-4B13-9529-DAB5B965FBA1}">
  <dimension ref="B3:B692"/>
  <sheetViews>
    <sheetView workbookViewId="0"/>
  </sheetViews>
  <sheetFormatPr defaultRowHeight="14.25" x14ac:dyDescent="0.45"/>
  <sheetData>
    <row r="3" spans="2:2" x14ac:dyDescent="0.45">
      <c r="B3">
        <v>2</v>
      </c>
    </row>
    <row r="4" spans="2:2" x14ac:dyDescent="0.45">
      <c r="B4">
        <v>40</v>
      </c>
    </row>
    <row r="5" spans="2:2" x14ac:dyDescent="0.45">
      <c r="B5">
        <v>187</v>
      </c>
    </row>
    <row r="6" spans="2:2" x14ac:dyDescent="0.45">
      <c r="B6">
        <v>423</v>
      </c>
    </row>
    <row r="7" spans="2:2" x14ac:dyDescent="0.45">
      <c r="B7">
        <v>551</v>
      </c>
    </row>
    <row r="8" spans="2:2" x14ac:dyDescent="0.45">
      <c r="B8">
        <v>436</v>
      </c>
    </row>
    <row r="9" spans="2:2" x14ac:dyDescent="0.45">
      <c r="B9">
        <v>240</v>
      </c>
    </row>
    <row r="10" spans="2:2" x14ac:dyDescent="0.45">
      <c r="B10">
        <v>90</v>
      </c>
    </row>
    <row r="11" spans="2:2" x14ac:dyDescent="0.45">
      <c r="B11">
        <v>24</v>
      </c>
    </row>
    <row r="12" spans="2:2" x14ac:dyDescent="0.45">
      <c r="B12">
        <v>7</v>
      </c>
    </row>
    <row r="13" spans="2:2" x14ac:dyDescent="0.45">
      <c r="B13">
        <v>50</v>
      </c>
    </row>
    <row r="14" spans="2:2" x14ac:dyDescent="0.45">
      <c r="B14">
        <v>327</v>
      </c>
    </row>
    <row r="15" spans="2:2" x14ac:dyDescent="0.45">
      <c r="B15">
        <v>623</v>
      </c>
    </row>
    <row r="16" spans="2:2" x14ac:dyDescent="0.45">
      <c r="B16">
        <v>585</v>
      </c>
    </row>
    <row r="17" spans="2:2" x14ac:dyDescent="0.45">
      <c r="B17">
        <v>262</v>
      </c>
    </row>
    <row r="18" spans="2:2" x14ac:dyDescent="0.45">
      <c r="B18">
        <v>102</v>
      </c>
    </row>
    <row r="19" spans="2:2" x14ac:dyDescent="0.45">
      <c r="B19">
        <v>41</v>
      </c>
    </row>
    <row r="20" spans="2:2" x14ac:dyDescent="0.45">
      <c r="B20">
        <v>8</v>
      </c>
    </row>
    <row r="21" spans="2:2" x14ac:dyDescent="0.45">
      <c r="B21">
        <v>1</v>
      </c>
    </row>
    <row r="22" spans="2:2" x14ac:dyDescent="0.45">
      <c r="B22">
        <v>1</v>
      </c>
    </row>
    <row r="23" spans="2:2" x14ac:dyDescent="0.45">
      <c r="B23">
        <v>23</v>
      </c>
    </row>
    <row r="24" spans="2:2" x14ac:dyDescent="0.45">
      <c r="B24">
        <v>126</v>
      </c>
    </row>
    <row r="25" spans="2:2" x14ac:dyDescent="0.45">
      <c r="B25">
        <v>388</v>
      </c>
    </row>
    <row r="26" spans="2:2" x14ac:dyDescent="0.45">
      <c r="B26">
        <v>534</v>
      </c>
    </row>
    <row r="27" spans="2:2" x14ac:dyDescent="0.45">
      <c r="B27">
        <v>495</v>
      </c>
    </row>
    <row r="28" spans="2:2" x14ac:dyDescent="0.45">
      <c r="B28">
        <v>286</v>
      </c>
    </row>
    <row r="29" spans="2:2" x14ac:dyDescent="0.45">
      <c r="B29">
        <v>111</v>
      </c>
    </row>
    <row r="30" spans="2:2" x14ac:dyDescent="0.45">
      <c r="B30">
        <v>28</v>
      </c>
    </row>
    <row r="31" spans="2:2" x14ac:dyDescent="0.45">
      <c r="B31">
        <v>5</v>
      </c>
    </row>
    <row r="32" spans="2:2" x14ac:dyDescent="0.45">
      <c r="B32">
        <v>4</v>
      </c>
    </row>
    <row r="33" spans="2:2" x14ac:dyDescent="0.45">
      <c r="B33">
        <v>77</v>
      </c>
    </row>
    <row r="34" spans="2:2" x14ac:dyDescent="0.45">
      <c r="B34">
        <v>519</v>
      </c>
    </row>
    <row r="35" spans="2:2" x14ac:dyDescent="0.45">
      <c r="B35">
        <v>730</v>
      </c>
    </row>
    <row r="36" spans="2:2" x14ac:dyDescent="0.45">
      <c r="B36">
        <v>394</v>
      </c>
    </row>
    <row r="37" spans="2:2" x14ac:dyDescent="0.45">
      <c r="B37">
        <v>154</v>
      </c>
    </row>
    <row r="38" spans="2:2" x14ac:dyDescent="0.45">
      <c r="B38">
        <v>69</v>
      </c>
    </row>
    <row r="39" spans="2:2" x14ac:dyDescent="0.45">
      <c r="B39">
        <v>39</v>
      </c>
    </row>
    <row r="40" spans="2:2" x14ac:dyDescent="0.45">
      <c r="B40">
        <v>11</v>
      </c>
    </row>
    <row r="41" spans="2:2" x14ac:dyDescent="0.45">
      <c r="B41">
        <v>3</v>
      </c>
    </row>
    <row r="42" spans="2:2" x14ac:dyDescent="0.45">
      <c r="B42">
        <v>4</v>
      </c>
    </row>
    <row r="43" spans="2:2" x14ac:dyDescent="0.45">
      <c r="B43">
        <v>17</v>
      </c>
    </row>
    <row r="44" spans="2:2" x14ac:dyDescent="0.45">
      <c r="B44">
        <v>121</v>
      </c>
    </row>
    <row r="45" spans="2:2" x14ac:dyDescent="0.45">
      <c r="B45">
        <v>366</v>
      </c>
    </row>
    <row r="46" spans="2:2" x14ac:dyDescent="0.45">
      <c r="B46">
        <v>541</v>
      </c>
    </row>
    <row r="47" spans="2:2" x14ac:dyDescent="0.45">
      <c r="B47">
        <v>469</v>
      </c>
    </row>
    <row r="48" spans="2:2" x14ac:dyDescent="0.45">
      <c r="B48">
        <v>277</v>
      </c>
    </row>
    <row r="49" spans="2:2" x14ac:dyDescent="0.45">
      <c r="B49">
        <v>136</v>
      </c>
    </row>
    <row r="50" spans="2:2" x14ac:dyDescent="0.45">
      <c r="B50">
        <v>60</v>
      </c>
    </row>
    <row r="51" spans="2:2" x14ac:dyDescent="0.45">
      <c r="B51">
        <v>9</v>
      </c>
    </row>
    <row r="52" spans="2:2" x14ac:dyDescent="0.45">
      <c r="B52">
        <v>4</v>
      </c>
    </row>
    <row r="53" spans="2:2" x14ac:dyDescent="0.45">
      <c r="B53">
        <v>145</v>
      </c>
    </row>
    <row r="54" spans="2:2" x14ac:dyDescent="0.45">
      <c r="B54">
        <v>932</v>
      </c>
    </row>
    <row r="55" spans="2:2" x14ac:dyDescent="0.45">
      <c r="B55">
        <v>581</v>
      </c>
    </row>
    <row r="56" spans="2:2" x14ac:dyDescent="0.45">
      <c r="B56">
        <v>176</v>
      </c>
    </row>
    <row r="57" spans="2:2" x14ac:dyDescent="0.45">
      <c r="B57">
        <v>89</v>
      </c>
    </row>
    <row r="58" spans="2:2" x14ac:dyDescent="0.45">
      <c r="B58">
        <v>42</v>
      </c>
    </row>
    <row r="59" spans="2:2" x14ac:dyDescent="0.45">
      <c r="B59">
        <v>21</v>
      </c>
    </row>
    <row r="60" spans="2:2" x14ac:dyDescent="0.45">
      <c r="B60">
        <v>7</v>
      </c>
    </row>
    <row r="61" spans="2:2" x14ac:dyDescent="0.45">
      <c r="B61">
        <v>5</v>
      </c>
    </row>
    <row r="62" spans="2:2" x14ac:dyDescent="0.45">
      <c r="B62">
        <v>2</v>
      </c>
    </row>
    <row r="63" spans="2:2" x14ac:dyDescent="0.45">
      <c r="B63">
        <v>22</v>
      </c>
    </row>
    <row r="64" spans="2:2" x14ac:dyDescent="0.45">
      <c r="B64">
        <v>98</v>
      </c>
    </row>
    <row r="65" spans="2:2" x14ac:dyDescent="0.45">
      <c r="B65">
        <v>335</v>
      </c>
    </row>
    <row r="66" spans="2:2" x14ac:dyDescent="0.45">
      <c r="B66">
        <v>543</v>
      </c>
    </row>
    <row r="67" spans="2:2" x14ac:dyDescent="0.45">
      <c r="B67">
        <v>466</v>
      </c>
    </row>
    <row r="68" spans="2:2" x14ac:dyDescent="0.45">
      <c r="B68">
        <v>292</v>
      </c>
    </row>
    <row r="69" spans="2:2" x14ac:dyDescent="0.45">
      <c r="B69">
        <v>150</v>
      </c>
    </row>
    <row r="70" spans="2:2" x14ac:dyDescent="0.45">
      <c r="B70">
        <v>60</v>
      </c>
    </row>
    <row r="71" spans="2:2" x14ac:dyDescent="0.45">
      <c r="B71">
        <v>26</v>
      </c>
    </row>
    <row r="72" spans="2:2" x14ac:dyDescent="0.45">
      <c r="B72">
        <v>8</v>
      </c>
    </row>
    <row r="73" spans="2:2" x14ac:dyDescent="0.45">
      <c r="B73">
        <v>383</v>
      </c>
    </row>
    <row r="74" spans="2:2" x14ac:dyDescent="0.45">
      <c r="B74">
        <v>1086</v>
      </c>
    </row>
    <row r="75" spans="2:2" x14ac:dyDescent="0.45">
      <c r="B75">
        <v>309</v>
      </c>
    </row>
    <row r="76" spans="2:2" x14ac:dyDescent="0.45">
      <c r="B76">
        <v>109</v>
      </c>
    </row>
    <row r="77" spans="2:2" x14ac:dyDescent="0.45">
      <c r="B77">
        <v>61</v>
      </c>
    </row>
    <row r="78" spans="2:2" x14ac:dyDescent="0.45">
      <c r="B78">
        <v>25</v>
      </c>
    </row>
    <row r="79" spans="2:2" x14ac:dyDescent="0.45">
      <c r="B79">
        <v>16</v>
      </c>
    </row>
    <row r="80" spans="2:2" x14ac:dyDescent="0.45">
      <c r="B80">
        <v>2</v>
      </c>
    </row>
    <row r="81" spans="2:2" x14ac:dyDescent="0.45">
      <c r="B81">
        <v>5</v>
      </c>
    </row>
    <row r="82" spans="2:2" x14ac:dyDescent="0.45">
      <c r="B82">
        <v>4</v>
      </c>
    </row>
    <row r="83" spans="2:2" x14ac:dyDescent="0.45">
      <c r="B83">
        <v>28</v>
      </c>
    </row>
    <row r="84" spans="2:2" x14ac:dyDescent="0.45">
      <c r="B84">
        <v>172</v>
      </c>
    </row>
    <row r="85" spans="2:2" x14ac:dyDescent="0.45">
      <c r="B85">
        <v>493</v>
      </c>
    </row>
    <row r="86" spans="2:2" x14ac:dyDescent="0.45">
      <c r="B86">
        <v>583</v>
      </c>
    </row>
    <row r="87" spans="2:2" x14ac:dyDescent="0.45">
      <c r="B87">
        <v>394</v>
      </c>
    </row>
    <row r="88" spans="2:2" x14ac:dyDescent="0.45">
      <c r="B88">
        <v>211</v>
      </c>
    </row>
    <row r="89" spans="2:2" x14ac:dyDescent="0.45">
      <c r="B89">
        <v>88</v>
      </c>
    </row>
    <row r="90" spans="2:2" x14ac:dyDescent="0.45">
      <c r="B90">
        <v>25</v>
      </c>
    </row>
    <row r="91" spans="2:2" x14ac:dyDescent="0.45">
      <c r="B91">
        <v>4</v>
      </c>
    </row>
    <row r="92" spans="2:2" x14ac:dyDescent="0.45">
      <c r="B92">
        <v>2</v>
      </c>
    </row>
    <row r="93" spans="2:2" x14ac:dyDescent="0.45">
      <c r="B93">
        <v>936</v>
      </c>
    </row>
    <row r="94" spans="2:2" x14ac:dyDescent="0.45">
      <c r="B94">
        <v>773</v>
      </c>
    </row>
    <row r="95" spans="2:2" x14ac:dyDescent="0.45">
      <c r="B95">
        <v>164</v>
      </c>
    </row>
    <row r="96" spans="2:2" x14ac:dyDescent="0.45">
      <c r="B96">
        <v>66</v>
      </c>
    </row>
    <row r="97" spans="2:2" x14ac:dyDescent="0.45">
      <c r="B97">
        <v>30</v>
      </c>
    </row>
    <row r="98" spans="2:2" x14ac:dyDescent="0.45">
      <c r="B98">
        <v>12</v>
      </c>
    </row>
    <row r="99" spans="2:2" x14ac:dyDescent="0.45">
      <c r="B99">
        <v>10</v>
      </c>
    </row>
    <row r="100" spans="2:2" x14ac:dyDescent="0.45">
      <c r="B100">
        <v>5</v>
      </c>
    </row>
    <row r="101" spans="2:2" x14ac:dyDescent="0.45">
      <c r="B101">
        <v>2</v>
      </c>
    </row>
    <row r="102" spans="2:2" x14ac:dyDescent="0.45">
      <c r="B102">
        <v>2</v>
      </c>
    </row>
    <row r="103" spans="2:2" x14ac:dyDescent="0.45">
      <c r="B103">
        <v>1355</v>
      </c>
    </row>
    <row r="104" spans="2:2" x14ac:dyDescent="0.45">
      <c r="B104">
        <v>509</v>
      </c>
    </row>
    <row r="105" spans="2:2" x14ac:dyDescent="0.45">
      <c r="B105">
        <v>90</v>
      </c>
    </row>
    <row r="106" spans="2:2" x14ac:dyDescent="0.45">
      <c r="B106">
        <v>31</v>
      </c>
    </row>
    <row r="107" spans="2:2" x14ac:dyDescent="0.45">
      <c r="B107">
        <v>10</v>
      </c>
    </row>
    <row r="108" spans="2:2" x14ac:dyDescent="0.45">
      <c r="B108">
        <v>4</v>
      </c>
    </row>
    <row r="109" spans="2:2" x14ac:dyDescent="0.45">
      <c r="B109">
        <v>0</v>
      </c>
    </row>
    <row r="110" spans="2:2" x14ac:dyDescent="0.45">
      <c r="B110">
        <v>0</v>
      </c>
    </row>
    <row r="111" spans="2:2" x14ac:dyDescent="0.45">
      <c r="B111">
        <v>0</v>
      </c>
    </row>
    <row r="112" spans="2:2" x14ac:dyDescent="0.45">
      <c r="B112">
        <v>1</v>
      </c>
    </row>
    <row r="113" spans="2:2" x14ac:dyDescent="0.45">
      <c r="B113">
        <v>69</v>
      </c>
    </row>
    <row r="114" spans="2:2" x14ac:dyDescent="0.45">
      <c r="B114">
        <v>673</v>
      </c>
    </row>
    <row r="115" spans="2:2" x14ac:dyDescent="0.45">
      <c r="B115">
        <v>883</v>
      </c>
    </row>
    <row r="116" spans="2:2" x14ac:dyDescent="0.45">
      <c r="B116">
        <v>281</v>
      </c>
    </row>
    <row r="117" spans="2:2" x14ac:dyDescent="0.45">
      <c r="B117">
        <v>68</v>
      </c>
    </row>
    <row r="118" spans="2:2" x14ac:dyDescent="0.45">
      <c r="B118">
        <v>19</v>
      </c>
    </row>
    <row r="119" spans="2:2" x14ac:dyDescent="0.45">
      <c r="B119">
        <v>3</v>
      </c>
    </row>
    <row r="120" spans="2:2" x14ac:dyDescent="0.45">
      <c r="B120">
        <v>1</v>
      </c>
    </row>
    <row r="121" spans="2:2" x14ac:dyDescent="0.45">
      <c r="B121">
        <v>1</v>
      </c>
    </row>
    <row r="122" spans="2:2" x14ac:dyDescent="0.45">
      <c r="B122">
        <v>1</v>
      </c>
    </row>
    <row r="123" spans="2:2" x14ac:dyDescent="0.45">
      <c r="B123">
        <v>36</v>
      </c>
    </row>
    <row r="124" spans="2:2" x14ac:dyDescent="0.45">
      <c r="B124">
        <v>179</v>
      </c>
    </row>
    <row r="125" spans="2:2" x14ac:dyDescent="0.45">
      <c r="B125">
        <v>425</v>
      </c>
    </row>
    <row r="126" spans="2:2" x14ac:dyDescent="0.45">
      <c r="B126">
        <v>517</v>
      </c>
    </row>
    <row r="127" spans="2:2" x14ac:dyDescent="0.45">
      <c r="B127">
        <v>406</v>
      </c>
    </row>
    <row r="128" spans="2:2" x14ac:dyDescent="0.45">
      <c r="B128">
        <v>244</v>
      </c>
    </row>
    <row r="129" spans="2:2" x14ac:dyDescent="0.45">
      <c r="B129">
        <v>108</v>
      </c>
    </row>
    <row r="130" spans="2:2" x14ac:dyDescent="0.45">
      <c r="B130">
        <v>54</v>
      </c>
    </row>
    <row r="131" spans="2:2" x14ac:dyDescent="0.45">
      <c r="B131">
        <v>21</v>
      </c>
    </row>
    <row r="132" spans="2:2" x14ac:dyDescent="0.45">
      <c r="B132">
        <v>10</v>
      </c>
    </row>
    <row r="133" spans="2:2" x14ac:dyDescent="0.45">
      <c r="B133">
        <v>19</v>
      </c>
    </row>
    <row r="134" spans="2:2" x14ac:dyDescent="0.45">
      <c r="B134">
        <v>167</v>
      </c>
    </row>
    <row r="135" spans="2:2" x14ac:dyDescent="0.45">
      <c r="B135">
        <v>491</v>
      </c>
    </row>
    <row r="136" spans="2:2" x14ac:dyDescent="0.45">
      <c r="B136">
        <v>618</v>
      </c>
    </row>
    <row r="137" spans="2:2" x14ac:dyDescent="0.45">
      <c r="B137">
        <v>413</v>
      </c>
    </row>
    <row r="138" spans="2:2" x14ac:dyDescent="0.45">
      <c r="B138">
        <v>187</v>
      </c>
    </row>
    <row r="139" spans="2:2" x14ac:dyDescent="0.45">
      <c r="B139">
        <v>71</v>
      </c>
    </row>
    <row r="140" spans="2:2" x14ac:dyDescent="0.45">
      <c r="B140">
        <v>26</v>
      </c>
    </row>
    <row r="141" spans="2:2" x14ac:dyDescent="0.45">
      <c r="B141">
        <v>5</v>
      </c>
    </row>
    <row r="142" spans="2:2" x14ac:dyDescent="0.45">
      <c r="B142">
        <v>3</v>
      </c>
    </row>
    <row r="143" spans="2:2" x14ac:dyDescent="0.45">
      <c r="B143">
        <v>102</v>
      </c>
    </row>
    <row r="144" spans="2:2" x14ac:dyDescent="0.45">
      <c r="B144">
        <v>522</v>
      </c>
    </row>
    <row r="145" spans="2:2" x14ac:dyDescent="0.45">
      <c r="B145">
        <v>714</v>
      </c>
    </row>
    <row r="146" spans="2:2" x14ac:dyDescent="0.45">
      <c r="B146">
        <v>420</v>
      </c>
    </row>
    <row r="147" spans="2:2" x14ac:dyDescent="0.45">
      <c r="B147">
        <v>171</v>
      </c>
    </row>
    <row r="148" spans="2:2" x14ac:dyDescent="0.45">
      <c r="B148">
        <v>51</v>
      </c>
    </row>
    <row r="149" spans="2:2" x14ac:dyDescent="0.45">
      <c r="B149">
        <v>15</v>
      </c>
    </row>
    <row r="150" spans="2:2" x14ac:dyDescent="0.45">
      <c r="B150">
        <v>4</v>
      </c>
    </row>
    <row r="151" spans="2:2" x14ac:dyDescent="0.45">
      <c r="B151">
        <v>0</v>
      </c>
    </row>
    <row r="152" spans="2:2" x14ac:dyDescent="0.45">
      <c r="B152">
        <v>1</v>
      </c>
    </row>
    <row r="153" spans="2:2" x14ac:dyDescent="0.45">
      <c r="B153">
        <v>107</v>
      </c>
    </row>
    <row r="154" spans="2:2" x14ac:dyDescent="0.45">
      <c r="B154">
        <v>448</v>
      </c>
    </row>
    <row r="155" spans="2:2" x14ac:dyDescent="0.45">
      <c r="B155">
        <v>684</v>
      </c>
    </row>
    <row r="156" spans="2:2" x14ac:dyDescent="0.45">
      <c r="B156">
        <v>453</v>
      </c>
    </row>
    <row r="157" spans="2:2" x14ac:dyDescent="0.45">
      <c r="B157">
        <v>207</v>
      </c>
    </row>
    <row r="158" spans="2:2" x14ac:dyDescent="0.45">
      <c r="B158">
        <v>65</v>
      </c>
    </row>
    <row r="159" spans="2:2" x14ac:dyDescent="0.45">
      <c r="B159">
        <v>25</v>
      </c>
    </row>
    <row r="160" spans="2:2" x14ac:dyDescent="0.45">
      <c r="B160">
        <v>9</v>
      </c>
    </row>
    <row r="161" spans="2:2" x14ac:dyDescent="0.45">
      <c r="B161">
        <v>1</v>
      </c>
    </row>
    <row r="162" spans="2:2" x14ac:dyDescent="0.45">
      <c r="B162">
        <v>1</v>
      </c>
    </row>
    <row r="163" spans="2:2" x14ac:dyDescent="0.45">
      <c r="B163">
        <v>39</v>
      </c>
    </row>
    <row r="164" spans="2:2" x14ac:dyDescent="0.45">
      <c r="B164">
        <v>326</v>
      </c>
    </row>
    <row r="165" spans="2:2" x14ac:dyDescent="0.45">
      <c r="B165">
        <v>645</v>
      </c>
    </row>
    <row r="166" spans="2:2" x14ac:dyDescent="0.45">
      <c r="B166">
        <v>567</v>
      </c>
    </row>
    <row r="167" spans="2:2" x14ac:dyDescent="0.45">
      <c r="B167">
        <v>270</v>
      </c>
    </row>
    <row r="168" spans="2:2" x14ac:dyDescent="0.45">
      <c r="B168">
        <v>92</v>
      </c>
    </row>
    <row r="169" spans="2:2" x14ac:dyDescent="0.45">
      <c r="B169">
        <v>45</v>
      </c>
    </row>
    <row r="170" spans="2:2" x14ac:dyDescent="0.45">
      <c r="B170">
        <v>11</v>
      </c>
    </row>
    <row r="171" spans="2:2" x14ac:dyDescent="0.45">
      <c r="B171">
        <v>4</v>
      </c>
    </row>
    <row r="172" spans="2:2" x14ac:dyDescent="0.45">
      <c r="B172">
        <v>1</v>
      </c>
    </row>
    <row r="173" spans="2:2" x14ac:dyDescent="0.45">
      <c r="B173">
        <v>94</v>
      </c>
    </row>
    <row r="174" spans="2:2" x14ac:dyDescent="0.45">
      <c r="B174">
        <v>517</v>
      </c>
    </row>
    <row r="175" spans="2:2" x14ac:dyDescent="0.45">
      <c r="B175">
        <v>780</v>
      </c>
    </row>
    <row r="176" spans="2:2" x14ac:dyDescent="0.45">
      <c r="B176">
        <v>382</v>
      </c>
    </row>
    <row r="177" spans="2:2" x14ac:dyDescent="0.45">
      <c r="B177">
        <v>155</v>
      </c>
    </row>
    <row r="178" spans="2:2" x14ac:dyDescent="0.45">
      <c r="B178">
        <v>54</v>
      </c>
    </row>
    <row r="179" spans="2:2" x14ac:dyDescent="0.45">
      <c r="B179">
        <v>16</v>
      </c>
    </row>
    <row r="180" spans="2:2" x14ac:dyDescent="0.45">
      <c r="B180">
        <v>0</v>
      </c>
    </row>
    <row r="181" spans="2:2" x14ac:dyDescent="0.45">
      <c r="B181">
        <v>1</v>
      </c>
    </row>
    <row r="182" spans="2:2" x14ac:dyDescent="0.45">
      <c r="B182">
        <v>1</v>
      </c>
    </row>
    <row r="183" spans="2:2" x14ac:dyDescent="0.45">
      <c r="B183">
        <v>54</v>
      </c>
    </row>
    <row r="184" spans="2:2" x14ac:dyDescent="0.45">
      <c r="B184">
        <v>436</v>
      </c>
    </row>
    <row r="185" spans="2:2" x14ac:dyDescent="0.45">
      <c r="B185">
        <v>725</v>
      </c>
    </row>
    <row r="186" spans="2:2" x14ac:dyDescent="0.45">
      <c r="B186">
        <v>468</v>
      </c>
    </row>
    <row r="187" spans="2:2" x14ac:dyDescent="0.45">
      <c r="B187">
        <v>201</v>
      </c>
    </row>
    <row r="188" spans="2:2" x14ac:dyDescent="0.45">
      <c r="B188">
        <v>76</v>
      </c>
    </row>
    <row r="189" spans="2:2" x14ac:dyDescent="0.45">
      <c r="B189">
        <v>31</v>
      </c>
    </row>
    <row r="190" spans="2:2" x14ac:dyDescent="0.45">
      <c r="B190">
        <v>7</v>
      </c>
    </row>
    <row r="191" spans="2:2" x14ac:dyDescent="0.45">
      <c r="B191">
        <v>0</v>
      </c>
    </row>
    <row r="192" spans="2:2" x14ac:dyDescent="0.45">
      <c r="B192">
        <v>2</v>
      </c>
    </row>
    <row r="193" spans="2:2" x14ac:dyDescent="0.45">
      <c r="B193">
        <v>52</v>
      </c>
    </row>
    <row r="194" spans="2:2" x14ac:dyDescent="0.45">
      <c r="B194">
        <v>486</v>
      </c>
    </row>
    <row r="195" spans="2:2" x14ac:dyDescent="0.45">
      <c r="B195">
        <v>781</v>
      </c>
    </row>
    <row r="196" spans="2:2" x14ac:dyDescent="0.45">
      <c r="B196">
        <v>425</v>
      </c>
    </row>
    <row r="197" spans="2:2" x14ac:dyDescent="0.45">
      <c r="B197">
        <v>172</v>
      </c>
    </row>
    <row r="198" spans="2:2" x14ac:dyDescent="0.45">
      <c r="B198">
        <v>59</v>
      </c>
    </row>
    <row r="199" spans="2:2" x14ac:dyDescent="0.45">
      <c r="B199">
        <v>20</v>
      </c>
    </row>
    <row r="200" spans="2:2" x14ac:dyDescent="0.45">
      <c r="B200">
        <v>3</v>
      </c>
    </row>
    <row r="201" spans="2:2" x14ac:dyDescent="0.45">
      <c r="B201">
        <v>0</v>
      </c>
    </row>
    <row r="202" spans="2:2" x14ac:dyDescent="0.45">
      <c r="B202">
        <v>2</v>
      </c>
    </row>
    <row r="203" spans="2:2" x14ac:dyDescent="0.45">
      <c r="B203">
        <v>52</v>
      </c>
    </row>
    <row r="204" spans="2:2" x14ac:dyDescent="0.45">
      <c r="B204">
        <v>518</v>
      </c>
    </row>
    <row r="205" spans="2:2" x14ac:dyDescent="0.45">
      <c r="B205">
        <v>769</v>
      </c>
    </row>
    <row r="206" spans="2:2" x14ac:dyDescent="0.45">
      <c r="B206">
        <v>433</v>
      </c>
    </row>
    <row r="207" spans="2:2" x14ac:dyDescent="0.45">
      <c r="B207">
        <v>137</v>
      </c>
    </row>
    <row r="208" spans="2:2" x14ac:dyDescent="0.45">
      <c r="B208">
        <v>69</v>
      </c>
    </row>
    <row r="209" spans="2:2" x14ac:dyDescent="0.45">
      <c r="B209">
        <v>13</v>
      </c>
    </row>
    <row r="210" spans="2:2" x14ac:dyDescent="0.45">
      <c r="B210">
        <v>7</v>
      </c>
    </row>
    <row r="211" spans="2:2" x14ac:dyDescent="0.45">
      <c r="B211">
        <v>1</v>
      </c>
    </row>
    <row r="212" spans="2:2" x14ac:dyDescent="0.45">
      <c r="B212">
        <v>1</v>
      </c>
    </row>
    <row r="213" spans="2:2" x14ac:dyDescent="0.45">
      <c r="B213">
        <v>68</v>
      </c>
    </row>
    <row r="214" spans="2:2" x14ac:dyDescent="0.45">
      <c r="B214">
        <v>540</v>
      </c>
    </row>
    <row r="215" spans="2:2" x14ac:dyDescent="0.45">
      <c r="B215">
        <v>744</v>
      </c>
    </row>
    <row r="216" spans="2:2" x14ac:dyDescent="0.45">
      <c r="B216">
        <v>395</v>
      </c>
    </row>
    <row r="217" spans="2:2" x14ac:dyDescent="0.45">
      <c r="B217">
        <v>165</v>
      </c>
    </row>
    <row r="218" spans="2:2" x14ac:dyDescent="0.45">
      <c r="B218">
        <v>56</v>
      </c>
    </row>
    <row r="219" spans="2:2" x14ac:dyDescent="0.45">
      <c r="B219">
        <v>25</v>
      </c>
    </row>
    <row r="220" spans="2:2" x14ac:dyDescent="0.45">
      <c r="B220">
        <v>4</v>
      </c>
    </row>
    <row r="221" spans="2:2" x14ac:dyDescent="0.45">
      <c r="B221">
        <v>2</v>
      </c>
    </row>
    <row r="222" spans="2:2" x14ac:dyDescent="0.45">
      <c r="B222">
        <v>1</v>
      </c>
    </row>
    <row r="223" spans="2:2" x14ac:dyDescent="0.45">
      <c r="B223">
        <v>77</v>
      </c>
    </row>
    <row r="224" spans="2:2" x14ac:dyDescent="0.45">
      <c r="B224">
        <v>509</v>
      </c>
    </row>
    <row r="225" spans="2:2" x14ac:dyDescent="0.45">
      <c r="B225">
        <v>708</v>
      </c>
    </row>
    <row r="226" spans="2:2" x14ac:dyDescent="0.45">
      <c r="B226">
        <v>416</v>
      </c>
    </row>
    <row r="227" spans="2:2" x14ac:dyDescent="0.45">
      <c r="B227">
        <v>176</v>
      </c>
    </row>
    <row r="228" spans="2:2" x14ac:dyDescent="0.45">
      <c r="B228">
        <v>77</v>
      </c>
    </row>
    <row r="229" spans="2:2" x14ac:dyDescent="0.45">
      <c r="B229">
        <v>25</v>
      </c>
    </row>
    <row r="230" spans="2:2" x14ac:dyDescent="0.45">
      <c r="B230">
        <v>8</v>
      </c>
    </row>
    <row r="231" spans="2:2" x14ac:dyDescent="0.45">
      <c r="B231">
        <v>3</v>
      </c>
    </row>
    <row r="232" spans="2:2" x14ac:dyDescent="0.45">
      <c r="B232">
        <v>1</v>
      </c>
    </row>
    <row r="233" spans="2:2" x14ac:dyDescent="0.45">
      <c r="B233">
        <v>57</v>
      </c>
    </row>
    <row r="234" spans="2:2" x14ac:dyDescent="0.45">
      <c r="B234">
        <v>445</v>
      </c>
    </row>
    <row r="235" spans="2:2" x14ac:dyDescent="0.45">
      <c r="B235">
        <v>757</v>
      </c>
    </row>
    <row r="236" spans="2:2" x14ac:dyDescent="0.45">
      <c r="B236">
        <v>419</v>
      </c>
    </row>
    <row r="237" spans="2:2" x14ac:dyDescent="0.45">
      <c r="B237">
        <v>201</v>
      </c>
    </row>
    <row r="238" spans="2:2" x14ac:dyDescent="0.45">
      <c r="B238">
        <v>69</v>
      </c>
    </row>
    <row r="239" spans="2:2" x14ac:dyDescent="0.45">
      <c r="B239">
        <v>39</v>
      </c>
    </row>
    <row r="240" spans="2:2" x14ac:dyDescent="0.45">
      <c r="B240">
        <v>7</v>
      </c>
    </row>
    <row r="241" spans="2:2" x14ac:dyDescent="0.45">
      <c r="B241">
        <v>3</v>
      </c>
    </row>
    <row r="242" spans="2:2" x14ac:dyDescent="0.45">
      <c r="B242">
        <v>3</v>
      </c>
    </row>
    <row r="243" spans="2:2" x14ac:dyDescent="0.45">
      <c r="B243">
        <v>86</v>
      </c>
    </row>
    <row r="244" spans="2:2" x14ac:dyDescent="0.45">
      <c r="B244">
        <v>608</v>
      </c>
    </row>
    <row r="245" spans="2:2" x14ac:dyDescent="0.45">
      <c r="B245">
        <v>684</v>
      </c>
    </row>
    <row r="246" spans="2:2" x14ac:dyDescent="0.45">
      <c r="B246">
        <v>367</v>
      </c>
    </row>
    <row r="247" spans="2:2" x14ac:dyDescent="0.45">
      <c r="B247">
        <v>154</v>
      </c>
    </row>
    <row r="248" spans="2:2" x14ac:dyDescent="0.45">
      <c r="B248">
        <v>68</v>
      </c>
    </row>
    <row r="249" spans="2:2" x14ac:dyDescent="0.45">
      <c r="B249">
        <v>23</v>
      </c>
    </row>
    <row r="250" spans="2:2" x14ac:dyDescent="0.45">
      <c r="B250">
        <v>6</v>
      </c>
    </row>
    <row r="251" spans="2:2" x14ac:dyDescent="0.45">
      <c r="B251">
        <v>1</v>
      </c>
    </row>
    <row r="252" spans="2:2" x14ac:dyDescent="0.45">
      <c r="B252">
        <v>3</v>
      </c>
    </row>
    <row r="253" spans="2:2" x14ac:dyDescent="0.45">
      <c r="B253">
        <v>95</v>
      </c>
    </row>
    <row r="254" spans="2:2" x14ac:dyDescent="0.45">
      <c r="B254">
        <v>707</v>
      </c>
    </row>
    <row r="255" spans="2:2" x14ac:dyDescent="0.45">
      <c r="B255">
        <v>676</v>
      </c>
    </row>
    <row r="256" spans="2:2" x14ac:dyDescent="0.45">
      <c r="B256">
        <v>322</v>
      </c>
    </row>
    <row r="257" spans="2:2" x14ac:dyDescent="0.45">
      <c r="B257">
        <v>123</v>
      </c>
    </row>
    <row r="258" spans="2:2" x14ac:dyDescent="0.45">
      <c r="B258">
        <v>51</v>
      </c>
    </row>
    <row r="259" spans="2:2" x14ac:dyDescent="0.45">
      <c r="B259">
        <v>16</v>
      </c>
    </row>
    <row r="260" spans="2:2" x14ac:dyDescent="0.45">
      <c r="B260">
        <v>7</v>
      </c>
    </row>
    <row r="261" spans="2:2" x14ac:dyDescent="0.45">
      <c r="B261">
        <v>2</v>
      </c>
    </row>
    <row r="262" spans="2:2" x14ac:dyDescent="0.45">
      <c r="B262">
        <v>1</v>
      </c>
    </row>
    <row r="263" spans="2:2" x14ac:dyDescent="0.45">
      <c r="B263">
        <v>75</v>
      </c>
    </row>
    <row r="264" spans="2:2" x14ac:dyDescent="0.45">
      <c r="B264">
        <v>687</v>
      </c>
    </row>
    <row r="265" spans="2:2" x14ac:dyDescent="0.45">
      <c r="B265">
        <v>728</v>
      </c>
    </row>
    <row r="266" spans="2:2" x14ac:dyDescent="0.45">
      <c r="B266">
        <v>323</v>
      </c>
    </row>
    <row r="267" spans="2:2" x14ac:dyDescent="0.45">
      <c r="B267">
        <v>118</v>
      </c>
    </row>
    <row r="268" spans="2:2" x14ac:dyDescent="0.45">
      <c r="B268">
        <v>41</v>
      </c>
    </row>
    <row r="269" spans="2:2" x14ac:dyDescent="0.45">
      <c r="B269">
        <v>22</v>
      </c>
    </row>
    <row r="270" spans="2:2" x14ac:dyDescent="0.45">
      <c r="B270">
        <v>3</v>
      </c>
    </row>
    <row r="271" spans="2:2" x14ac:dyDescent="0.45">
      <c r="B271">
        <v>2</v>
      </c>
    </row>
    <row r="272" spans="2:2" x14ac:dyDescent="0.45">
      <c r="B272">
        <v>1</v>
      </c>
    </row>
    <row r="273" spans="2:2" x14ac:dyDescent="0.45">
      <c r="B273">
        <v>90</v>
      </c>
    </row>
    <row r="274" spans="2:2" x14ac:dyDescent="0.45">
      <c r="B274">
        <v>732</v>
      </c>
    </row>
    <row r="275" spans="2:2" x14ac:dyDescent="0.45">
      <c r="B275">
        <v>731</v>
      </c>
    </row>
    <row r="276" spans="2:2" x14ac:dyDescent="0.45">
      <c r="B276">
        <v>270</v>
      </c>
    </row>
    <row r="277" spans="2:2" x14ac:dyDescent="0.45">
      <c r="B277">
        <v>108</v>
      </c>
    </row>
    <row r="278" spans="2:2" x14ac:dyDescent="0.45">
      <c r="B278">
        <v>48</v>
      </c>
    </row>
    <row r="279" spans="2:2" x14ac:dyDescent="0.45">
      <c r="B279">
        <v>15</v>
      </c>
    </row>
    <row r="280" spans="2:2" x14ac:dyDescent="0.45">
      <c r="B280">
        <v>4</v>
      </c>
    </row>
    <row r="281" spans="2:2" x14ac:dyDescent="0.45">
      <c r="B281">
        <v>1</v>
      </c>
    </row>
    <row r="282" spans="2:2" x14ac:dyDescent="0.45">
      <c r="B282">
        <v>1</v>
      </c>
    </row>
    <row r="283" spans="2:2" x14ac:dyDescent="0.45">
      <c r="B283">
        <v>84</v>
      </c>
    </row>
    <row r="284" spans="2:2" x14ac:dyDescent="0.45">
      <c r="B284">
        <v>653</v>
      </c>
    </row>
    <row r="285" spans="2:2" x14ac:dyDescent="0.45">
      <c r="B285">
        <v>727</v>
      </c>
    </row>
    <row r="286" spans="2:2" x14ac:dyDescent="0.45">
      <c r="B286">
        <v>306</v>
      </c>
    </row>
    <row r="287" spans="2:2" x14ac:dyDescent="0.45">
      <c r="B287">
        <v>130</v>
      </c>
    </row>
    <row r="288" spans="2:2" x14ac:dyDescent="0.45">
      <c r="B288">
        <v>57</v>
      </c>
    </row>
    <row r="289" spans="2:2" x14ac:dyDescent="0.45">
      <c r="B289">
        <v>29</v>
      </c>
    </row>
    <row r="290" spans="2:2" x14ac:dyDescent="0.45">
      <c r="B290">
        <v>10</v>
      </c>
    </row>
    <row r="291" spans="2:2" x14ac:dyDescent="0.45">
      <c r="B291">
        <v>2</v>
      </c>
    </row>
    <row r="292" spans="2:2" x14ac:dyDescent="0.45">
      <c r="B292">
        <v>2</v>
      </c>
    </row>
    <row r="293" spans="2:2" x14ac:dyDescent="0.45">
      <c r="B293">
        <v>85</v>
      </c>
    </row>
    <row r="294" spans="2:2" x14ac:dyDescent="0.45">
      <c r="B294">
        <v>679</v>
      </c>
    </row>
    <row r="295" spans="2:2" x14ac:dyDescent="0.45">
      <c r="B295">
        <v>734</v>
      </c>
    </row>
    <row r="296" spans="2:2" x14ac:dyDescent="0.45">
      <c r="B296">
        <v>284</v>
      </c>
    </row>
    <row r="297" spans="2:2" x14ac:dyDescent="0.45">
      <c r="B297">
        <v>119</v>
      </c>
    </row>
    <row r="298" spans="2:2" x14ac:dyDescent="0.45">
      <c r="B298">
        <v>52</v>
      </c>
    </row>
    <row r="299" spans="2:2" x14ac:dyDescent="0.45">
      <c r="B299">
        <v>29</v>
      </c>
    </row>
    <row r="300" spans="2:2" x14ac:dyDescent="0.45">
      <c r="B300">
        <v>15</v>
      </c>
    </row>
    <row r="301" spans="2:2" x14ac:dyDescent="0.45">
      <c r="B301">
        <v>2</v>
      </c>
    </row>
    <row r="302" spans="2:2" x14ac:dyDescent="0.45">
      <c r="B302">
        <v>1</v>
      </c>
    </row>
    <row r="303" spans="2:2" x14ac:dyDescent="0.45">
      <c r="B303">
        <v>76</v>
      </c>
    </row>
    <row r="304" spans="2:2" x14ac:dyDescent="0.45">
      <c r="B304">
        <v>585</v>
      </c>
    </row>
    <row r="305" spans="2:2" x14ac:dyDescent="0.45">
      <c r="B305">
        <v>733</v>
      </c>
    </row>
    <row r="306" spans="2:2" x14ac:dyDescent="0.45">
      <c r="B306">
        <v>345</v>
      </c>
    </row>
    <row r="307" spans="2:2" x14ac:dyDescent="0.45">
      <c r="B307">
        <v>135</v>
      </c>
    </row>
    <row r="308" spans="2:2" x14ac:dyDescent="0.45">
      <c r="B308">
        <v>71</v>
      </c>
    </row>
    <row r="309" spans="2:2" x14ac:dyDescent="0.45">
      <c r="B309">
        <v>30</v>
      </c>
    </row>
    <row r="310" spans="2:2" x14ac:dyDescent="0.45">
      <c r="B310">
        <v>12</v>
      </c>
    </row>
    <row r="311" spans="2:2" x14ac:dyDescent="0.45">
      <c r="B311">
        <v>8</v>
      </c>
    </row>
    <row r="312" spans="2:2" x14ac:dyDescent="0.45">
      <c r="B312">
        <v>5</v>
      </c>
    </row>
    <row r="313" spans="2:2" x14ac:dyDescent="0.45">
      <c r="B313">
        <v>81</v>
      </c>
    </row>
    <row r="314" spans="2:2" x14ac:dyDescent="0.45">
      <c r="B314">
        <v>627</v>
      </c>
    </row>
    <row r="315" spans="2:2" x14ac:dyDescent="0.45">
      <c r="B315">
        <v>702</v>
      </c>
    </row>
    <row r="316" spans="2:2" x14ac:dyDescent="0.45">
      <c r="B316">
        <v>338</v>
      </c>
    </row>
    <row r="317" spans="2:2" x14ac:dyDescent="0.45">
      <c r="B317">
        <v>126</v>
      </c>
    </row>
    <row r="318" spans="2:2" x14ac:dyDescent="0.45">
      <c r="B318">
        <v>67</v>
      </c>
    </row>
    <row r="319" spans="2:2" x14ac:dyDescent="0.45">
      <c r="B319">
        <v>30</v>
      </c>
    </row>
    <row r="320" spans="2:2" x14ac:dyDescent="0.45">
      <c r="B320">
        <v>16</v>
      </c>
    </row>
    <row r="321" spans="2:2" x14ac:dyDescent="0.45">
      <c r="B321">
        <v>6</v>
      </c>
    </row>
    <row r="322" spans="2:2" x14ac:dyDescent="0.45">
      <c r="B322">
        <v>7</v>
      </c>
    </row>
    <row r="323" spans="2:2" x14ac:dyDescent="0.45">
      <c r="B323">
        <v>109</v>
      </c>
    </row>
    <row r="324" spans="2:2" x14ac:dyDescent="0.45">
      <c r="B324">
        <v>817</v>
      </c>
    </row>
    <row r="325" spans="2:2" x14ac:dyDescent="0.45">
      <c r="B325">
        <v>625</v>
      </c>
    </row>
    <row r="326" spans="2:2" x14ac:dyDescent="0.45">
      <c r="B326">
        <v>273</v>
      </c>
    </row>
    <row r="327" spans="2:2" x14ac:dyDescent="0.45">
      <c r="B327">
        <v>89</v>
      </c>
    </row>
    <row r="328" spans="2:2" x14ac:dyDescent="0.45">
      <c r="B328">
        <v>50</v>
      </c>
    </row>
    <row r="329" spans="2:2" x14ac:dyDescent="0.45">
      <c r="B329">
        <v>21</v>
      </c>
    </row>
    <row r="330" spans="2:2" x14ac:dyDescent="0.45">
      <c r="B330">
        <v>8</v>
      </c>
    </row>
    <row r="331" spans="2:2" x14ac:dyDescent="0.45">
      <c r="B331">
        <v>6</v>
      </c>
    </row>
    <row r="332" spans="2:2" x14ac:dyDescent="0.45">
      <c r="B332">
        <v>2</v>
      </c>
    </row>
    <row r="333" spans="2:2" x14ac:dyDescent="0.45">
      <c r="B333">
        <v>152</v>
      </c>
    </row>
    <row r="334" spans="2:2" x14ac:dyDescent="0.45">
      <c r="B334">
        <v>925</v>
      </c>
    </row>
    <row r="335" spans="2:2" x14ac:dyDescent="0.45">
      <c r="B335">
        <v>561</v>
      </c>
    </row>
    <row r="336" spans="2:2" x14ac:dyDescent="0.45">
      <c r="B336">
        <v>220</v>
      </c>
    </row>
    <row r="337" spans="2:2" x14ac:dyDescent="0.45">
      <c r="B337">
        <v>76</v>
      </c>
    </row>
    <row r="338" spans="2:2" x14ac:dyDescent="0.45">
      <c r="B338">
        <v>40</v>
      </c>
    </row>
    <row r="339" spans="2:2" x14ac:dyDescent="0.45">
      <c r="B339">
        <v>16</v>
      </c>
    </row>
    <row r="340" spans="2:2" x14ac:dyDescent="0.45">
      <c r="B340">
        <v>5</v>
      </c>
    </row>
    <row r="341" spans="2:2" x14ac:dyDescent="0.45">
      <c r="B341">
        <v>4</v>
      </c>
    </row>
    <row r="342" spans="2:2" x14ac:dyDescent="0.45">
      <c r="B342">
        <v>1</v>
      </c>
    </row>
    <row r="343" spans="2:2" x14ac:dyDescent="0.45">
      <c r="B343">
        <v>146</v>
      </c>
    </row>
    <row r="344" spans="2:2" x14ac:dyDescent="0.45">
      <c r="B344">
        <v>944</v>
      </c>
    </row>
    <row r="345" spans="2:2" x14ac:dyDescent="0.45">
      <c r="B345">
        <v>571</v>
      </c>
    </row>
    <row r="346" spans="2:2" x14ac:dyDescent="0.45">
      <c r="B346">
        <v>202</v>
      </c>
    </row>
    <row r="347" spans="2:2" x14ac:dyDescent="0.45">
      <c r="B347">
        <v>74</v>
      </c>
    </row>
    <row r="348" spans="2:2" x14ac:dyDescent="0.45">
      <c r="B348">
        <v>36</v>
      </c>
    </row>
    <row r="349" spans="2:2" x14ac:dyDescent="0.45">
      <c r="B349">
        <v>17</v>
      </c>
    </row>
    <row r="350" spans="2:2" x14ac:dyDescent="0.45">
      <c r="B350">
        <v>6</v>
      </c>
    </row>
    <row r="351" spans="2:2" x14ac:dyDescent="0.45">
      <c r="B351">
        <v>2</v>
      </c>
    </row>
    <row r="352" spans="2:2" x14ac:dyDescent="0.45">
      <c r="B352">
        <v>2</v>
      </c>
    </row>
    <row r="353" spans="2:2" x14ac:dyDescent="0.45">
      <c r="B353">
        <v>160</v>
      </c>
    </row>
    <row r="354" spans="2:2" x14ac:dyDescent="0.45">
      <c r="B354">
        <v>928</v>
      </c>
    </row>
    <row r="355" spans="2:2" x14ac:dyDescent="0.45">
      <c r="B355">
        <v>582</v>
      </c>
    </row>
    <row r="356" spans="2:2" x14ac:dyDescent="0.45">
      <c r="B356">
        <v>185</v>
      </c>
    </row>
    <row r="357" spans="2:2" x14ac:dyDescent="0.45">
      <c r="B357">
        <v>84</v>
      </c>
    </row>
    <row r="358" spans="2:2" x14ac:dyDescent="0.45">
      <c r="B358">
        <v>34</v>
      </c>
    </row>
    <row r="359" spans="2:2" x14ac:dyDescent="0.45">
      <c r="B359">
        <v>15</v>
      </c>
    </row>
    <row r="360" spans="2:2" x14ac:dyDescent="0.45">
      <c r="B360">
        <v>6</v>
      </c>
    </row>
    <row r="361" spans="2:2" x14ac:dyDescent="0.45">
      <c r="B361">
        <v>3</v>
      </c>
    </row>
    <row r="362" spans="2:2" x14ac:dyDescent="0.45">
      <c r="B362">
        <v>3</v>
      </c>
    </row>
    <row r="363" spans="2:2" x14ac:dyDescent="0.45">
      <c r="B363">
        <v>174</v>
      </c>
    </row>
    <row r="364" spans="2:2" x14ac:dyDescent="0.45">
      <c r="B364">
        <v>936</v>
      </c>
    </row>
    <row r="365" spans="2:2" x14ac:dyDescent="0.45">
      <c r="B365">
        <v>566</v>
      </c>
    </row>
    <row r="366" spans="2:2" x14ac:dyDescent="0.45">
      <c r="B366">
        <v>178</v>
      </c>
    </row>
    <row r="367" spans="2:2" x14ac:dyDescent="0.45">
      <c r="B367">
        <v>80</v>
      </c>
    </row>
    <row r="368" spans="2:2" x14ac:dyDescent="0.45">
      <c r="B368">
        <v>41</v>
      </c>
    </row>
    <row r="369" spans="2:2" x14ac:dyDescent="0.45">
      <c r="B369">
        <v>10</v>
      </c>
    </row>
    <row r="370" spans="2:2" x14ac:dyDescent="0.45">
      <c r="B370">
        <v>8</v>
      </c>
    </row>
    <row r="371" spans="2:2" x14ac:dyDescent="0.45">
      <c r="B371">
        <v>4</v>
      </c>
    </row>
    <row r="372" spans="2:2" x14ac:dyDescent="0.45">
      <c r="B372">
        <v>3</v>
      </c>
    </row>
    <row r="373" spans="2:2" x14ac:dyDescent="0.45">
      <c r="B373">
        <v>182</v>
      </c>
    </row>
    <row r="374" spans="2:2" x14ac:dyDescent="0.45">
      <c r="B374">
        <v>927</v>
      </c>
    </row>
    <row r="375" spans="2:2" x14ac:dyDescent="0.45">
      <c r="B375">
        <v>567</v>
      </c>
    </row>
    <row r="376" spans="2:2" x14ac:dyDescent="0.45">
      <c r="B376">
        <v>173</v>
      </c>
    </row>
    <row r="377" spans="2:2" x14ac:dyDescent="0.45">
      <c r="B377">
        <v>79</v>
      </c>
    </row>
    <row r="378" spans="2:2" x14ac:dyDescent="0.45">
      <c r="B378">
        <v>43</v>
      </c>
    </row>
    <row r="379" spans="2:2" x14ac:dyDescent="0.45">
      <c r="B379">
        <v>15</v>
      </c>
    </row>
    <row r="380" spans="2:2" x14ac:dyDescent="0.45">
      <c r="B380">
        <v>9</v>
      </c>
    </row>
    <row r="381" spans="2:2" x14ac:dyDescent="0.45">
      <c r="B381">
        <v>2</v>
      </c>
    </row>
    <row r="382" spans="2:2" x14ac:dyDescent="0.45">
      <c r="B382">
        <v>3</v>
      </c>
    </row>
    <row r="383" spans="2:2" x14ac:dyDescent="0.45">
      <c r="B383">
        <v>238</v>
      </c>
    </row>
    <row r="384" spans="2:2" x14ac:dyDescent="0.45">
      <c r="B384">
        <v>1022</v>
      </c>
    </row>
    <row r="385" spans="2:2" x14ac:dyDescent="0.45">
      <c r="B385">
        <v>484</v>
      </c>
    </row>
    <row r="386" spans="2:2" x14ac:dyDescent="0.45">
      <c r="B386">
        <v>130</v>
      </c>
    </row>
    <row r="387" spans="2:2" x14ac:dyDescent="0.45">
      <c r="B387">
        <v>76</v>
      </c>
    </row>
    <row r="388" spans="2:2" x14ac:dyDescent="0.45">
      <c r="B388">
        <v>28</v>
      </c>
    </row>
    <row r="389" spans="2:2" x14ac:dyDescent="0.45">
      <c r="B389">
        <v>14</v>
      </c>
    </row>
    <row r="390" spans="2:2" x14ac:dyDescent="0.45">
      <c r="B390">
        <v>4</v>
      </c>
    </row>
    <row r="391" spans="2:2" x14ac:dyDescent="0.45">
      <c r="B391">
        <v>3</v>
      </c>
    </row>
    <row r="392" spans="2:2" x14ac:dyDescent="0.45">
      <c r="B392">
        <v>1</v>
      </c>
    </row>
    <row r="393" spans="2:2" x14ac:dyDescent="0.45">
      <c r="B393">
        <v>198</v>
      </c>
    </row>
    <row r="394" spans="2:2" x14ac:dyDescent="0.45">
      <c r="B394">
        <v>994</v>
      </c>
    </row>
    <row r="395" spans="2:2" x14ac:dyDescent="0.45">
      <c r="B395">
        <v>505</v>
      </c>
    </row>
    <row r="396" spans="2:2" x14ac:dyDescent="0.45">
      <c r="B396">
        <v>154</v>
      </c>
    </row>
    <row r="397" spans="2:2" x14ac:dyDescent="0.45">
      <c r="B397">
        <v>81</v>
      </c>
    </row>
    <row r="398" spans="2:2" x14ac:dyDescent="0.45">
      <c r="B398">
        <v>37</v>
      </c>
    </row>
    <row r="399" spans="2:2" x14ac:dyDescent="0.45">
      <c r="B399">
        <v>21</v>
      </c>
    </row>
    <row r="400" spans="2:2" x14ac:dyDescent="0.45">
      <c r="B400">
        <v>4</v>
      </c>
    </row>
    <row r="401" spans="2:2" x14ac:dyDescent="0.45">
      <c r="B401">
        <v>3</v>
      </c>
    </row>
    <row r="402" spans="2:2" x14ac:dyDescent="0.45">
      <c r="B402">
        <v>3</v>
      </c>
    </row>
    <row r="403" spans="2:2" x14ac:dyDescent="0.45">
      <c r="B403">
        <v>286</v>
      </c>
    </row>
    <row r="404" spans="2:2" x14ac:dyDescent="0.45">
      <c r="B404">
        <v>1072</v>
      </c>
    </row>
    <row r="405" spans="2:2" x14ac:dyDescent="0.45">
      <c r="B405">
        <v>410</v>
      </c>
    </row>
    <row r="406" spans="2:2" x14ac:dyDescent="0.45">
      <c r="B406">
        <v>111</v>
      </c>
    </row>
    <row r="407" spans="2:2" x14ac:dyDescent="0.45">
      <c r="B407">
        <v>63</v>
      </c>
    </row>
    <row r="408" spans="2:2" x14ac:dyDescent="0.45">
      <c r="B408">
        <v>37</v>
      </c>
    </row>
    <row r="409" spans="2:2" x14ac:dyDescent="0.45">
      <c r="B409">
        <v>13</v>
      </c>
    </row>
    <row r="410" spans="2:2" x14ac:dyDescent="0.45">
      <c r="B410">
        <v>5</v>
      </c>
    </row>
    <row r="411" spans="2:2" x14ac:dyDescent="0.45">
      <c r="B411">
        <v>0</v>
      </c>
    </row>
    <row r="412" spans="2:2" x14ac:dyDescent="0.45">
      <c r="B412">
        <v>3</v>
      </c>
    </row>
    <row r="413" spans="2:2" x14ac:dyDescent="0.45">
      <c r="B413">
        <v>281</v>
      </c>
    </row>
    <row r="414" spans="2:2" x14ac:dyDescent="0.45">
      <c r="B414">
        <v>1049</v>
      </c>
    </row>
    <row r="415" spans="2:2" x14ac:dyDescent="0.45">
      <c r="B415">
        <v>416</v>
      </c>
    </row>
    <row r="416" spans="2:2" x14ac:dyDescent="0.45">
      <c r="B416">
        <v>132</v>
      </c>
    </row>
    <row r="417" spans="2:2" x14ac:dyDescent="0.45">
      <c r="B417">
        <v>61</v>
      </c>
    </row>
    <row r="418" spans="2:2" x14ac:dyDescent="0.45">
      <c r="B418">
        <v>40</v>
      </c>
    </row>
    <row r="419" spans="2:2" x14ac:dyDescent="0.45">
      <c r="B419">
        <v>16</v>
      </c>
    </row>
    <row r="420" spans="2:2" x14ac:dyDescent="0.45">
      <c r="B420">
        <v>1</v>
      </c>
    </row>
    <row r="421" spans="2:2" x14ac:dyDescent="0.45">
      <c r="B421">
        <v>3</v>
      </c>
    </row>
    <row r="422" spans="2:2" x14ac:dyDescent="0.45">
      <c r="B422">
        <v>1</v>
      </c>
    </row>
    <row r="423" spans="2:2" x14ac:dyDescent="0.45">
      <c r="B423">
        <v>289</v>
      </c>
    </row>
    <row r="424" spans="2:2" x14ac:dyDescent="0.45">
      <c r="B424">
        <v>1076</v>
      </c>
    </row>
    <row r="425" spans="2:2" x14ac:dyDescent="0.45">
      <c r="B425">
        <v>402</v>
      </c>
    </row>
    <row r="426" spans="2:2" x14ac:dyDescent="0.45">
      <c r="B426">
        <v>128</v>
      </c>
    </row>
    <row r="427" spans="2:2" x14ac:dyDescent="0.45">
      <c r="B427">
        <v>54</v>
      </c>
    </row>
    <row r="428" spans="2:2" x14ac:dyDescent="0.45">
      <c r="B428">
        <v>28</v>
      </c>
    </row>
    <row r="429" spans="2:2" x14ac:dyDescent="0.45">
      <c r="B429">
        <v>11</v>
      </c>
    </row>
    <row r="430" spans="2:2" x14ac:dyDescent="0.45">
      <c r="B430">
        <v>7</v>
      </c>
    </row>
    <row r="431" spans="2:2" x14ac:dyDescent="0.45">
      <c r="B431">
        <v>4</v>
      </c>
    </row>
    <row r="432" spans="2:2" x14ac:dyDescent="0.45">
      <c r="B432">
        <v>1</v>
      </c>
    </row>
    <row r="433" spans="2:2" x14ac:dyDescent="0.45">
      <c r="B433">
        <v>281</v>
      </c>
    </row>
    <row r="434" spans="2:2" x14ac:dyDescent="0.45">
      <c r="B434">
        <v>1068</v>
      </c>
    </row>
    <row r="435" spans="2:2" x14ac:dyDescent="0.45">
      <c r="B435">
        <v>414</v>
      </c>
    </row>
    <row r="436" spans="2:2" x14ac:dyDescent="0.45">
      <c r="B436">
        <v>119</v>
      </c>
    </row>
    <row r="437" spans="2:2" x14ac:dyDescent="0.45">
      <c r="B437">
        <v>58</v>
      </c>
    </row>
    <row r="438" spans="2:2" x14ac:dyDescent="0.45">
      <c r="B438">
        <v>35</v>
      </c>
    </row>
    <row r="439" spans="2:2" x14ac:dyDescent="0.45">
      <c r="B439">
        <v>14</v>
      </c>
    </row>
    <row r="440" spans="2:2" x14ac:dyDescent="0.45">
      <c r="B440">
        <v>5</v>
      </c>
    </row>
    <row r="441" spans="2:2" x14ac:dyDescent="0.45">
      <c r="B441">
        <v>5</v>
      </c>
    </row>
    <row r="442" spans="2:2" x14ac:dyDescent="0.45">
      <c r="B442">
        <v>1</v>
      </c>
    </row>
    <row r="443" spans="2:2" x14ac:dyDescent="0.45">
      <c r="B443">
        <v>550</v>
      </c>
    </row>
    <row r="444" spans="2:2" x14ac:dyDescent="0.45">
      <c r="B444">
        <v>1057</v>
      </c>
    </row>
    <row r="445" spans="2:2" x14ac:dyDescent="0.45">
      <c r="B445">
        <v>249</v>
      </c>
    </row>
    <row r="446" spans="2:2" x14ac:dyDescent="0.45">
      <c r="B446">
        <v>78</v>
      </c>
    </row>
    <row r="447" spans="2:2" x14ac:dyDescent="0.45">
      <c r="B447">
        <v>41</v>
      </c>
    </row>
    <row r="448" spans="2:2" x14ac:dyDescent="0.45">
      <c r="B448">
        <v>16</v>
      </c>
    </row>
    <row r="449" spans="2:2" x14ac:dyDescent="0.45">
      <c r="B449">
        <v>6</v>
      </c>
    </row>
    <row r="450" spans="2:2" x14ac:dyDescent="0.45">
      <c r="B450">
        <v>1</v>
      </c>
    </row>
    <row r="451" spans="2:2" x14ac:dyDescent="0.45">
      <c r="B451">
        <v>1</v>
      </c>
    </row>
    <row r="452" spans="2:2" x14ac:dyDescent="0.45">
      <c r="B452">
        <v>1</v>
      </c>
    </row>
    <row r="453" spans="2:2" x14ac:dyDescent="0.45">
      <c r="B453">
        <v>397</v>
      </c>
    </row>
    <row r="454" spans="2:2" x14ac:dyDescent="0.45">
      <c r="B454">
        <v>1078</v>
      </c>
    </row>
    <row r="455" spans="2:2" x14ac:dyDescent="0.45">
      <c r="B455">
        <v>328</v>
      </c>
    </row>
    <row r="456" spans="2:2" x14ac:dyDescent="0.45">
      <c r="B456">
        <v>100</v>
      </c>
    </row>
    <row r="457" spans="2:2" x14ac:dyDescent="0.45">
      <c r="B457">
        <v>47</v>
      </c>
    </row>
    <row r="458" spans="2:2" x14ac:dyDescent="0.45">
      <c r="B458">
        <v>32</v>
      </c>
    </row>
    <row r="459" spans="2:2" x14ac:dyDescent="0.45">
      <c r="B459">
        <v>10</v>
      </c>
    </row>
    <row r="460" spans="2:2" x14ac:dyDescent="0.45">
      <c r="B460">
        <v>4</v>
      </c>
    </row>
    <row r="461" spans="2:2" x14ac:dyDescent="0.45">
      <c r="B461">
        <v>2</v>
      </c>
    </row>
    <row r="462" spans="2:2" x14ac:dyDescent="0.45">
      <c r="B462">
        <v>2</v>
      </c>
    </row>
    <row r="463" spans="2:2" x14ac:dyDescent="0.45">
      <c r="B463">
        <v>315</v>
      </c>
    </row>
    <row r="464" spans="2:2" x14ac:dyDescent="0.45">
      <c r="B464">
        <v>1065</v>
      </c>
    </row>
    <row r="465" spans="2:2" x14ac:dyDescent="0.45">
      <c r="B465">
        <v>373</v>
      </c>
    </row>
    <row r="466" spans="2:2" x14ac:dyDescent="0.45">
      <c r="B466">
        <v>113</v>
      </c>
    </row>
    <row r="467" spans="2:2" x14ac:dyDescent="0.45">
      <c r="B467">
        <v>72</v>
      </c>
    </row>
    <row r="468" spans="2:2" x14ac:dyDescent="0.45">
      <c r="B468">
        <v>37</v>
      </c>
    </row>
    <row r="469" spans="2:2" x14ac:dyDescent="0.45">
      <c r="B469">
        <v>12</v>
      </c>
    </row>
    <row r="470" spans="2:2" x14ac:dyDescent="0.45">
      <c r="B470">
        <v>4</v>
      </c>
    </row>
    <row r="471" spans="2:2" x14ac:dyDescent="0.45">
      <c r="B471">
        <v>6</v>
      </c>
    </row>
    <row r="472" spans="2:2" x14ac:dyDescent="0.45">
      <c r="B472">
        <v>3</v>
      </c>
    </row>
    <row r="473" spans="2:2" x14ac:dyDescent="0.45">
      <c r="B473">
        <v>401</v>
      </c>
    </row>
    <row r="474" spans="2:2" x14ac:dyDescent="0.45">
      <c r="B474">
        <v>1078</v>
      </c>
    </row>
    <row r="475" spans="2:2" x14ac:dyDescent="0.45">
      <c r="B475">
        <v>308</v>
      </c>
    </row>
    <row r="476" spans="2:2" x14ac:dyDescent="0.45">
      <c r="B476">
        <v>97</v>
      </c>
    </row>
    <row r="477" spans="2:2" x14ac:dyDescent="0.45">
      <c r="B477">
        <v>61</v>
      </c>
    </row>
    <row r="478" spans="2:2" x14ac:dyDescent="0.45">
      <c r="B478">
        <v>34</v>
      </c>
    </row>
    <row r="479" spans="2:2" x14ac:dyDescent="0.45">
      <c r="B479">
        <v>10</v>
      </c>
    </row>
    <row r="480" spans="2:2" x14ac:dyDescent="0.45">
      <c r="B480">
        <v>2</v>
      </c>
    </row>
    <row r="481" spans="2:2" x14ac:dyDescent="0.45">
      <c r="B481">
        <v>5</v>
      </c>
    </row>
    <row r="482" spans="2:2" x14ac:dyDescent="0.45">
      <c r="B482">
        <v>4</v>
      </c>
    </row>
    <row r="483" spans="2:2" x14ac:dyDescent="0.45">
      <c r="B483">
        <v>373</v>
      </c>
    </row>
    <row r="484" spans="2:2" x14ac:dyDescent="0.45">
      <c r="B484">
        <v>1050</v>
      </c>
    </row>
    <row r="485" spans="2:2" x14ac:dyDescent="0.45">
      <c r="B485">
        <v>356</v>
      </c>
    </row>
    <row r="486" spans="2:2" x14ac:dyDescent="0.45">
      <c r="B486">
        <v>105</v>
      </c>
    </row>
    <row r="487" spans="2:2" x14ac:dyDescent="0.45">
      <c r="B487">
        <v>57</v>
      </c>
    </row>
    <row r="488" spans="2:2" x14ac:dyDescent="0.45">
      <c r="B488">
        <v>34</v>
      </c>
    </row>
    <row r="489" spans="2:2" x14ac:dyDescent="0.45">
      <c r="B489">
        <v>11</v>
      </c>
    </row>
    <row r="490" spans="2:2" x14ac:dyDescent="0.45">
      <c r="B490">
        <v>5</v>
      </c>
    </row>
    <row r="491" spans="2:2" x14ac:dyDescent="0.45">
      <c r="B491">
        <v>4</v>
      </c>
    </row>
    <row r="492" spans="2:2" x14ac:dyDescent="0.45">
      <c r="B492">
        <v>5</v>
      </c>
    </row>
    <row r="493" spans="2:2" x14ac:dyDescent="0.45">
      <c r="B493">
        <v>649</v>
      </c>
    </row>
    <row r="494" spans="2:2" x14ac:dyDescent="0.45">
      <c r="B494">
        <v>993</v>
      </c>
    </row>
    <row r="495" spans="2:2" x14ac:dyDescent="0.45">
      <c r="B495">
        <v>216</v>
      </c>
    </row>
    <row r="496" spans="2:2" x14ac:dyDescent="0.45">
      <c r="B496">
        <v>65</v>
      </c>
    </row>
    <row r="497" spans="2:2" x14ac:dyDescent="0.45">
      <c r="B497">
        <v>52</v>
      </c>
    </row>
    <row r="498" spans="2:2" x14ac:dyDescent="0.45">
      <c r="B498">
        <v>13</v>
      </c>
    </row>
    <row r="499" spans="2:2" x14ac:dyDescent="0.45">
      <c r="B499">
        <v>7</v>
      </c>
    </row>
    <row r="500" spans="2:2" x14ac:dyDescent="0.45">
      <c r="B500">
        <v>2</v>
      </c>
    </row>
    <row r="501" spans="2:2" x14ac:dyDescent="0.45">
      <c r="B501">
        <v>2</v>
      </c>
    </row>
    <row r="502" spans="2:2" x14ac:dyDescent="0.45">
      <c r="B502">
        <v>1</v>
      </c>
    </row>
    <row r="503" spans="2:2" x14ac:dyDescent="0.45">
      <c r="B503">
        <v>596</v>
      </c>
    </row>
    <row r="504" spans="2:2" x14ac:dyDescent="0.45">
      <c r="B504">
        <v>999</v>
      </c>
    </row>
    <row r="505" spans="2:2" x14ac:dyDescent="0.45">
      <c r="B505">
        <v>238</v>
      </c>
    </row>
    <row r="506" spans="2:2" x14ac:dyDescent="0.45">
      <c r="B506">
        <v>84</v>
      </c>
    </row>
    <row r="507" spans="2:2" x14ac:dyDescent="0.45">
      <c r="B507">
        <v>44</v>
      </c>
    </row>
    <row r="508" spans="2:2" x14ac:dyDescent="0.45">
      <c r="B508">
        <v>22</v>
      </c>
    </row>
    <row r="509" spans="2:2" x14ac:dyDescent="0.45">
      <c r="B509">
        <v>9</v>
      </c>
    </row>
    <row r="510" spans="2:2" x14ac:dyDescent="0.45">
      <c r="B510">
        <v>5</v>
      </c>
    </row>
    <row r="511" spans="2:2" x14ac:dyDescent="0.45">
      <c r="B511">
        <v>1</v>
      </c>
    </row>
    <row r="512" spans="2:2" x14ac:dyDescent="0.45">
      <c r="B512">
        <v>2</v>
      </c>
    </row>
    <row r="513" spans="2:2" x14ac:dyDescent="0.45">
      <c r="B513">
        <v>611</v>
      </c>
    </row>
    <row r="514" spans="2:2" x14ac:dyDescent="0.45">
      <c r="B514">
        <v>982</v>
      </c>
    </row>
    <row r="515" spans="2:2" x14ac:dyDescent="0.45">
      <c r="B515">
        <v>237</v>
      </c>
    </row>
    <row r="516" spans="2:2" x14ac:dyDescent="0.45">
      <c r="B516">
        <v>91</v>
      </c>
    </row>
    <row r="517" spans="2:2" x14ac:dyDescent="0.45">
      <c r="B517">
        <v>39</v>
      </c>
    </row>
    <row r="518" spans="2:2" x14ac:dyDescent="0.45">
      <c r="B518">
        <v>21</v>
      </c>
    </row>
    <row r="519" spans="2:2" x14ac:dyDescent="0.45">
      <c r="B519">
        <v>10</v>
      </c>
    </row>
    <row r="520" spans="2:2" x14ac:dyDescent="0.45">
      <c r="B520">
        <v>4</v>
      </c>
    </row>
    <row r="521" spans="2:2" x14ac:dyDescent="0.45">
      <c r="B521">
        <v>3</v>
      </c>
    </row>
    <row r="522" spans="2:2" x14ac:dyDescent="0.45">
      <c r="B522">
        <v>2</v>
      </c>
    </row>
    <row r="523" spans="2:2" x14ac:dyDescent="0.45">
      <c r="B523">
        <v>531</v>
      </c>
    </row>
    <row r="524" spans="2:2" x14ac:dyDescent="0.45">
      <c r="B524">
        <v>1002</v>
      </c>
    </row>
    <row r="525" spans="2:2" x14ac:dyDescent="0.45">
      <c r="B525">
        <v>263</v>
      </c>
    </row>
    <row r="526" spans="2:2" x14ac:dyDescent="0.45">
      <c r="B526">
        <v>111</v>
      </c>
    </row>
    <row r="527" spans="2:2" x14ac:dyDescent="0.45">
      <c r="B527">
        <v>43</v>
      </c>
    </row>
    <row r="528" spans="2:2" x14ac:dyDescent="0.45">
      <c r="B528">
        <v>23</v>
      </c>
    </row>
    <row r="529" spans="2:2" x14ac:dyDescent="0.45">
      <c r="B529">
        <v>17</v>
      </c>
    </row>
    <row r="530" spans="2:2" x14ac:dyDescent="0.45">
      <c r="B530">
        <v>3</v>
      </c>
    </row>
    <row r="531" spans="2:2" x14ac:dyDescent="0.45">
      <c r="B531">
        <v>3</v>
      </c>
    </row>
    <row r="532" spans="2:2" x14ac:dyDescent="0.45">
      <c r="B532">
        <v>4</v>
      </c>
    </row>
    <row r="533" spans="2:2" x14ac:dyDescent="0.45">
      <c r="B533">
        <v>550</v>
      </c>
    </row>
    <row r="534" spans="2:2" x14ac:dyDescent="0.45">
      <c r="B534">
        <v>1008</v>
      </c>
    </row>
    <row r="535" spans="2:2" x14ac:dyDescent="0.45">
      <c r="B535">
        <v>250</v>
      </c>
    </row>
    <row r="536" spans="2:2" x14ac:dyDescent="0.45">
      <c r="B536">
        <v>99</v>
      </c>
    </row>
    <row r="537" spans="2:2" x14ac:dyDescent="0.45">
      <c r="B537">
        <v>48</v>
      </c>
    </row>
    <row r="538" spans="2:2" x14ac:dyDescent="0.45">
      <c r="B538">
        <v>19</v>
      </c>
    </row>
    <row r="539" spans="2:2" x14ac:dyDescent="0.45">
      <c r="B539">
        <v>14</v>
      </c>
    </row>
    <row r="540" spans="2:2" x14ac:dyDescent="0.45">
      <c r="B540">
        <v>6</v>
      </c>
    </row>
    <row r="541" spans="2:2" x14ac:dyDescent="0.45">
      <c r="B541">
        <v>4</v>
      </c>
    </row>
    <row r="542" spans="2:2" x14ac:dyDescent="0.45">
      <c r="B542">
        <v>2</v>
      </c>
    </row>
    <row r="543" spans="2:2" x14ac:dyDescent="0.45">
      <c r="B543">
        <v>602</v>
      </c>
    </row>
    <row r="544" spans="2:2" x14ac:dyDescent="0.45">
      <c r="B544">
        <v>1004</v>
      </c>
    </row>
    <row r="545" spans="2:2" x14ac:dyDescent="0.45">
      <c r="B545">
        <v>228</v>
      </c>
    </row>
    <row r="546" spans="2:2" x14ac:dyDescent="0.45">
      <c r="B546">
        <v>84</v>
      </c>
    </row>
    <row r="547" spans="2:2" x14ac:dyDescent="0.45">
      <c r="B547">
        <v>44</v>
      </c>
    </row>
    <row r="548" spans="2:2" x14ac:dyDescent="0.45">
      <c r="B548">
        <v>17</v>
      </c>
    </row>
    <row r="549" spans="2:2" x14ac:dyDescent="0.45">
      <c r="B549">
        <v>12</v>
      </c>
    </row>
    <row r="550" spans="2:2" x14ac:dyDescent="0.45">
      <c r="B550">
        <v>4</v>
      </c>
    </row>
    <row r="551" spans="2:2" x14ac:dyDescent="0.45">
      <c r="B551">
        <v>3</v>
      </c>
    </row>
    <row r="552" spans="2:2" x14ac:dyDescent="0.45">
      <c r="B552">
        <v>2</v>
      </c>
    </row>
    <row r="553" spans="2:2" x14ac:dyDescent="0.45">
      <c r="B553">
        <v>662</v>
      </c>
    </row>
    <row r="554" spans="2:2" x14ac:dyDescent="0.45">
      <c r="B554">
        <v>968</v>
      </c>
    </row>
    <row r="555" spans="2:2" x14ac:dyDescent="0.45">
      <c r="B555">
        <v>220</v>
      </c>
    </row>
    <row r="556" spans="2:2" x14ac:dyDescent="0.45">
      <c r="B556">
        <v>82</v>
      </c>
    </row>
    <row r="557" spans="2:2" x14ac:dyDescent="0.45">
      <c r="B557">
        <v>34</v>
      </c>
    </row>
    <row r="558" spans="2:2" x14ac:dyDescent="0.45">
      <c r="B558">
        <v>16</v>
      </c>
    </row>
    <row r="559" spans="2:2" x14ac:dyDescent="0.45">
      <c r="B559">
        <v>10</v>
      </c>
    </row>
    <row r="560" spans="2:2" x14ac:dyDescent="0.45">
      <c r="B560">
        <v>4</v>
      </c>
    </row>
    <row r="561" spans="2:2" x14ac:dyDescent="0.45">
      <c r="B561">
        <v>3</v>
      </c>
    </row>
    <row r="562" spans="2:2" x14ac:dyDescent="0.45">
      <c r="B562">
        <v>1</v>
      </c>
    </row>
    <row r="563" spans="2:2" x14ac:dyDescent="0.45">
      <c r="B563">
        <v>621</v>
      </c>
    </row>
    <row r="564" spans="2:2" x14ac:dyDescent="0.45">
      <c r="B564">
        <v>990</v>
      </c>
    </row>
    <row r="565" spans="2:2" x14ac:dyDescent="0.45">
      <c r="B565">
        <v>225</v>
      </c>
    </row>
    <row r="566" spans="2:2" x14ac:dyDescent="0.45">
      <c r="B566">
        <v>87</v>
      </c>
    </row>
    <row r="567" spans="2:2" x14ac:dyDescent="0.45">
      <c r="B567">
        <v>33</v>
      </c>
    </row>
    <row r="568" spans="2:2" x14ac:dyDescent="0.45">
      <c r="B568">
        <v>21</v>
      </c>
    </row>
    <row r="569" spans="2:2" x14ac:dyDescent="0.45">
      <c r="B569">
        <v>14</v>
      </c>
    </row>
    <row r="570" spans="2:2" x14ac:dyDescent="0.45">
      <c r="B570">
        <v>5</v>
      </c>
    </row>
    <row r="571" spans="2:2" x14ac:dyDescent="0.45">
      <c r="B571">
        <v>2</v>
      </c>
    </row>
    <row r="572" spans="2:2" x14ac:dyDescent="0.45">
      <c r="B572">
        <v>2</v>
      </c>
    </row>
    <row r="573" spans="2:2" x14ac:dyDescent="0.45">
      <c r="B573">
        <v>480</v>
      </c>
    </row>
    <row r="574" spans="2:2" x14ac:dyDescent="0.45">
      <c r="B574">
        <v>1048</v>
      </c>
    </row>
    <row r="575" spans="2:2" x14ac:dyDescent="0.45">
      <c r="B575">
        <v>268</v>
      </c>
    </row>
    <row r="576" spans="2:2" x14ac:dyDescent="0.45">
      <c r="B576">
        <v>111</v>
      </c>
    </row>
    <row r="577" spans="2:2" x14ac:dyDescent="0.45">
      <c r="B577">
        <v>35</v>
      </c>
    </row>
    <row r="578" spans="2:2" x14ac:dyDescent="0.45">
      <c r="B578">
        <v>29</v>
      </c>
    </row>
    <row r="579" spans="2:2" x14ac:dyDescent="0.45">
      <c r="B579">
        <v>14</v>
      </c>
    </row>
    <row r="580" spans="2:2" x14ac:dyDescent="0.45">
      <c r="B580">
        <v>5</v>
      </c>
    </row>
    <row r="581" spans="2:2" x14ac:dyDescent="0.45">
      <c r="B581">
        <v>6</v>
      </c>
    </row>
    <row r="582" spans="2:2" x14ac:dyDescent="0.45">
      <c r="B582">
        <v>4</v>
      </c>
    </row>
    <row r="583" spans="2:2" x14ac:dyDescent="0.45">
      <c r="B583">
        <v>619</v>
      </c>
    </row>
    <row r="584" spans="2:2" x14ac:dyDescent="0.45">
      <c r="B584">
        <v>980</v>
      </c>
    </row>
    <row r="585" spans="2:2" x14ac:dyDescent="0.45">
      <c r="B585">
        <v>232</v>
      </c>
    </row>
    <row r="586" spans="2:2" x14ac:dyDescent="0.45">
      <c r="B586">
        <v>85</v>
      </c>
    </row>
    <row r="587" spans="2:2" x14ac:dyDescent="0.45">
      <c r="B587">
        <v>40</v>
      </c>
    </row>
    <row r="588" spans="2:2" x14ac:dyDescent="0.45">
      <c r="B588">
        <v>21</v>
      </c>
    </row>
    <row r="589" spans="2:2" x14ac:dyDescent="0.45">
      <c r="B589">
        <v>12</v>
      </c>
    </row>
    <row r="590" spans="2:2" x14ac:dyDescent="0.45">
      <c r="B590">
        <v>6</v>
      </c>
    </row>
    <row r="591" spans="2:2" x14ac:dyDescent="0.45">
      <c r="B591">
        <v>3</v>
      </c>
    </row>
    <row r="592" spans="2:2" x14ac:dyDescent="0.45">
      <c r="B592">
        <v>2</v>
      </c>
    </row>
    <row r="593" spans="2:2" x14ac:dyDescent="0.45">
      <c r="B593">
        <v>904</v>
      </c>
    </row>
    <row r="594" spans="2:2" x14ac:dyDescent="0.45">
      <c r="B594">
        <v>791</v>
      </c>
    </row>
    <row r="595" spans="2:2" x14ac:dyDescent="0.45">
      <c r="B595">
        <v>181</v>
      </c>
    </row>
    <row r="596" spans="2:2" x14ac:dyDescent="0.45">
      <c r="B596">
        <v>61</v>
      </c>
    </row>
    <row r="597" spans="2:2" x14ac:dyDescent="0.45">
      <c r="B597">
        <v>31</v>
      </c>
    </row>
    <row r="598" spans="2:2" x14ac:dyDescent="0.45">
      <c r="B598">
        <v>16</v>
      </c>
    </row>
    <row r="599" spans="2:2" x14ac:dyDescent="0.45">
      <c r="B599">
        <v>7</v>
      </c>
    </row>
    <row r="600" spans="2:2" x14ac:dyDescent="0.45">
      <c r="B600">
        <v>6</v>
      </c>
    </row>
    <row r="601" spans="2:2" x14ac:dyDescent="0.45">
      <c r="B601">
        <v>2</v>
      </c>
    </row>
    <row r="602" spans="2:2" x14ac:dyDescent="0.45">
      <c r="B602">
        <v>1</v>
      </c>
    </row>
    <row r="603" spans="2:2" x14ac:dyDescent="0.45">
      <c r="B603">
        <v>1004</v>
      </c>
    </row>
    <row r="604" spans="2:2" x14ac:dyDescent="0.45">
      <c r="B604">
        <v>724</v>
      </c>
    </row>
    <row r="605" spans="2:2" x14ac:dyDescent="0.45">
      <c r="B605">
        <v>161</v>
      </c>
    </row>
    <row r="606" spans="2:2" x14ac:dyDescent="0.45">
      <c r="B606">
        <v>58</v>
      </c>
    </row>
    <row r="607" spans="2:2" x14ac:dyDescent="0.45">
      <c r="B607">
        <v>30</v>
      </c>
    </row>
    <row r="608" spans="2:2" x14ac:dyDescent="0.45">
      <c r="B608">
        <v>7</v>
      </c>
    </row>
    <row r="609" spans="2:2" x14ac:dyDescent="0.45">
      <c r="B609">
        <v>13</v>
      </c>
    </row>
    <row r="610" spans="2:2" x14ac:dyDescent="0.45">
      <c r="B610">
        <v>1</v>
      </c>
    </row>
    <row r="611" spans="2:2" x14ac:dyDescent="0.45">
      <c r="B611">
        <v>0</v>
      </c>
    </row>
    <row r="612" spans="2:2" x14ac:dyDescent="0.45">
      <c r="B612">
        <v>2</v>
      </c>
    </row>
    <row r="613" spans="2:2" x14ac:dyDescent="0.45">
      <c r="B613">
        <v>1028</v>
      </c>
    </row>
    <row r="614" spans="2:2" x14ac:dyDescent="0.45">
      <c r="B614">
        <v>694</v>
      </c>
    </row>
    <row r="615" spans="2:2" x14ac:dyDescent="0.45">
      <c r="B615">
        <v>161</v>
      </c>
    </row>
    <row r="616" spans="2:2" x14ac:dyDescent="0.45">
      <c r="B616">
        <v>63</v>
      </c>
    </row>
    <row r="617" spans="2:2" x14ac:dyDescent="0.45">
      <c r="B617">
        <v>23</v>
      </c>
    </row>
    <row r="618" spans="2:2" x14ac:dyDescent="0.45">
      <c r="B618">
        <v>16</v>
      </c>
    </row>
    <row r="619" spans="2:2" x14ac:dyDescent="0.45">
      <c r="B619">
        <v>7</v>
      </c>
    </row>
    <row r="620" spans="2:2" x14ac:dyDescent="0.45">
      <c r="B620">
        <v>4</v>
      </c>
    </row>
    <row r="621" spans="2:2" x14ac:dyDescent="0.45">
      <c r="B621">
        <v>1</v>
      </c>
    </row>
    <row r="622" spans="2:2" x14ac:dyDescent="0.45">
      <c r="B622">
        <v>3</v>
      </c>
    </row>
    <row r="623" spans="2:2" x14ac:dyDescent="0.45">
      <c r="B623">
        <v>1153</v>
      </c>
    </row>
    <row r="624" spans="2:2" x14ac:dyDescent="0.45">
      <c r="B624">
        <v>620</v>
      </c>
    </row>
    <row r="625" spans="2:2" x14ac:dyDescent="0.45">
      <c r="B625">
        <v>127</v>
      </c>
    </row>
    <row r="626" spans="2:2" x14ac:dyDescent="0.45">
      <c r="B626">
        <v>58</v>
      </c>
    </row>
    <row r="627" spans="2:2" x14ac:dyDescent="0.45">
      <c r="B627">
        <v>21</v>
      </c>
    </row>
    <row r="628" spans="2:2" x14ac:dyDescent="0.45">
      <c r="B628">
        <v>8</v>
      </c>
    </row>
    <row r="629" spans="2:2" x14ac:dyDescent="0.45">
      <c r="B629">
        <v>7</v>
      </c>
    </row>
    <row r="630" spans="2:2" x14ac:dyDescent="0.45">
      <c r="B630">
        <v>3</v>
      </c>
    </row>
    <row r="631" spans="2:2" x14ac:dyDescent="0.45">
      <c r="B631">
        <v>1</v>
      </c>
    </row>
    <row r="632" spans="2:2" x14ac:dyDescent="0.45">
      <c r="B632">
        <v>2</v>
      </c>
    </row>
    <row r="633" spans="2:2" x14ac:dyDescent="0.45">
      <c r="B633">
        <v>1155</v>
      </c>
    </row>
    <row r="634" spans="2:2" x14ac:dyDescent="0.45">
      <c r="B634">
        <v>616</v>
      </c>
    </row>
    <row r="635" spans="2:2" x14ac:dyDescent="0.45">
      <c r="B635">
        <v>131</v>
      </c>
    </row>
    <row r="636" spans="2:2" x14ac:dyDescent="0.45">
      <c r="B636">
        <v>54</v>
      </c>
    </row>
    <row r="637" spans="2:2" x14ac:dyDescent="0.45">
      <c r="B637">
        <v>22</v>
      </c>
    </row>
    <row r="638" spans="2:2" x14ac:dyDescent="0.45">
      <c r="B638">
        <v>9</v>
      </c>
    </row>
    <row r="639" spans="2:2" x14ac:dyDescent="0.45">
      <c r="B639">
        <v>6</v>
      </c>
    </row>
    <row r="640" spans="2:2" x14ac:dyDescent="0.45">
      <c r="B640">
        <v>4</v>
      </c>
    </row>
    <row r="641" spans="2:2" x14ac:dyDescent="0.45">
      <c r="B641">
        <v>2</v>
      </c>
    </row>
    <row r="642" spans="2:2" x14ac:dyDescent="0.45">
      <c r="B642">
        <v>1</v>
      </c>
    </row>
    <row r="643" spans="2:2" x14ac:dyDescent="0.45">
      <c r="B643">
        <v>1245</v>
      </c>
    </row>
    <row r="644" spans="2:2" x14ac:dyDescent="0.45">
      <c r="B644">
        <v>545</v>
      </c>
    </row>
    <row r="645" spans="2:2" x14ac:dyDescent="0.45">
      <c r="B645">
        <v>125</v>
      </c>
    </row>
    <row r="646" spans="2:2" x14ac:dyDescent="0.45">
      <c r="B646">
        <v>45</v>
      </c>
    </row>
    <row r="647" spans="2:2" x14ac:dyDescent="0.45">
      <c r="B647">
        <v>21</v>
      </c>
    </row>
    <row r="648" spans="2:2" x14ac:dyDescent="0.45">
      <c r="B648">
        <v>10</v>
      </c>
    </row>
    <row r="649" spans="2:2" x14ac:dyDescent="0.45">
      <c r="B649">
        <v>3</v>
      </c>
    </row>
    <row r="650" spans="2:2" x14ac:dyDescent="0.45">
      <c r="B650">
        <v>3</v>
      </c>
    </row>
    <row r="651" spans="2:2" x14ac:dyDescent="0.45">
      <c r="B651">
        <v>2</v>
      </c>
    </row>
    <row r="652" spans="2:2" x14ac:dyDescent="0.45">
      <c r="B652">
        <v>1</v>
      </c>
    </row>
    <row r="653" spans="2:2" x14ac:dyDescent="0.45">
      <c r="B653">
        <v>1360</v>
      </c>
    </row>
    <row r="654" spans="2:2" x14ac:dyDescent="0.45">
      <c r="B654">
        <v>464</v>
      </c>
    </row>
    <row r="655" spans="2:2" x14ac:dyDescent="0.45">
      <c r="B655">
        <v>110</v>
      </c>
    </row>
    <row r="656" spans="2:2" x14ac:dyDescent="0.45">
      <c r="B656">
        <v>39</v>
      </c>
    </row>
    <row r="657" spans="2:2" x14ac:dyDescent="0.45">
      <c r="B657">
        <v>12</v>
      </c>
    </row>
    <row r="658" spans="2:2" x14ac:dyDescent="0.45">
      <c r="B658">
        <v>8</v>
      </c>
    </row>
    <row r="659" spans="2:2" x14ac:dyDescent="0.45">
      <c r="B659">
        <v>2</v>
      </c>
    </row>
    <row r="660" spans="2:2" x14ac:dyDescent="0.45">
      <c r="B660">
        <v>3</v>
      </c>
    </row>
    <row r="661" spans="2:2" x14ac:dyDescent="0.45">
      <c r="B661">
        <v>1</v>
      </c>
    </row>
    <row r="662" spans="2:2" x14ac:dyDescent="0.45">
      <c r="B662">
        <v>1</v>
      </c>
    </row>
    <row r="663" spans="2:2" x14ac:dyDescent="0.45">
      <c r="B663">
        <v>1295</v>
      </c>
    </row>
    <row r="664" spans="2:2" x14ac:dyDescent="0.45">
      <c r="B664">
        <v>506</v>
      </c>
    </row>
    <row r="665" spans="2:2" x14ac:dyDescent="0.45">
      <c r="B665">
        <v>122</v>
      </c>
    </row>
    <row r="666" spans="2:2" x14ac:dyDescent="0.45">
      <c r="B666">
        <v>39</v>
      </c>
    </row>
    <row r="667" spans="2:2" x14ac:dyDescent="0.45">
      <c r="B667">
        <v>21</v>
      </c>
    </row>
    <row r="668" spans="2:2" x14ac:dyDescent="0.45">
      <c r="B668">
        <v>7</v>
      </c>
    </row>
    <row r="669" spans="2:2" x14ac:dyDescent="0.45">
      <c r="B669">
        <v>4</v>
      </c>
    </row>
    <row r="670" spans="2:2" x14ac:dyDescent="0.45">
      <c r="B670">
        <v>2</v>
      </c>
    </row>
    <row r="671" spans="2:2" x14ac:dyDescent="0.45">
      <c r="B671">
        <v>1</v>
      </c>
    </row>
    <row r="672" spans="2:2" x14ac:dyDescent="0.45">
      <c r="B672">
        <v>3</v>
      </c>
    </row>
    <row r="673" spans="2:2" x14ac:dyDescent="0.45">
      <c r="B673">
        <v>1387</v>
      </c>
    </row>
    <row r="674" spans="2:2" x14ac:dyDescent="0.45">
      <c r="B674">
        <v>435</v>
      </c>
    </row>
    <row r="675" spans="2:2" x14ac:dyDescent="0.45">
      <c r="B675">
        <v>113</v>
      </c>
    </row>
    <row r="676" spans="2:2" x14ac:dyDescent="0.45">
      <c r="B676">
        <v>39</v>
      </c>
    </row>
    <row r="677" spans="2:2" x14ac:dyDescent="0.45">
      <c r="B677">
        <v>10</v>
      </c>
    </row>
    <row r="678" spans="2:2" x14ac:dyDescent="0.45">
      <c r="B678">
        <v>9</v>
      </c>
    </row>
    <row r="679" spans="2:2" x14ac:dyDescent="0.45">
      <c r="B679">
        <v>2</v>
      </c>
    </row>
    <row r="680" spans="2:2" x14ac:dyDescent="0.45">
      <c r="B680">
        <v>3</v>
      </c>
    </row>
    <row r="681" spans="2:2" x14ac:dyDescent="0.45">
      <c r="B681">
        <v>1</v>
      </c>
    </row>
    <row r="682" spans="2:2" x14ac:dyDescent="0.45">
      <c r="B682">
        <v>1</v>
      </c>
    </row>
    <row r="683" spans="2:2" x14ac:dyDescent="0.45">
      <c r="B683">
        <v>1031</v>
      </c>
    </row>
    <row r="684" spans="2:2" x14ac:dyDescent="0.45">
      <c r="B684">
        <v>0</v>
      </c>
    </row>
    <row r="685" spans="2:2" x14ac:dyDescent="0.45">
      <c r="B685">
        <v>0</v>
      </c>
    </row>
    <row r="686" spans="2:2" x14ac:dyDescent="0.45">
      <c r="B686">
        <v>0</v>
      </c>
    </row>
    <row r="687" spans="2:2" x14ac:dyDescent="0.45">
      <c r="B687">
        <v>966</v>
      </c>
    </row>
    <row r="688" spans="2:2" x14ac:dyDescent="0.45">
      <c r="B688">
        <v>0</v>
      </c>
    </row>
    <row r="689" spans="2:2" x14ac:dyDescent="0.45">
      <c r="B689">
        <v>0</v>
      </c>
    </row>
    <row r="690" spans="2:2" x14ac:dyDescent="0.45">
      <c r="B690">
        <v>0</v>
      </c>
    </row>
    <row r="691" spans="2:2" x14ac:dyDescent="0.45">
      <c r="B691">
        <v>0</v>
      </c>
    </row>
    <row r="692" spans="2:2" x14ac:dyDescent="0.45">
      <c r="B692">
        <v>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r:ModelRisk xmlns:mr="ModelRisk">
  <mr:Charts xmlns:mr="ModelRisk" enc="base64" len="1300">PABGAEkATABUAEUAUgBTAD4ADQAKADwALwBDAE4AVAA6ADAADQAKAEYASQBMAFQARQBSAFMAPgANAAoAPABQAEEARwBFAFMAPgANAAoAQwBOAFQAOgAy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+AA0ACgA8AC8AUABBAEcARQBTAD4ADQAKAA==</mr:Charts>
</mr:ModelRisk>
</file>

<file path=customXml/itemProps1.xml><?xml version="1.0" encoding="utf-8"?>
<ds:datastoreItem xmlns:ds="http://schemas.openxmlformats.org/officeDocument/2006/customXml" ds:itemID="{7A59B549-146F-4DDC-A6A1-FEEAE3AC3B4A}">
  <ds:schemaRefs>
    <ds:schemaRef ds:uri="ModelRisk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36</vt:i4>
      </vt:variant>
    </vt:vector>
  </HeadingPairs>
  <TitlesOfParts>
    <vt:vector size="45" baseType="lpstr">
      <vt:lpstr>Описание</vt:lpstr>
      <vt:lpstr>Исходные данные</vt:lpstr>
      <vt:lpstr>История</vt:lpstr>
      <vt:lpstr>Модели</vt:lpstr>
      <vt:lpstr>Прогноз</vt:lpstr>
      <vt:lpstr>Результаты</vt:lpstr>
      <vt:lpstr>ModelRiskDSN</vt:lpstr>
      <vt:lpstr>ModelRiskSYS1</vt:lpstr>
      <vt:lpstr>ModelRiskCharts</vt:lpstr>
      <vt:lpstr>Avg_Y1</vt:lpstr>
      <vt:lpstr>Avg_Y2</vt:lpstr>
      <vt:lpstr>Avg_Y3</vt:lpstr>
      <vt:lpstr>Avg_Y4</vt:lpstr>
      <vt:lpstr>Avg_Y5</vt:lpstr>
      <vt:lpstr>Avg5_AJ</vt:lpstr>
      <vt:lpstr>Avg5_GBM</vt:lpstr>
      <vt:lpstr>Avg5_VR</vt:lpstr>
      <vt:lpstr>Best_No</vt:lpstr>
      <vt:lpstr>BudgetPrice</vt:lpstr>
      <vt:lpstr>Checks</vt:lpstr>
      <vt:lpstr>FirstForecastYear</vt:lpstr>
      <vt:lpstr>Fit_Objects</vt:lpstr>
      <vt:lpstr>Hist_Date</vt:lpstr>
      <vt:lpstr>Hist_Last</vt:lpstr>
      <vt:lpstr>Hist_Price</vt:lpstr>
      <vt:lpstr>Hist_Ret</vt:lpstr>
      <vt:lpstr>Model_Names</vt:lpstr>
      <vt:lpstr>Model_No</vt:lpstr>
      <vt:lpstr>ModelUsed</vt:lpstr>
      <vt:lpstr>ModelUsedName</vt:lpstr>
      <vt:lpstr>Obj_AJ</vt:lpstr>
      <vt:lpstr>Obj_GBM</vt:lpstr>
      <vt:lpstr>Obj_VR</vt:lpstr>
      <vt:lpstr>Results!Print_Area</vt:lpstr>
      <vt:lpstr>Forecast!Print_Titles</vt:lpstr>
      <vt:lpstr>History!Print_Titles</vt:lpstr>
      <vt:lpstr>Inputs!Print_Titles</vt:lpstr>
      <vt:lpstr>Results!Print_Titles</vt:lpstr>
      <vt:lpstr>Prior_AJ</vt:lpstr>
      <vt:lpstr>Prior_GBM</vt:lpstr>
      <vt:lpstr>Prior_VR</vt:lpstr>
      <vt:lpstr>SIC_All</vt:lpstr>
      <vt:lpstr>UseAveraging</vt:lpstr>
      <vt:lpstr>UseParamUncertainty</vt:lpstr>
      <vt:lpstr>W_Used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OG-04 Прогноз цены нефти по истории</dc:title>
  <dc:subject>Отраслевые примеры моделей МоделРиск — Нефть и газ</dc:subject>
  <dc:creator>ООО «Стратегия Риска»</dc:creator>
  <cp:keywords>МоделРиск; Монте-Карло; нефть и газ</cp:keywords>
  <dc:description>Ценовой сценарий нефти по десяти годам месячных цен: три подобранные модели временных рядов, сравненные по SIC и усредненные по данным.</dc:description>
  <cp:lastModifiedBy>ООО «Стратегия Риска»</cp:lastModifiedBy>
  <cp:lastPrinted>2026-10-05T16:58:30Z</cp:lastPrinted>
  <dcterms:created xsi:type="dcterms:W3CDTF">2026-10-05T16:53:31Z</dcterms:created>
  <dcterms:modified xsi:type="dcterms:W3CDTF">2026-10-05T16:58:33Z</dcterms:modified>
</cp:coreProperties>
</file>