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8_{1B29CC2F-24E8-4615-9F68-65C4D8CAC5A1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Описание" sheetId="1" r:id="rId1"/>
    <sheet name="Исходные данные" sheetId="2" r:id="rId2"/>
    <sheet name="История" sheetId="3" r:id="rId3"/>
    <sheet name="Прогноз" sheetId="4" r:id="rId4"/>
    <sheet name="Результаты" sheetId="5" r:id="rId5"/>
    <sheet name="ModelRiskDSN" sheetId="6" state="hidden" r:id="rId6"/>
    <sheet name="ModelRiskSYS1" sheetId="7" state="hidden" r:id="rId7"/>
    <sheet name="ModelRiskCharts" sheetId="8" state="hidden" r:id="rId8"/>
  </sheets>
  <definedNames>
    <definedName name="Checks">'Прогноз'!$D$39:$D$42</definedName>
    <definedName name="DaysPerMonth">'Исходные данные'!$D$13</definedName>
    <definedName name="Decline">'Прогноз'!$D$14</definedName>
    <definedName name="Det_Remaining">'История'!$K$21</definedName>
    <definedName name="EconLimit">'Исходные данные'!$D$11</definedName>
    <definedName name="FirstForecastYear">'Исходные данные'!$D$12</definedName>
    <definedName name="Fit_Cov">'История'!$K$26:$L$27</definedName>
    <definedName name="Fit_Decline">'История'!$K$16</definedName>
    <definedName name="Fit_DeclineYr">'История'!$K$17</definedName>
    <definedName name="Fit_EndRate">'История'!$K$19</definedName>
    <definedName name="Fit_Intercept">'История'!$K$10</definedName>
    <definedName name="Fit_MeanMonth">'История'!$K$13</definedName>
    <definedName name="Fit_Means">'История'!$J$26:$J$27</definedName>
    <definedName name="Fit_R2">'История'!$K$11</definedName>
    <definedName name="Fit_SE_Int">'История'!$K$15</definedName>
    <definedName name="Fit_SE_Slope">'История'!$K$14</definedName>
    <definedName name="Fit_SEy">'История'!$K$12</definedName>
    <definedName name="Fit_Slope">'История'!$K$9</definedName>
    <definedName name="Fit_StartRate">'История'!$K$18</definedName>
    <definedName name="Fit_StopRate">'История'!$K$20</definedName>
    <definedName name="ForecastYears">'Исходные данные'!$D$14</definedName>
    <definedName name="Hist_Cum">'История'!$G$45</definedName>
    <definedName name="Hist_LastMonth">'История'!$B$45</definedName>
    <definedName name="Hist_LnRate">'История'!$D$10:$D$45</definedName>
    <definedName name="Hist_Month">'История'!$B$10:$B$45</definedName>
    <definedName name="Hist_Rate">'История'!$C$10:$C$45</definedName>
    <definedName name="InputMeans">'Исходные данные'!$I$21:$I$22</definedName>
    <definedName name="Line_Int">'Прогноз'!$D$12</definedName>
    <definedName name="Line_Slope">'Прогноз'!$D$13</definedName>
    <definedName name="MN_Int">'История'!$M$26</definedName>
    <definedName name="MN_Slope">'История'!$M$27</definedName>
    <definedName name="_xlnm.Print_Area" localSheetId="4">'Результаты'!$A$1:$R$53</definedName>
    <definedName name="_xlnm.Print_Titles" localSheetId="3">'Прогноз'!$6:$7,'Прогноз'!$A:$D</definedName>
    <definedName name="_xlnm.Print_Titles" localSheetId="2">'История'!$1:$4</definedName>
    <definedName name="_xlnm.Print_Titles" localSheetId="1">'Исходные данные'!$1:$4</definedName>
    <definedName name="_xlnm.Print_Titles" localSheetId="4">'Результаты'!$1:$4</definedName>
    <definedName name="Prob_WBT">'Исходные данные'!$D$20</definedName>
    <definedName name="Remaining">'Прогноз'!$D$33</definedName>
    <definedName name="RemainingLife">'Прогноз'!$D$35</definedName>
    <definedName name="SimOpt_AccountDomain" hidden="1">""</definedName>
    <definedName name="SimOpt_AccountName" hidden="1">""</definedName>
    <definedName name="SimOpt_AccountPassword" hidden="1">""</definedName>
    <definedName name="SimOpt_CheckPrecisionAfter" hidden="1">10</definedName>
    <definedName name="SimOpt_GotoSample" hidden="1">0</definedName>
    <definedName name="SimOpt_Macros0" hidden="1">""</definedName>
    <definedName name="SimOpt_Macros1" hidden="1">""</definedName>
    <definedName name="SimOpt_Macros2" hidden="1">""</definedName>
    <definedName name="SimOpt_Macros3" hidden="1">""</definedName>
    <definedName name="SimOpt_MacrosUsage" hidden="1">0</definedName>
    <definedName name="SimOpt_MinSimBufferSize" hidden="1">0</definedName>
    <definedName name="SimOpt_RefreshExcel" hidden="1">0</definedName>
    <definedName name="SimOpt_RefreshRate" hidden="1">1</definedName>
    <definedName name="SimOpt_SamplesCount" hidden="1">10000</definedName>
    <definedName name="SimOpt_Seed0" hidden="1">1</definedName>
    <definedName name="SimOpt_SeedFixed" hidden="1">1</definedName>
    <definedName name="SimOpt_SeedMultiplyType" hidden="1">0</definedName>
    <definedName name="SimOpt_ServerAddress" hidden="1">""</definedName>
    <definedName name="SimOpt_ShowResultsAtEnd" hidden="1">1</definedName>
    <definedName name="SimOpt_ShowSparklines" hidden="1">0</definedName>
    <definedName name="SimOpt_SimsCount" hidden="1">1</definedName>
    <definedName name="SimOpt_SkipTurboConsistency" hidden="1">0</definedName>
    <definedName name="SimOpt_StopOnOutputError" hidden="1">0</definedName>
    <definedName name="SimOpt_TurboParityChecked" hidden="1">0</definedName>
    <definedName name="SimOpt_UploadEnabled" hidden="1">0</definedName>
    <definedName name="SimOpt_UploadModel" hidden="1">0</definedName>
    <definedName name="SimOpt_UploadProfile" hidden="1">"MODELRISK"</definedName>
    <definedName name="SimOpt_UploadRemotely" hidden="1">0</definedName>
    <definedName name="SimOpt_UseTurboByDefault" hidden="1">0</definedName>
    <definedName name="StartRate">'Прогноз'!$D$15</definedName>
    <definedName name="UltimateRecovery">'Прогноз'!$D$34</definedName>
    <definedName name="UseFitUncertainty">'Исходные данные'!$D$15</definedName>
    <definedName name="WBT_Factor">'Исходные данные'!$D$22</definedName>
    <definedName name="WBT_Factor_Hi">'Исходные данные'!$H$22</definedName>
    <definedName name="WBT_Factor_Lo">'Исходные данные'!$F$22</definedName>
    <definedName name="WBT_Factor_Mean">'Исходные данные'!$I$22</definedName>
    <definedName name="WBT_Factor_ML">'Исходные данные'!$G$22</definedName>
    <definedName name="WBT_From">'Прогноз'!$D$17</definedName>
    <definedName name="WBT_Occurs">'Прогноз'!$D$16</definedName>
    <definedName name="WBT_Time">'Исходные данные'!$D$21</definedName>
    <definedName name="WBT_Time_Hi">'Исходные данные'!$H$21</definedName>
    <definedName name="WBT_Time_Lo">'Исходные данные'!$F$21</definedName>
    <definedName name="WBT_Time_Mean">'Исходные данные'!$I$21</definedName>
    <definedName name="WBT_Time_ML">'Исходные данные'!$G$21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8" i="5" l="1"/>
  <c r="C107" i="5"/>
  <c r="C106" i="5"/>
  <c r="C105" i="5"/>
  <c r="C104" i="5"/>
  <c r="C103" i="5"/>
  <c r="C102" i="5"/>
  <c r="C101" i="5"/>
  <c r="C100" i="5"/>
  <c r="C99" i="5"/>
  <c r="C98" i="5"/>
  <c r="C97" i="5"/>
  <c r="C96" i="5"/>
  <c r="C95" i="5"/>
  <c r="C94" i="5"/>
  <c r="C93" i="5"/>
  <c r="C92" i="5"/>
  <c r="C91" i="5"/>
  <c r="C90" i="5"/>
  <c r="C89" i="5"/>
  <c r="C88" i="5"/>
  <c r="C87" i="5"/>
  <c r="C86" i="5"/>
  <c r="C85" i="5"/>
  <c r="C84" i="5"/>
  <c r="C83" i="5"/>
  <c r="C82" i="5"/>
  <c r="C81" i="5"/>
  <c r="C80" i="5"/>
  <c r="C79" i="5"/>
  <c r="C78" i="5"/>
  <c r="C77" i="5"/>
  <c r="C76" i="5"/>
  <c r="C75" i="5"/>
  <c r="C74" i="5"/>
  <c r="C73" i="5"/>
  <c r="C72" i="5"/>
  <c r="C71" i="5"/>
  <c r="C70" i="5"/>
  <c r="C69" i="5"/>
  <c r="C68" i="5"/>
  <c r="C67" i="5"/>
  <c r="C66" i="5"/>
  <c r="C65" i="5"/>
  <c r="C64" i="5"/>
  <c r="C63" i="5"/>
  <c r="C62" i="5"/>
  <c r="C61" i="5"/>
  <c r="C60" i="5"/>
  <c r="C59" i="5"/>
  <c r="D40" i="4"/>
  <c r="F7" i="4"/>
  <c r="B119" i="5"/>
  <c r="G6" i="4"/>
  <c r="H6" i="4" s="1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K13" i="3"/>
  <c r="D13" i="3"/>
  <c r="D12" i="3"/>
  <c r="D11" i="3"/>
  <c r="D10" i="3"/>
  <c r="D13" i="2"/>
  <c r="F26" i="3"/>
  <c r="F18" i="3"/>
  <c r="F28" i="3"/>
  <c r="F34" i="3"/>
  <c r="F40" i="3"/>
  <c r="F12" i="3"/>
  <c r="F38" i="3"/>
  <c r="F23" i="3"/>
  <c r="F44" i="3"/>
  <c r="F25" i="3"/>
  <c r="F19" i="3"/>
  <c r="F30" i="3"/>
  <c r="F36" i="3"/>
  <c r="F11" i="3"/>
  <c r="F42" i="3"/>
  <c r="F10" i="3"/>
  <c r="G10" i="3"/>
  <c r="F20" i="3"/>
  <c r="F16" i="3"/>
  <c r="F27" i="3"/>
  <c r="F32" i="3"/>
  <c r="F13" i="3"/>
  <c r="F21" i="3"/>
  <c r="F15" i="3"/>
  <c r="F29" i="3"/>
  <c r="F31" i="3"/>
  <c r="F33" i="3"/>
  <c r="F35" i="3"/>
  <c r="F37" i="3"/>
  <c r="F39" i="3"/>
  <c r="F41" i="3"/>
  <c r="F43" i="3"/>
  <c r="F45" i="3"/>
  <c r="F17" i="3"/>
  <c r="F14" i="3"/>
  <c r="F22" i="3"/>
  <c r="F24" i="3"/>
  <c r="G11" i="3"/>
  <c r="G12" i="3" s="1"/>
  <c r="G13" i="3" s="1"/>
  <c r="G14" i="3" s="1"/>
  <c r="D16" i="4" a="1"/>
  <c r="I21" i="2" a="1"/>
  <c r="D22" i="2" a="1"/>
  <c r="D21" i="2" a="1"/>
  <c r="I22" i="2" a="1"/>
  <c r="G7" i="4" l="1"/>
  <c r="B120" i="5" s="1"/>
  <c r="G15" i="3"/>
  <c r="G16" i="3" s="1"/>
  <c r="G17" i="3" s="1"/>
  <c r="G18" i="3" s="1"/>
  <c r="G19" i="3" s="1"/>
  <c r="G20" i="3" s="1"/>
  <c r="G21" i="3" s="1"/>
  <c r="G22" i="3" s="1"/>
  <c r="G23" i="3" s="1"/>
  <c r="G24" i="3" s="1"/>
  <c r="G25" i="3" s="1"/>
  <c r="G26" i="3" s="1"/>
  <c r="G27" i="3" s="1"/>
  <c r="G28" i="3" s="1"/>
  <c r="G29" i="3" s="1"/>
  <c r="G30" i="3" s="1"/>
  <c r="G31" i="3" s="1"/>
  <c r="G32" i="3" s="1"/>
  <c r="G33" i="3" s="1"/>
  <c r="G34" i="3" s="1"/>
  <c r="G35" i="3" s="1"/>
  <c r="G36" i="3" s="1"/>
  <c r="G37" i="3" s="1"/>
  <c r="G38" i="3" s="1"/>
  <c r="G39" i="3" s="1"/>
  <c r="G40" i="3" s="1"/>
  <c r="G41" i="3" s="1"/>
  <c r="G42" i="3" s="1"/>
  <c r="G43" i="3" s="1"/>
  <c r="G44" i="3" s="1"/>
  <c r="G45" i="3" s="1"/>
  <c r="E28" i="4" s="1"/>
  <c r="K9" i="3"/>
  <c r="D39" i="4" s="1"/>
  <c r="K10" i="3"/>
  <c r="E22" i="3" s="1"/>
  <c r="D16" i="4"/>
  <c r="I6" i="4"/>
  <c r="H7" i="4"/>
  <c r="B121" i="5" s="1"/>
  <c r="J27" i="3"/>
  <c r="K16" i="3"/>
  <c r="K11" i="3"/>
  <c r="K12" i="3"/>
  <c r="K14" i="3" s="1"/>
  <c r="I22" i="2"/>
  <c r="D21" i="2"/>
  <c r="D22" i="2"/>
  <c r="I21" i="2"/>
  <c r="D15" i="5" a="1"/>
  <c r="E44" i="3" l="1"/>
  <c r="E30" i="3"/>
  <c r="E23" i="3"/>
  <c r="E15" i="3"/>
  <c r="E20" i="3"/>
  <c r="E16" i="3"/>
  <c r="E12" i="3"/>
  <c r="E21" i="3"/>
  <c r="K17" i="3"/>
  <c r="E33" i="3"/>
  <c r="E25" i="3"/>
  <c r="E27" i="3"/>
  <c r="E43" i="3"/>
  <c r="E14" i="3"/>
  <c r="E13" i="3"/>
  <c r="E28" i="3"/>
  <c r="E18" i="3"/>
  <c r="E45" i="3"/>
  <c r="E38" i="3"/>
  <c r="E10" i="3"/>
  <c r="E31" i="3"/>
  <c r="K18" i="3"/>
  <c r="D41" i="4" s="1"/>
  <c r="E40" i="3"/>
  <c r="E36" i="3"/>
  <c r="E41" i="3"/>
  <c r="E32" i="3"/>
  <c r="E26" i="3"/>
  <c r="E37" i="3"/>
  <c r="E29" i="3"/>
  <c r="J26" i="3"/>
  <c r="E17" i="3"/>
  <c r="E24" i="3"/>
  <c r="E39" i="3"/>
  <c r="E34" i="3"/>
  <c r="E35" i="3"/>
  <c r="E42" i="3"/>
  <c r="E19" i="3"/>
  <c r="E11" i="3"/>
  <c r="D15" i="5"/>
  <c r="J6" i="4"/>
  <c r="I7" i="4"/>
  <c r="B122" i="5" s="1"/>
  <c r="K15" i="3"/>
  <c r="K26" i="3" s="1"/>
  <c r="L27" i="3"/>
  <c r="M26" i="3" a="1"/>
  <c r="L26" i="3"/>
  <c r="K27" i="3" s="1"/>
  <c r="J7" i="4" l="1"/>
  <c r="B123" i="5" s="1"/>
  <c r="K6" i="4"/>
  <c r="M26" i="3"/>
  <c r="D12" i="4" s="1"/>
  <c r="M27" i="3"/>
  <c r="D13" i="4" s="1"/>
  <c r="D14" i="4" s="1" a="1"/>
  <c r="D14" i="4" s="1"/>
  <c r="D24" i="5" a="1"/>
  <c r="G24" i="5" a="1"/>
  <c r="F24" i="5" a="1"/>
  <c r="E24" i="5" a="1"/>
  <c r="D15" i="4" l="1" a="1"/>
  <c r="D15" i="4" s="1"/>
  <c r="E24" i="4" s="1"/>
  <c r="F22" i="4" s="1"/>
  <c r="E24" i="5"/>
  <c r="F24" i="5"/>
  <c r="G24" i="5"/>
  <c r="D24" i="5"/>
  <c r="D42" i="4"/>
  <c r="B7" i="5" s="1"/>
  <c r="L6" i="4"/>
  <c r="K7" i="4"/>
  <c r="B124" i="5" s="1"/>
  <c r="D23" i="5" a="1"/>
  <c r="E23" i="5" a="1"/>
  <c r="F23" i="5" a="1"/>
  <c r="G23" i="5" a="1"/>
  <c r="G23" i="5" l="1"/>
  <c r="F23" i="5"/>
  <c r="E23" i="5"/>
  <c r="D23" i="5"/>
  <c r="M6" i="4"/>
  <c r="L7" i="4"/>
  <c r="B125" i="5" s="1"/>
  <c r="N6" i="4" l="1"/>
  <c r="M7" i="4"/>
  <c r="B126" i="5" s="1"/>
  <c r="O6" i="4" l="1"/>
  <c r="N7" i="4"/>
  <c r="B127" i="5" s="1"/>
  <c r="O7" i="4" l="1"/>
  <c r="B128" i="5" s="1"/>
  <c r="P6" i="4"/>
  <c r="P7" i="4" l="1"/>
  <c r="B129" i="5" s="1"/>
  <c r="Q6" i="4"/>
  <c r="Q7" i="4" l="1"/>
  <c r="B130" i="5" s="1"/>
  <c r="D14" i="2"/>
  <c r="K19" i="3" l="1"/>
  <c r="K20" i="3" s="1"/>
  <c r="K21" i="3" s="1"/>
  <c r="D13" i="5" s="1"/>
  <c r="D17" i="4"/>
  <c r="I21" i="4" l="1"/>
  <c r="J21" i="4"/>
  <c r="H21" i="4"/>
  <c r="K21" i="4"/>
  <c r="F21" i="4"/>
  <c r="F23" i="4" s="1"/>
  <c r="G21" i="4"/>
  <c r="L21" i="4"/>
  <c r="M21" i="4"/>
  <c r="N21" i="4"/>
  <c r="O21" i="4"/>
  <c r="P21" i="4"/>
  <c r="Q21" i="4"/>
  <c r="F24" i="4" l="1"/>
  <c r="G22" i="4" s="1"/>
  <c r="F26" i="4" a="1"/>
  <c r="F26" i="4" s="1"/>
  <c r="F25" i="4"/>
  <c r="E119" i="5" a="1"/>
  <c r="F119" i="5" a="1"/>
  <c r="C119" i="5" a="1"/>
  <c r="D119" i="5" a="1"/>
  <c r="D119" i="5" l="1"/>
  <c r="C119" i="5"/>
  <c r="F119" i="5"/>
  <c r="E119" i="5"/>
  <c r="F28" i="4"/>
  <c r="F27" i="4"/>
  <c r="G23" i="4"/>
  <c r="G24" i="4" s="1"/>
  <c r="H22" i="4" s="1"/>
  <c r="G25" i="4" l="1"/>
  <c r="H23" i="4"/>
  <c r="H24" i="4" s="1"/>
  <c r="I22" i="4" s="1"/>
  <c r="H25" i="4"/>
  <c r="H26" i="4" a="1"/>
  <c r="H26" i="4" s="1"/>
  <c r="G26" i="4" a="1"/>
  <c r="G26" i="4" s="1"/>
  <c r="D120" i="5" a="1"/>
  <c r="E120" i="5" a="1"/>
  <c r="F120" i="5" a="1"/>
  <c r="C120" i="5" a="1"/>
  <c r="E121" i="5" a="1"/>
  <c r="F121" i="5" a="1"/>
  <c r="C121" i="5" a="1"/>
  <c r="D121" i="5" a="1"/>
  <c r="D121" i="5" l="1"/>
  <c r="C121" i="5"/>
  <c r="F121" i="5"/>
  <c r="E121" i="5"/>
  <c r="C120" i="5"/>
  <c r="F120" i="5"/>
  <c r="E120" i="5"/>
  <c r="D120" i="5"/>
  <c r="H27" i="4"/>
  <c r="G27" i="4"/>
  <c r="G28" i="4"/>
  <c r="H28" i="4" s="1"/>
  <c r="I23" i="4"/>
  <c r="I24" i="4" s="1"/>
  <c r="J22" i="4" s="1"/>
  <c r="I26" i="4" a="1"/>
  <c r="I26" i="4" s="1"/>
  <c r="C122" i="5" a="1"/>
  <c r="F122" i="5" a="1"/>
  <c r="E122" i="5" a="1"/>
  <c r="D122" i="5" a="1"/>
  <c r="I25" i="4" l="1"/>
  <c r="D122" i="5"/>
  <c r="E122" i="5"/>
  <c r="F122" i="5"/>
  <c r="C122" i="5"/>
  <c r="I27" i="4"/>
  <c r="J23" i="4"/>
  <c r="J24" i="4" s="1"/>
  <c r="K22" i="4" s="1"/>
  <c r="J26" i="4" a="1"/>
  <c r="J26" i="4" s="1"/>
  <c r="I28" i="4"/>
  <c r="F123" i="5" a="1"/>
  <c r="E123" i="5" a="1"/>
  <c r="D123" i="5" a="1"/>
  <c r="C123" i="5" a="1"/>
  <c r="J25" i="4" l="1"/>
  <c r="C123" i="5"/>
  <c r="D123" i="5"/>
  <c r="E123" i="5"/>
  <c r="F123" i="5"/>
  <c r="J27" i="4"/>
  <c r="K23" i="4"/>
  <c r="K24" i="4" s="1"/>
  <c r="L22" i="4" s="1"/>
  <c r="K26" i="4" a="1"/>
  <c r="K26" i="4" s="1"/>
  <c r="J28" i="4"/>
  <c r="C124" i="5" a="1"/>
  <c r="E124" i="5" a="1"/>
  <c r="D124" i="5" a="1"/>
  <c r="F124" i="5" a="1"/>
  <c r="K25" i="4" l="1"/>
  <c r="F124" i="5"/>
  <c r="D124" i="5"/>
  <c r="E124" i="5"/>
  <c r="C124" i="5"/>
  <c r="L23" i="4"/>
  <c r="L24" i="4" s="1"/>
  <c r="M22" i="4" s="1"/>
  <c r="K27" i="4"/>
  <c r="K28" i="4"/>
  <c r="L26" i="4" l="1" a="1"/>
  <c r="L26" i="4" s="1"/>
  <c r="L27" i="4" s="1"/>
  <c r="M23" i="4"/>
  <c r="M24" i="4" s="1"/>
  <c r="N22" i="4" s="1"/>
  <c r="L25" i="4"/>
  <c r="C125" i="5" a="1"/>
  <c r="D125" i="5" a="1"/>
  <c r="E125" i="5" a="1"/>
  <c r="F125" i="5" a="1"/>
  <c r="M25" i="4" l="1"/>
  <c r="M26" i="4" a="1"/>
  <c r="M26" i="4" s="1"/>
  <c r="L28" i="4"/>
  <c r="M28" i="4" s="1"/>
  <c r="F125" i="5"/>
  <c r="E125" i="5"/>
  <c r="D125" i="5"/>
  <c r="C125" i="5"/>
  <c r="N23" i="4"/>
  <c r="N24" i="4" s="1"/>
  <c r="O22" i="4" s="1"/>
  <c r="N26" i="4" a="1"/>
  <c r="N26" i="4" s="1"/>
  <c r="N25" i="4"/>
  <c r="M27" i="4"/>
  <c r="C126" i="5" a="1"/>
  <c r="F126" i="5" a="1"/>
  <c r="E126" i="5" a="1"/>
  <c r="D126" i="5" a="1"/>
  <c r="F127" i="5" a="1"/>
  <c r="E127" i="5" a="1"/>
  <c r="D127" i="5" a="1"/>
  <c r="C127" i="5" a="1"/>
  <c r="D126" i="5" l="1"/>
  <c r="E126" i="5"/>
  <c r="F126" i="5"/>
  <c r="C126" i="5"/>
  <c r="C127" i="5"/>
  <c r="D127" i="5"/>
  <c r="E127" i="5"/>
  <c r="F127" i="5"/>
  <c r="O26" i="4" a="1"/>
  <c r="O26" i="4" s="1"/>
  <c r="O23" i="4"/>
  <c r="O24" i="4" s="1"/>
  <c r="P22" i="4" s="1"/>
  <c r="O25" i="4"/>
  <c r="N27" i="4"/>
  <c r="N28" i="4"/>
  <c r="C128" i="5" a="1"/>
  <c r="F128" i="5" a="1"/>
  <c r="E128" i="5" a="1"/>
  <c r="D128" i="5" a="1"/>
  <c r="D128" i="5" l="1"/>
  <c r="E128" i="5"/>
  <c r="F128" i="5"/>
  <c r="C128" i="5"/>
  <c r="O27" i="4"/>
  <c r="P25" i="4"/>
  <c r="P26" i="4" a="1"/>
  <c r="P26" i="4" s="1"/>
  <c r="P23" i="4"/>
  <c r="P24" i="4" s="1"/>
  <c r="Q22" i="4" s="1"/>
  <c r="O28" i="4"/>
  <c r="F129" i="5" a="1"/>
  <c r="C129" i="5" a="1"/>
  <c r="D129" i="5" a="1"/>
  <c r="E129" i="5" a="1"/>
  <c r="E129" i="5" l="1"/>
  <c r="D129" i="5"/>
  <c r="C129" i="5"/>
  <c r="F129" i="5"/>
  <c r="P27" i="4"/>
  <c r="Q25" i="4"/>
  <c r="D25" i="4" s="1"/>
  <c r="D35" i="4" s="1" a="1"/>
  <c r="D35" i="4" s="1"/>
  <c r="Q26" i="4" a="1"/>
  <c r="Q26" i="4" s="1"/>
  <c r="Q23" i="4"/>
  <c r="Q24" i="4" s="1"/>
  <c r="P28" i="4"/>
  <c r="D22" i="5" a="1"/>
  <c r="E22" i="5" a="1"/>
  <c r="F22" i="5" a="1"/>
  <c r="G22" i="5" a="1"/>
  <c r="C130" i="5" a="1"/>
  <c r="F130" i="5" a="1"/>
  <c r="D130" i="5" a="1"/>
  <c r="E130" i="5" a="1"/>
  <c r="E130" i="5" l="1"/>
  <c r="D130" i="5"/>
  <c r="F130" i="5"/>
  <c r="C130" i="5"/>
  <c r="G22" i="5"/>
  <c r="F22" i="5"/>
  <c r="E22" i="5"/>
  <c r="D22" i="5"/>
  <c r="Q27" i="4"/>
  <c r="D26" i="4"/>
  <c r="Q28" i="4"/>
  <c r="D34" i="4" l="1" a="1"/>
  <c r="D34" i="4" s="1"/>
  <c r="D33" i="4" a="1"/>
  <c r="D33" i="4" s="1"/>
  <c r="G21" i="5" a="1"/>
  <c r="D21" i="5" a="1"/>
  <c r="F21" i="5" a="1"/>
  <c r="E21" i="5" a="1"/>
  <c r="D78" i="5" a="1"/>
  <c r="D100" i="5" a="1"/>
  <c r="D105" i="5" a="1"/>
  <c r="D94" i="5" a="1"/>
  <c r="D79" i="5" a="1"/>
  <c r="D72" i="5" a="1"/>
  <c r="D101" i="5" a="1"/>
  <c r="D98" i="5" a="1"/>
  <c r="D83" i="5" a="1"/>
  <c r="B6" i="5" a="1"/>
  <c r="D63" i="5" a="1"/>
  <c r="D93" i="5" a="1"/>
  <c r="D91" i="5" a="1"/>
  <c r="D84" i="5" a="1"/>
  <c r="D110" i="5" a="1"/>
  <c r="D104" i="5" a="1"/>
  <c r="D61" i="5" a="1"/>
  <c r="D76" i="5" a="1"/>
  <c r="D108" i="5" a="1"/>
  <c r="D133" i="5" a="1"/>
  <c r="D106" i="5" a="1"/>
  <c r="D80" i="5" a="1"/>
  <c r="D85" i="5" a="1"/>
  <c r="D20" i="5" a="1"/>
  <c r="D12" i="5" a="1"/>
  <c r="D59" i="5" a="1"/>
  <c r="E20" i="5" a="1"/>
  <c r="D99" i="5" a="1"/>
  <c r="D102" i="5" a="1"/>
  <c r="D87" i="5" a="1"/>
  <c r="D60" i="5" a="1"/>
  <c r="D65" i="5" a="1"/>
  <c r="D77" i="5" a="1"/>
  <c r="D135" i="5" a="1"/>
  <c r="D95" i="5" a="1"/>
  <c r="D69" i="5" a="1"/>
  <c r="D92" i="5" a="1"/>
  <c r="B29" i="5" a="1"/>
  <c r="D14" i="5" a="1"/>
  <c r="D67" i="5" a="1"/>
  <c r="D62" i="5" a="1"/>
  <c r="D81" i="5" a="1"/>
  <c r="F20" i="5" a="1"/>
  <c r="D70" i="5" a="1"/>
  <c r="D82" i="5" a="1"/>
  <c r="D71" i="5" a="1"/>
  <c r="D103" i="5" a="1"/>
  <c r="D64" i="5" a="1"/>
  <c r="D96" i="5" a="1"/>
  <c r="D73" i="5" a="1"/>
  <c r="D89" i="5" a="1"/>
  <c r="D90" i="5" a="1"/>
  <c r="D75" i="5" a="1"/>
  <c r="D107" i="5" a="1"/>
  <c r="D68" i="5" a="1"/>
  <c r="D97" i="5" a="1"/>
  <c r="D86" i="5" a="1"/>
  <c r="D134" i="5" a="1"/>
  <c r="G20" i="5" a="1"/>
  <c r="D66" i="5" a="1"/>
  <c r="D88" i="5" a="1"/>
  <c r="D74" i="5" a="1"/>
  <c r="D74" i="5" l="1"/>
  <c r="D88" i="5"/>
  <c r="D66" i="5"/>
  <c r="G20" i="5"/>
  <c r="D134" i="5"/>
  <c r="D86" i="5"/>
  <c r="D97" i="5"/>
  <c r="D68" i="5"/>
  <c r="D107" i="5"/>
  <c r="D75" i="5"/>
  <c r="D90" i="5"/>
  <c r="D89" i="5"/>
  <c r="D73" i="5"/>
  <c r="D96" i="5"/>
  <c r="D64" i="5"/>
  <c r="D103" i="5"/>
  <c r="D71" i="5"/>
  <c r="D82" i="5"/>
  <c r="D70" i="5"/>
  <c r="F20" i="5"/>
  <c r="D81" i="5"/>
  <c r="D62" i="5"/>
  <c r="D67" i="5"/>
  <c r="D14" i="5"/>
  <c r="B29" i="5"/>
  <c r="B112" i="5" s="1"/>
  <c r="E29" i="5"/>
  <c r="D32" i="5"/>
  <c r="B31" i="5"/>
  <c r="B114" i="5" s="1"/>
  <c r="D30" i="5"/>
  <c r="C33" i="5"/>
  <c r="E31" i="5"/>
  <c r="D31" i="5"/>
  <c r="C31" i="5"/>
  <c r="C30" i="5"/>
  <c r="C29" i="5"/>
  <c r="B30" i="5"/>
  <c r="B113" i="5" s="1"/>
  <c r="B32" i="5"/>
  <c r="B115" i="5" s="1"/>
  <c r="E33" i="5"/>
  <c r="D33" i="5"/>
  <c r="E30" i="5"/>
  <c r="B33" i="5"/>
  <c r="B116" i="5" s="1"/>
  <c r="D29" i="5"/>
  <c r="C32" i="5"/>
  <c r="E32" i="5"/>
  <c r="D92" i="5"/>
  <c r="D69" i="5"/>
  <c r="D95" i="5"/>
  <c r="D135" i="5"/>
  <c r="D77" i="5"/>
  <c r="D65" i="5"/>
  <c r="D60" i="5"/>
  <c r="D87" i="5"/>
  <c r="D102" i="5"/>
  <c r="D99" i="5"/>
  <c r="E20" i="5"/>
  <c r="D59" i="5"/>
  <c r="D12" i="5"/>
  <c r="D20" i="5"/>
  <c r="D85" i="5"/>
  <c r="D80" i="5"/>
  <c r="D106" i="5"/>
  <c r="D133" i="5"/>
  <c r="D108" i="5"/>
  <c r="D76" i="5"/>
  <c r="D61" i="5"/>
  <c r="D104" i="5"/>
  <c r="D110" i="5"/>
  <c r="D84" i="5"/>
  <c r="D91" i="5"/>
  <c r="D93" i="5"/>
  <c r="D63" i="5"/>
  <c r="B6" i="5"/>
  <c r="D83" i="5"/>
  <c r="D98" i="5"/>
  <c r="D101" i="5"/>
  <c r="D72" i="5"/>
  <c r="D79" i="5"/>
  <c r="D94" i="5"/>
  <c r="D105" i="5"/>
  <c r="D100" i="5"/>
  <c r="D78" i="5"/>
  <c r="E21" i="5"/>
  <c r="F21" i="5"/>
  <c r="D21" i="5"/>
  <c r="G21" i="5"/>
  <c r="G116" i="5" l="1"/>
  <c r="F113" i="5"/>
  <c r="F114" i="5"/>
  <c r="F116" i="5"/>
  <c r="G115" i="5"/>
  <c r="G112" i="5"/>
  <c r="F115" i="5"/>
  <c r="F112" i="5"/>
  <c r="G113" i="5"/>
  <c r="G114" i="5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<sst xmlns="http://schemas.openxmlformats.org/spreadsheetml/2006/main" count="376" uniqueCount="292">
  <si>
    <t xml:space="preserve">Прогноз добычи с неопределенностью кривой падения</t>
  </si>
  <si>
    <t xml:space="preserve">Пример МоделРиск  ·  Нефть и газ  ·  OG-03</t>
  </si>
  <si>
    <t xml:space="preserve">Сколько еще добудет скважина К-12?  Прогноз по кривой падения, учитывающий неопределенность подбора, а не только лучшую линию.</t>
  </si>
  <si>
    <t xml:space="preserve">Далее:  Исходные данные  ▸</t>
  </si>
  <si>
    <t xml:space="preserve">Карточка модели</t>
  </si>
  <si>
    <t xml:space="preserve">Отрасль</t>
  </si>
  <si>
    <t xml:space="preserve">Нефть и газ</t>
  </si>
  <si>
    <t xml:space="preserve">Сложность</t>
  </si>
  <si>
    <t xml:space="preserve">★★★☆☆   Подбирает кривую падения к истории добычи, переносит неопределенность подбора в прогноз и добавляет рисковое событие.</t>
  </si>
  <si>
    <t xml:space="preserve">Вопрос бизнеса</t>
  </si>
  <si>
    <t xml:space="preserve">Скважина К-12 работает три года. Сколько еще она добудет, как долго и насколько вероятно, что обычный однострочный прогноз окажется слишком оптимистичным, если учесть неопределенность падения и возможный прорыв воды?</t>
  </si>
  <si>
    <t xml:space="preserve">Для кого</t>
  </si>
  <si>
    <t xml:space="preserve">Инженерам по разработке и добыче, аудиторам запасов и плановикам, которые прогнозируют добычу действующих скважин.</t>
  </si>
  <si>
    <t xml:space="preserve">Основные результаты</t>
  </si>
  <si>
    <t xml:space="preserve">Годовая добыча с полосой P90 / P50 / P10 · остаточные извлекаемые запасы и конечная накопленная добыча (EUR) · оставшийся срок работы · вероятность, что единственный прогноз по наилучшей линии завышен · что определяет диапазон.</t>
  </si>
  <si>
    <t xml:space="preserve">Приемы МоделРиск</t>
  </si>
  <si>
    <t xml:space="preserve">Экспоненциальное падение, подобранное регрессией · неопределенность параметров подбора как двумерное нормальное распределение (VoseMultiNormal) · рисковое событие с неопределенным моментом и размером · годовой прогноз с экономическим пределом · веерная диаграмма процентилей во времени.</t>
  </si>
  <si>
    <t xml:space="preserve">Файл</t>
  </si>
  <si>
    <t xml:space="preserve">OG-03 Прогноз добычи с неопределенностью кривой падения  ·  Версия 1.0  ·  Ноябрь 2026  ·  создано в МоделРиск</t>
  </si>
  <si>
    <t xml:space="preserve">Вопрос бизнеса</t>
  </si>
  <si>
    <t xml:space="preserve">У скважины К-12 36 месяцев истории добычи. Обычный прогноз проводит через историю линию падения и продлевает ее: одна линия, одно число для остаточного объема. Но темп падения оценивается по разбросанным данным, поэтому чуть более пологие или крутые линии подходят почти так же хорошо, а за 12 лет разница накапливается. Кроме того, история не может показать то, чего еще не случилось: вода от ближайшей нагнетательной скважины может прорваться и ускорить падение. Модель подбирает к истории экспоненциальное падение регрессией, превращает стандартные ошибки подбора в совместную неопределенность начального дебита и темпа падения и добавляет риск прорыва. Результат — не линия, а полоса прогноза, диапазон P90 / P50 / P10 для остаточного объема и вероятность того, что единственный прогноз по наилучшей линии завышает будущую добычу скважины.</t>
  </si>
  <si>
    <t xml:space="preserve">Как устроена модель</t>
  </si>
  <si>
    <t xml:space="preserve">После этого листа идут еще четыре, слева направо. Каждый питает следующий.</t>
  </si>
  <si>
    <t xml:space="preserve">1  Исходные данные</t>
  </si>
  <si>
    <t xml:space="preserve">Допущения, которых не дает история: экономический предел, первый год прогноза и риск прорыва воды (его вероятность, момент и насколько он ускоряет падение).</t>
  </si>
  <si>
    <t xml:space="preserve">2  История</t>
  </si>
  <si>
    <t xml:space="preserve">Помесячные дебиты за 36 месяцев. Экспоненциальное падение — прямая линия, если откладывать логарифм дебита от времени, поэтому функция Excel ЛИНЕЙН дает подобранные свободный член и наклон с их стандартными ошибками. Вместе с их ковариацией они задают двумерное нормальное распределение; VoseMultiNormal в каждой итерации разыгрывает из него одну правдоподобную линию.</t>
  </si>
  <si>
    <t xml:space="preserve">3  Прогноз</t>
  </si>
  <si>
    <t xml:space="preserve">Каждый год начинается с дебита, которым закончился предыдущий, и падает экспоненциально. С года прорыва темп падения умножается на коэффициент прорыва. Добыча прекращается, когда дебит достигает экономического предела. Годовые объемы — точный интеграл экспоненциального падения.</t>
  </si>
  <si>
    <t xml:space="preserve">4  Результаты</t>
  </si>
  <si>
    <t xml:space="preserve">Процентильные полосы годовой добычи, остаточный объем и EUR, сравнение единственного прогноза по наилучшей линии со смоделированным диапазоном и величины, которые его определяют.</t>
  </si>
  <si>
    <t xml:space="preserve">Как пользоваться моделью</t>
  </si>
  <si>
    <t xml:space="preserve">Шаг 1</t>
  </si>
  <si>
    <t xml:space="preserve">Замените дебиты на листе «История» помесячными дебитами своей скважины (36 месяцев); подбор и все дальнейшие расчеты обновятся.</t>
  </si>
  <si>
    <t xml:space="preserve">Шаг 2</t>
  </si>
  <si>
    <t xml:space="preserve">Нажимайте F9 и смотрите на лист «Прогноз»: каждый пересчет — одна правдоподобная линия падения и история прорыва.</t>
  </si>
  <si>
    <t xml:space="preserve">Шаг 3</t>
  </si>
  <si>
    <t xml:space="preserve">Запустите моделирование на ленте МоделРиск (уже заданы 10 000 итераций и фиксированное начальное число генератора).</t>
  </si>
  <si>
    <t xml:space="preserve">Шаг 4</t>
  </si>
  <si>
    <t xml:space="preserve">Установите «Учитывать неопределенность подбора» в 0 на листе «Исходные данные» и запустите моделирование снова: останется только риск прорыва.</t>
  </si>
  <si>
    <t xml:space="preserve">Структура модели</t>
  </si>
  <si>
    <t xml:space="preserve">Исходные данные</t>
  </si>
  <si>
    <t xml:space="preserve">Экономический предел, начало прогноза, риск прорыва воды и переключатель неопределенности подбора.</t>
  </si>
  <si>
    <t xml:space="preserve">История</t>
  </si>
  <si>
    <t xml:space="preserve">История добычи, регрессионный подбор и совместная неопределенность подобранной линии.</t>
  </si>
  <si>
    <t xml:space="preserve">Прогноз</t>
  </si>
  <si>
    <t xml:space="preserve">Годовой прогноз одной итерации, остаточный объем, EUR и проверки модели.</t>
  </si>
  <si>
    <t xml:space="preserve">Результаты</t>
  </si>
  <si>
    <t xml:space="preserve">Веерная диаграмма, диапазоны объемов, сравнение с однострочным прогнозом и ключевые факторы.</t>
  </si>
  <si>
    <t xml:space="preserve">Цветовые обозначения</t>
  </si>
  <si>
    <t xml:space="preserve">Исходное значение</t>
  </si>
  <si>
    <t xml:space="preserve">Допущение, которое можно менять. Исходные данные — только в этих ячейках.</t>
  </si>
  <si>
    <t xml:space="preserve">Неопределенная величина</t>
  </si>
  <si>
    <t xml:space="preserve">Распределение МоделРиск: новое случайное значение выбирается при каждом пересчете (F9) и в каждой итерации моделирования.</t>
  </si>
  <si>
    <t xml:space="preserve">Расчет</t>
  </si>
  <si>
    <t xml:space="preserve">Формула. Не перезаписывайте.</t>
  </si>
  <si>
    <t xml:space="preserve">Ключевой результат</t>
  </si>
  <si>
    <t xml:space="preserve">Отмечен функцией VoseOutput: при моделировании сохраняется его полное распределение.</t>
  </si>
  <si>
    <t xml:space="preserve">Результат моделирования</t>
  </si>
  <si>
    <t xml:space="preserve">Функция VoseSim…: статистика последнего моделирования, заполняется автоматически.</t>
  </si>
  <si>
    <t xml:space="preserve">Единицы и обозначения</t>
  </si>
  <si>
    <t xml:space="preserve">Дебиты и объемы</t>
  </si>
  <si>
    <t xml:space="preserve">барр./сут — баррелей в сутки в среднем за месяц или год; тыс. барр. — тысячи баррелей.</t>
  </si>
  <si>
    <t xml:space="preserve">Падение</t>
  </si>
  <si>
    <t xml:space="preserve">Экспоненциальное падение: дебит(t) = дебит(0) × exp(−D × t), D — в месяц. Падение 1,6% в месяц — примерно 17% в год.</t>
  </si>
  <si>
    <t xml:space="preserve">Процентили</t>
  </si>
  <si>
    <t xml:space="preserve">Принято в нефтегазовой отрасли: P90 — низкая оценка (вероятность превышения 90%), P10 — высокая оценка.</t>
  </si>
  <si>
    <t xml:space="preserve">Основные допущения и ограничения</t>
  </si>
  <si>
    <t xml:space="preserve">Тип падения</t>
  </si>
  <si>
    <t xml:space="preserve">Экспоненциальное (Арпс, b = 0). Многие скважины в начале жизни падают гиперболически; тот же метод работает с нелинейным подбором гиперболической кривой.</t>
  </si>
  <si>
    <t xml:space="preserve">Подбор</t>
  </si>
  <si>
    <t xml:space="preserve">Стандартные ошибки регрессии описывают неопределенность линии. Будущий разброс от месяца к месяцу не учитывается, потому что за год он усредняется.</t>
  </si>
  <si>
    <t xml:space="preserve">Прорыв</t>
  </si>
  <si>
    <t xml:space="preserve">Более крутое падение применяется ко всему году прорыва — немного осторожное упрощение.</t>
  </si>
  <si>
    <t xml:space="preserve">Производство</t>
  </si>
  <si>
    <t xml:space="preserve">Без капитальных ремонтов, стимуляции и простоев сверх уже отраженных в истории.</t>
  </si>
  <si>
    <t xml:space="preserve">Данные</t>
  </si>
  <si>
    <t xml:space="preserve">История добычи синтетическая, создана для этого примера.</t>
  </si>
  <si>
    <t xml:space="preserve">Функции МоделРиск в модели</t>
  </si>
  <si>
    <t>VoseMultiNormal</t>
  </si>
  <si>
    <t xml:space="preserve">Разыгрывает свободный член и наклон линии падения вместе, с корреляцией, которую дает регрессия.</t>
  </si>
  <si>
    <t>VoseBernoulli, VosePERT</t>
  </si>
  <si>
    <t xml:space="preserve">Риск прорыва воды: произойдет ли он, когда и насколько ускорит падение.</t>
  </si>
  <si>
    <t>VoseInput, VoseOutput</t>
  </si>
  <si>
    <t xml:space="preserve">Обозначить разыгрываемые параметры и выходы прогноза; добыча каждого года — выход для веерной диаграммы.</t>
  </si>
  <si>
    <t>VoseSimMean, VoseSimPercentile, VoseSimProbability</t>
  </si>
  <si>
    <t xml:space="preserve">Статистика моделирования для таблиц и графиков на листе «Результаты».</t>
  </si>
  <si>
    <t>VoseSimSensitivityMean</t>
  </si>
  <si>
    <t xml:space="preserve">Диаграмма «торнадо»: все VoseInput ранжированы по тому, насколько меняется средний остаточный объем на их диапазоне.</t>
  </si>
  <si>
    <t xml:space="preserve">ЛИНЕЙН (Excel)</t>
  </si>
  <si>
    <t xml:space="preserve">Регрессия логарифма дебита по времени со стандартными ошибками свободного члена и наклона.</t>
  </si>
  <si>
    <t xml:space="preserve">Что почитать</t>
  </si>
  <si>
    <t xml:space="preserve">Кривые падения</t>
  </si>
  <si>
    <t>Arps, J. J. (1945). Analysis of decline curves. Transactions of the AIME 160, 228–247.</t>
  </si>
  <si>
    <t xml:space="preserve">Неопределенность</t>
  </si>
  <si>
    <t xml:space="preserve">Подбор распределения по данным (статья)</t>
  </si>
  <si>
    <t xml:space="preserve">Резервы</t>
  </si>
  <si>
    <t>SPE, WPC, AAPG, SPEE, SEG, SPWLA, EAGE (2018). Petroleum Resources Management System (PRMS).</t>
  </si>
  <si>
    <t xml:space="preserve">© 2026 ООО «Стратегия Риска»   ·   www.riskstrategy.ru   ·   Учебный пример: цифры придуманы для обучения и не описывают реальную компанию, проект или актив.</t>
  </si>
  <si>
    <t xml:space="preserve">ИСХОДНЫЕ ДАННЫЕ   ·   Все допущения модели, их неопределенность и обоснование. Меняйте только желтые ячейки.</t>
  </si>
  <si>
    <t xml:space="preserve">◂  Описание</t>
  </si>
  <si>
    <t xml:space="preserve">Далее:  История  ▸</t>
  </si>
  <si>
    <t xml:space="preserve">Как читать этот лист:  желтые ячейки — исходные данные.  В оранжевых ячейках распределения МоделРиск, они показывают текущее случайное значение (F9 — выбрать заново).  Мин. / Наиболее вероятное / Макс. — минимум, наиболее вероятное значение и максимум для PERT.  Среднее — среднее значение распределения (VoseMean); если диапазон задан неверно, показывается ✗.</t>
  </si>
  <si>
    <t xml:space="preserve">1   Настройки прогноза</t>
  </si>
  <si>
    <t xml:space="preserve">Экономический предел прекращает добычу. Прогноз начинается с года после последнего месяца истории.</t>
  </si>
  <si>
    <t xml:space="preserve">Допущение</t>
  </si>
  <si>
    <t xml:space="preserve">Ед. изм.</t>
  </si>
  <si>
    <t xml:space="preserve">Значение в модели</t>
  </si>
  <si>
    <t xml:space="preserve">Обоснование / источник (условно)</t>
  </si>
  <si>
    <t xml:space="preserve">Экономический предел</t>
  </si>
  <si>
    <t xml:space="preserve">барр./сут</t>
  </si>
  <si>
    <t xml:space="preserve">Константа</t>
  </si>
  <si>
    <t xml:space="preserve">Дебит, при котором операционные затраты скважины равны ее чистой выручке; тогда ее останавливают.</t>
  </si>
  <si>
    <t xml:space="preserve">Первый год прогноза</t>
  </si>
  <si>
    <t xml:space="preserve">год</t>
  </si>
  <si>
    <t xml:space="preserve">Календарный год 1-го года прогноза.</t>
  </si>
  <si>
    <t xml:space="preserve">Среднее число дней в месяце</t>
  </si>
  <si>
    <t xml:space="preserve">дн.</t>
  </si>
  <si>
    <t xml:space="preserve">Расчетное</t>
  </si>
  <si>
    <t xml:space="preserve">Переводит суточный дебит в месячный объем.</t>
  </si>
  <si>
    <t xml:space="preserve">Длительность прогноза</t>
  </si>
  <si>
    <t xml:space="preserve">лет</t>
  </si>
  <si>
    <t xml:space="preserve">Столбцы лет на листе «Прогноз»; добыча после последнего не учитывается.</t>
  </si>
  <si>
    <t xml:space="preserve">Учитывать неопределенность подбора</t>
  </si>
  <si>
    <t xml:space="preserve">1 — да, 0 — нет</t>
  </si>
  <si>
    <t xml:space="preserve">1 — в каждой итерации линия падения разыгрывается из ее совместной неопределенности; 0 — используется только линия наилучшего подбора.</t>
  </si>
  <si>
    <t xml:space="preserve">2   Прорыв воды</t>
  </si>
  <si>
    <t xml:space="preserve">Рисковое событие: закачиваемая вода доходит до скважины, и с этого момента дебит нефти падает быстрее.</t>
  </si>
  <si>
    <t xml:space="preserve">Мин.</t>
  </si>
  <si>
    <t xml:space="preserve">Наиболее вероятное</t>
  </si>
  <si>
    <t xml:space="preserve">Макс.</t>
  </si>
  <si>
    <t xml:space="preserve">Среднее</t>
  </si>
  <si>
    <t xml:space="preserve">Вероятность прорыва за период прогноза</t>
  </si>
  <si>
    <t xml:space="preserve">вероятность</t>
  </si>
  <si>
    <t xml:space="preserve">До ближайшей нагнетательной скважины 600 м; примерно у трети скважин-аналогов был прорыв.</t>
  </si>
  <si>
    <t xml:space="preserve">Время до прорыва, если он произойдет</t>
  </si>
  <si>
    <t>PERT</t>
  </si>
  <si>
    <t xml:space="preserve">Самое раннее, типичное и самое позднее время прорыва в скважинах-аналогах.</t>
  </si>
  <si>
    <t xml:space="preserve">Множитель падения после прорыва</t>
  </si>
  <si>
    <t>×</t>
  </si>
  <si>
    <t xml:space="preserve">Обводненность растет, дебит нефти падает быстрее: темп падения умножается на этот коэффициент.</t>
  </si>
  <si>
    <t xml:space="preserve">ИСТОРИЯ   ·   36 месяцев добычи и экспоненциальное падение, подобранное к ним регрессией.</t>
  </si>
  <si>
    <t xml:space="preserve">◂  Исходные данные</t>
  </si>
  <si>
    <t xml:space="preserve">Далее:  Прогноз  ▸</t>
  </si>
  <si>
    <t xml:space="preserve">1   История добычи</t>
  </si>
  <si>
    <t xml:space="preserve">2   Подбор падения</t>
  </si>
  <si>
    <t xml:space="preserve">Среднемесячные дебиты (синтетические). Вставьте свои дебиты поверх желтых ячеек.</t>
  </si>
  <si>
    <t xml:space="preserve">ln(дебит) = свободный член + наклон × месяц: экспоненциальное падение — прямая в логарифме дебита.</t>
  </si>
  <si>
    <t xml:space="preserve">Месяц</t>
  </si>
  <si>
    <t xml:space="preserve">Ставка</t>
  </si>
  <si>
    <t xml:space="preserve">ln(дебит)</t>
  </si>
  <si>
    <t xml:space="preserve">Подобранный дебит</t>
  </si>
  <si>
    <t xml:space="preserve">Объем</t>
  </si>
  <si>
    <t xml:space="preserve">Накопленная</t>
  </si>
  <si>
    <t xml:space="preserve">Величина</t>
  </si>
  <si>
    <t xml:space="preserve">Значение</t>
  </si>
  <si>
    <t xml:space="preserve">Как рассчитывается</t>
  </si>
  <si>
    <t xml:space="preserve">тыс. барр.</t>
  </si>
  <si>
    <t xml:space="preserve">Наклон</t>
  </si>
  <si>
    <t xml:space="preserve">в месяц</t>
  </si>
  <si>
    <t xml:space="preserve">НАКЛОН ln(дебита) по месяцу</t>
  </si>
  <si>
    <t xml:space="preserve">Свободный член</t>
  </si>
  <si>
    <t xml:space="preserve">ln(барр./сут)</t>
  </si>
  <si>
    <t xml:space="preserve">ОТРЕЗОК: линия в месяце 0</t>
  </si>
  <si>
    <t>R²</t>
  </si>
  <si>
    <t xml:space="preserve">Доля вариации ln(дебита), которую объясняет линия</t>
  </si>
  <si>
    <t xml:space="preserve">Разброс вокруг линии (стандартное отклонение)</t>
  </si>
  <si>
    <t xml:space="preserve">СТОШYX. Около ±9% от месяца к месяцу: простои, замеры, смена штуцера</t>
  </si>
  <si>
    <t xml:space="preserve">Средний месяц истории</t>
  </si>
  <si>
    <t xml:space="preserve">месяц</t>
  </si>
  <si>
    <t xml:space="preserve">Нужен для ошибок и ковариации ниже</t>
  </si>
  <si>
    <t xml:space="preserve">Стандартная ошибка наклона</t>
  </si>
  <si>
    <t xml:space="preserve">Разброс ÷ √(сумма квадратов отклонений месяцев)</t>
  </si>
  <si>
    <t xml:space="preserve">Стандартная ошибка свободного члена</t>
  </si>
  <si>
    <t xml:space="preserve">Стандартная ошибка наклона × √(среднее месяц²)</t>
  </si>
  <si>
    <t xml:space="preserve">Подобранный темп падения</t>
  </si>
  <si>
    <t xml:space="preserve">−наклон</t>
  </si>
  <si>
    <t xml:space="preserve">Подобранный темп падения, годовой эквивалент</t>
  </si>
  <si>
    <t xml:space="preserve">в год</t>
  </si>
  <si>
    <t xml:space="preserve">1 − exp(12 × наклон)</t>
  </si>
  <si>
    <t xml:space="preserve">Дебит на конец истории, наилучший подбор</t>
  </si>
  <si>
    <t xml:space="preserve">Подобранная линия в последнем месяце истории</t>
  </si>
  <si>
    <t xml:space="preserve">Дебит по наилучшей линии на конец прогноза</t>
  </si>
  <si>
    <t xml:space="preserve">Линия, продленная на месяцы прогноза, как если бы скважина продолжала работать</t>
  </si>
  <si>
    <t xml:space="preserve">Дебит, на котором заканчивается однострочный прогноз</t>
  </si>
  <si>
    <t xml:space="preserve">Экономический предел или дебит на конец прогноза, если скважина все еще выше предела</t>
  </si>
  <si>
    <t xml:space="preserve">Однострочный прогноз остаточного объема</t>
  </si>
  <si>
    <t xml:space="preserve">Дней в месяце × (начальный дебит − конечный дебит) ÷ темп падения: объем под линией, без прорыва</t>
  </si>
  <si>
    <t xml:space="preserve">3   Совместная неопределенность подобранной линии</t>
  </si>
  <si>
    <t xml:space="preserve">Наилучший подбор и ковариационная матрица в столбцах «Свободный член» и «Наклон»: две ошибки коррелированы.</t>
  </si>
  <si>
    <t xml:space="preserve">Параметр</t>
  </si>
  <si>
    <t xml:space="preserve">Наилучший подбор</t>
  </si>
  <si>
    <t xml:space="preserve">Эта итерация</t>
  </si>
  <si>
    <t xml:space="preserve">Примечание</t>
  </si>
  <si>
    <t xml:space="preserve">Дисперсия; ковариация = −(средний месяц) × дисперсия наклона</t>
  </si>
  <si>
    <t xml:space="preserve">Ковариационная матрица регрессии прямой линии</t>
  </si>
  <si>
    <t xml:space="preserve">Эта итерация: VoseMultiNormal разыгрывает одну правдоподобную пару (свободный член, наклон) из этого двумерного нормального распределения. Нажмите F9, чтобы разыграть снова.</t>
  </si>
  <si>
    <t xml:space="preserve">4   История и подобранное падение</t>
  </si>
  <si>
    <t xml:space="preserve">Помесячные дебиты с экспоненциальным падением по наилучшему подбору.</t>
  </si>
  <si>
    <t xml:space="preserve">ПРОГНОЗ   ·   12 лет добычи в этой итерации: разыгранная линия падения, возможный прорыв воды, экономический предел.</t>
  </si>
  <si>
    <t xml:space="preserve">◂  История</t>
  </si>
  <si>
    <t xml:space="preserve">Далее:  Результаты  ▸</t>
  </si>
  <si>
    <t xml:space="preserve">Год прогноза</t>
  </si>
  <si>
    <t xml:space="preserve">Итого</t>
  </si>
  <si>
    <t xml:space="preserve">Начало</t>
  </si>
  <si>
    <t xml:space="preserve">Календарный год</t>
  </si>
  <si>
    <t xml:space="preserve">1   Линия падения и прорыв в этой итерации</t>
  </si>
  <si>
    <t xml:space="preserve">Разыгранная линия с листа «История» или наилучший подбор, если переключатель выключен.</t>
  </si>
  <si>
    <t xml:space="preserve">Свободный член используемой линии</t>
  </si>
  <si>
    <t xml:space="preserve">Выборка этой итерации (лист «История», раздел 3) или наилучший подбор, если переключатель на листе «Исходные данные» равен 0</t>
  </si>
  <si>
    <t xml:space="preserve">Наклон используемой линии</t>
  </si>
  <si>
    <t xml:space="preserve">Выборка этой итерации или наилучший подбор, если переключатель равен 0</t>
  </si>
  <si>
    <t xml:space="preserve">Темп падения</t>
  </si>
  <si>
    <t xml:space="preserve">−наклон используемой линии</t>
  </si>
  <si>
    <t xml:space="preserve">Дебит на начало прогноза</t>
  </si>
  <si>
    <t xml:space="preserve">Используемая линия в последнем месяце истории</t>
  </si>
  <si>
    <t xml:space="preserve">Прорыв воды за период прогноза?  (1 — да)</t>
  </si>
  <si>
    <t>1 / 0</t>
  </si>
  <si>
    <t xml:space="preserve">Испытание Бернулли с вероятностью с листа «Исходные данные»</t>
  </si>
  <si>
    <t xml:space="preserve">Более крутое падение с года прогноза</t>
  </si>
  <si>
    <t xml:space="preserve">Год, в котором происходит прорыв; год после прогноза, если прорыва нет</t>
  </si>
  <si>
    <t xml:space="preserve">2   Годовой прогноз</t>
  </si>
  <si>
    <t xml:space="preserve">Каждый год начинается с дебита, которым закончился предыдущий. Объемы — точный интеграл экспоненциального падения.</t>
  </si>
  <si>
    <t xml:space="preserve">Темп падения в этом году</t>
  </si>
  <si>
    <t xml:space="preserve">Дебит на начало года</t>
  </si>
  <si>
    <t xml:space="preserve">Дебит на конец года, если скважина продолжала бы работать</t>
  </si>
  <si>
    <t xml:space="preserve">Дебит на конец года  (0 — остановлена)</t>
  </si>
  <si>
    <t xml:space="preserve">Доля года выше экономического предела</t>
  </si>
  <si>
    <t xml:space="preserve">Добыча  (выход)</t>
  </si>
  <si>
    <t xml:space="preserve">Средний дебит за год</t>
  </si>
  <si>
    <t xml:space="preserve">Накопленная добыча с начала эксплуатации</t>
  </si>
  <si>
    <t xml:space="preserve">3   Значение в этой итерации</t>
  </si>
  <si>
    <t xml:space="preserve">Ключевые результаты, которые МоделРиск записывает в каждой итерации (VoseOutput). Их статистика — на листе «Результаты».</t>
  </si>
  <si>
    <t xml:space="preserve">Результат</t>
  </si>
  <si>
    <t xml:space="preserve">Смысл</t>
  </si>
  <si>
    <t xml:space="preserve">Остаточные извлекаемые запасы</t>
  </si>
  <si>
    <t xml:space="preserve">Добыча от конца истории до экономического предела или до конца прогноза.</t>
  </si>
  <si>
    <t xml:space="preserve">Конечная накопленная добыча (EUR)</t>
  </si>
  <si>
    <t xml:space="preserve">Добыто к настоящему моменту плюс остаточный объем.</t>
  </si>
  <si>
    <t xml:space="preserve">Оставшийся срок работы</t>
  </si>
  <si>
    <t xml:space="preserve">Лет до того, как дебит достигнет экономического предела (12, если в конце прогноза он все еще выше предела).</t>
  </si>
  <si>
    <t xml:space="preserve">4   Проверки модели</t>
  </si>
  <si>
    <t xml:space="preserve">Везде должно быть «ОК». «ПРОВЕРИТЬ» означает, что исходное значение вышло за пределы, на которые рассчитана модель.</t>
  </si>
  <si>
    <t xml:space="preserve">История падает  (подобранный наклон меньше нуля)</t>
  </si>
  <si>
    <t xml:space="preserve">В истории 36 положительных месячных дебитов</t>
  </si>
  <si>
    <t xml:space="preserve">На начало прогноза скважина выше экономического предела</t>
  </si>
  <si>
    <t xml:space="preserve">Темп падения в этой итерации положителен</t>
  </si>
  <si>
    <t xml:space="preserve">5   Эта итерация вкратце</t>
  </si>
  <si>
    <t xml:space="preserve">Годовая добыча и средний дебит текущей итерации. Нажмите F9, чтобы увидеть другое правдоподобное будущее.</t>
  </si>
  <si>
    <t xml:space="preserve">РЕЗУЛЬТАТЫ   ·   Заполняются автоматически по последнему моделированию. После изменения исходных данных запустите моделирование снова.</t>
  </si>
  <si>
    <t xml:space="preserve">◂  Прогноз</t>
  </si>
  <si>
    <t xml:space="preserve">1   Остаточный объем: моделирование против однострочного прогноза</t>
  </si>
  <si>
    <t xml:space="preserve">Годовая добыча — полоса P90 / P50 / P10</t>
  </si>
  <si>
    <t xml:space="preserve">Обычный прогноз продлевает линию наилучшего подбора и не учитывает то, чего история показать не может.</t>
  </si>
  <si>
    <t xml:space="preserve">Показатель</t>
  </si>
  <si>
    <t xml:space="preserve">Остаточные извлекаемые запасы, среднее моделирования</t>
  </si>
  <si>
    <t xml:space="preserve">Однострочный прогноз  (линия наилучшего подбора, без прорыва)</t>
  </si>
  <si>
    <t xml:space="preserve">Вероятность получить меньше однострочного прогноза</t>
  </si>
  <si>
    <t xml:space="preserve">Вероятность прорыва воды за период прогноза</t>
  </si>
  <si>
    <t xml:space="preserve">2   Объемы и срок работы</t>
  </si>
  <si>
    <t xml:space="preserve">P90 — низкая оценка (вероятность превышения 90%), P10 — высокая оценка.</t>
  </si>
  <si>
    <t xml:space="preserve">P90 (низкая)</t>
  </si>
  <si>
    <t>P50</t>
  </si>
  <si>
    <t xml:space="preserve">P10 (высокая)</t>
  </si>
  <si>
    <t xml:space="preserve">Темп падения (до прорыва)</t>
  </si>
  <si>
    <t xml:space="preserve">3   Что определяет остаточный объем</t>
  </si>
  <si>
    <t xml:space="preserve">Что определяет остаточный объем  (тыс. барр.)</t>
  </si>
  <si>
    <t xml:space="preserve">Наименьший и наибольший средний остаточный объем по десяти равным группам каждой величины (VoseSimSensitivityMean) относительно общего среднего.</t>
  </si>
  <si>
    <t xml:space="preserve">Исходная величина (по степени влияния)</t>
  </si>
  <si>
    <t xml:space="preserve">Наименьшее среднее</t>
  </si>
  <si>
    <t xml:space="preserve">Наибольшее среднее</t>
  </si>
  <si>
    <t xml:space="preserve">Место</t>
  </si>
  <si>
    <t xml:space="preserve">4   Как читать результаты</t>
  </si>
  <si>
    <t xml:space="preserve">Остаточные извлекаемые запасы — кривая превышения</t>
  </si>
  <si>
    <t xml:space="preserve">•  Однострочный прогноз — не середина диапазона. Прорыв может только сократить срок работы скважины, поэтому смоделированные объемы в основном лежат ниже линии наилучшего подбора, а вероятность добыть меньше однострочного прогноза заметно выше 50%.</t>
  </si>
  <si>
    <t xml:space="preserve">•  Полоса показывает для каждого года добычу, которая будет превышена с вероятностью 90%, 50% и 10%. Со временем она расширяется, потому что небольшая разница в темпе падения накапливается год за годом, а прорывы тянут нижнюю границу вниз.</t>
  </si>
  <si>
    <t xml:space="preserve">•  Установите «Учитывать неопределенность подбора» в 0 на листе «Исходные данные» и запустите моделирование снова: оставшийся диапазон создает только риск прорыва. Разница — это часть диапазона, которую сняла бы более длинная или чистая история.</t>
  </si>
  <si>
    <t xml:space="preserve">•  Свободный член и наклон разыгрываются вместе из VoseMultiNormal, потому что их ошибки коррелированы: если разыгрывать их независимо, неопределенность дебита на начало прогноза была бы завышена.</t>
  </si>
  <si>
    <t xml:space="preserve">•  P90 / P50 / P10 остаточного объема — это низкая, лучшая и высокая оценки, которые привел бы для этой скважины отчет о запасах.</t>
  </si>
  <si>
    <t xml:space="preserve">Данные для графиков</t>
  </si>
  <si>
    <t xml:space="preserve">Статистика последнего моделирования для графиков и рейтинга выше. Строки сгруппированы: нажмите «+» на левом поле, чтобы их показать.</t>
  </si>
  <si>
    <t xml:space="preserve">Накопленная вероятность</t>
  </si>
  <si>
    <t xml:space="preserve">Вероятность превышения</t>
  </si>
  <si>
    <t xml:space="preserve">Остаток</t>
  </si>
  <si>
    <t xml:space="preserve">Общее среднее Remaining</t>
  </si>
  <si>
    <t xml:space="preserve">Исходная величина (для графика)</t>
  </si>
  <si>
    <t xml:space="preserve">Наибольшее − среднее</t>
  </si>
  <si>
    <t xml:space="preserve">Наименьшее − среднее</t>
  </si>
  <si>
    <t xml:space="preserve">Период</t>
  </si>
  <si>
    <t xml:space="preserve">Медиана</t>
  </si>
  <si>
    <t xml:space="preserve">Маркер</t>
  </si>
  <si>
    <t>DSN Files Count: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</si>
</sst>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#,##0_);\(#,##0\);&quot;–&quot;_)"/>
    <numFmt numFmtId="165" formatCode="#,##0.0_);\(#,##0.0\);&quot;–&quot;_)"/>
    <numFmt numFmtId="166" formatCode="0.000"/>
    <numFmt numFmtId="167" formatCode="0.00000"/>
    <numFmt numFmtId="168" formatCode="0.0000"/>
    <numFmt numFmtId="169" formatCode="0.0%"/>
    <numFmt numFmtId="170" formatCode="0.0E+00"/>
    <numFmt numFmtId="171" formatCode="#,##0_);\(#,##0\);&quot;–&quot;_);&quot;–&quot;"/>
    <numFmt numFmtId="172" formatCode="0.0%;\-0.0%;0.0%;&quot;–&quot;"/>
    <numFmt numFmtId="173" formatCode="#,##0.0_);\(#,##0.0\);&quot;–&quot;_);&quot;–&quot;"/>
    <numFmt numFmtId="174" formatCode="0.00%;\-0.00%;0.00%;&quot;–&quot;"/>
    <numFmt numFmtId="175" formatCode="0;\-0;0;&quot;–&quot;"/>
  </numFmts>
  <fonts count="27" x14ac:knownFonts="1">
    <font>
      <sz val="11"/>
      <color theme="1"/>
      <name val="Calibri"/>
      <family val="2"/>
      <scheme val="minor"/>
    </font>
    <font>
      <sz val="10"/>
      <color rgb="FF1F2328"/>
      <name val="Calibri"/>
    </font>
    <font>
      <sz val="10"/>
      <color rgb="FF9A3412"/>
      <name val="Calibri"/>
    </font>
    <font>
      <sz val="10"/>
      <color rgb="FF111214"/>
      <name val="Calibri"/>
    </font>
    <font>
      <b/>
      <sz val="10"/>
      <color rgb="FF14532D"/>
      <name val="Calibri"/>
    </font>
    <font>
      <b/>
      <sz val="16"/>
      <color rgb="FF111214"/>
      <name val="Calibri"/>
    </font>
    <font>
      <sz val="10"/>
      <color rgb="FF55585F"/>
      <name val="Calibri"/>
    </font>
    <font>
      <sz val="9"/>
      <color rgb="FF55585F"/>
      <name val="Calibri"/>
    </font>
    <font>
      <u/>
      <sz val="9"/>
      <color rgb="FF1F2328"/>
      <name val="Calibri"/>
    </font>
    <font>
      <b/>
      <sz val="20"/>
      <color rgb="FF111214"/>
      <name val="Calibri"/>
    </font>
    <font>
      <b/>
      <sz val="12"/>
      <color rgb="FF1F2328"/>
      <name val="Calibri"/>
    </font>
    <font>
      <b/>
      <sz val="10"/>
      <color rgb="FF55585F"/>
      <name val="Calibri"/>
    </font>
    <font>
      <b/>
      <sz val="10"/>
      <color rgb="FF111214"/>
      <name val="Calibri"/>
    </font>
    <font>
      <i/>
      <sz val="9"/>
      <color rgb="FF55585F"/>
      <name val="Calibri"/>
    </font>
    <font>
      <u/>
      <sz val="10"/>
      <color rgb="FF1F2328"/>
      <name val="Calibri"/>
    </font>
    <font>
      <b/>
      <sz val="10"/>
      <color rgb="FF1F2328"/>
      <name val="Calibri"/>
    </font>
    <font>
      <i/>
      <sz val="9"/>
      <color rgb="FF8B8E95"/>
      <name val="Calibri"/>
    </font>
    <font>
      <b/>
      <sz val="9"/>
      <color rgb="FF55585F"/>
      <name val="Calibri"/>
    </font>
    <font>
      <sz val="9"/>
      <color rgb="FF55585F"/>
      <name val="Calibri"/>
    </font>
    <font>
      <sz val="8"/>
      <color rgb="FF55585F"/>
      <name val="Calibri"/>
    </font>
    <font>
      <b/>
      <sz val="9"/>
      <color rgb="FF111214"/>
      <name val="Calibri"/>
    </font>
    <font>
      <b/>
      <sz val="9"/>
      <color rgb="FF8B8E95"/>
      <name val="Calibri"/>
    </font>
    <font>
      <sz val="10"/>
      <color rgb="FF8B8E95"/>
      <name val="Calibri"/>
    </font>
    <font>
      <b/>
      <sz val="10"/>
      <color rgb="FF15803D"/>
      <name val="Calibri"/>
    </font>
    <font>
      <b/>
      <sz val="13"/>
      <color rgb="FF1F2328"/>
      <name val="Calibri"/>
    </font>
    <font>
      <sz val="10"/>
      <color rgb="FF55585F"/>
      <name val="Calibri"/>
    </font>
    <font>
      <b/>
      <sz val="11"/>
      <color rgb="FF1F2328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F4CC"/>
        <bgColor rgb="FFFFF4CC"/>
      </patternFill>
    </fill>
    <fill>
      <patternFill patternType="solid">
        <fgColor rgb="FFFCE4D6"/>
        <bgColor rgb="FFFCE4D6"/>
      </patternFill>
    </fill>
    <fill>
      <patternFill patternType="solid">
        <fgColor rgb="FFE3F1E6"/>
        <bgColor rgb="FFE3F1E6"/>
      </patternFill>
    </fill>
    <fill>
      <patternFill patternType="solid">
        <fgColor rgb="FFEEF0F2"/>
        <bgColor rgb="FFEEF0F2"/>
      </patternFill>
    </fill>
    <fill>
      <patternFill patternType="solid">
        <fgColor rgb="FFF4F4F5"/>
        <bgColor rgb="FFF4F4F5"/>
      </patternFill>
    </fill>
    <fill>
      <patternFill patternType="solid">
        <fgColor rgb="FFF4F4F5"/>
        <bgColor rgb="FFF4F4F5"/>
      </patternFill>
    </fill>
  </fills>
  <borders count="11">
    <border>
      <left/>
      <right/>
      <top/>
      <bottom/>
      <diagonal/>
    </border>
    <border>
      <left style="thin">
        <color rgb="FFD9DADD"/>
      </left>
      <right style="thin">
        <color rgb="FFD9DADD"/>
      </right>
      <top style="thin">
        <color rgb="FFD9DADD"/>
      </top>
      <bottom style="thin">
        <color rgb="FFD9DADD"/>
      </bottom>
      <diagonal/>
    </border>
    <border>
      <left/>
      <right/>
      <top/>
      <bottom/>
      <diagonal/>
    </border>
    <border>
      <left style="thin">
        <color rgb="FF15803D"/>
      </left>
      <right style="thin">
        <color rgb="FF15803D"/>
      </right>
      <top style="thin">
        <color rgb="FF15803D"/>
      </top>
      <bottom style="thin">
        <color rgb="FF15803D"/>
      </bottom>
      <diagonal/>
    </border>
    <border>
      <left/>
      <right/>
      <top/>
      <bottom style="thin">
        <color rgb="FFD9DADD"/>
      </bottom>
      <diagonal/>
    </border>
    <border>
      <left/>
      <right/>
      <top/>
      <bottom style="medium">
        <color rgb="FF2F3136"/>
      </bottom>
      <diagonal/>
    </border>
    <border>
      <left/>
      <right/>
      <top/>
      <bottom style="thin">
        <color rgb="FFECEDEF"/>
      </bottom>
      <diagonal/>
    </border>
    <border>
      <left style="thin">
        <color rgb="FFD9DADD"/>
      </left>
      <right style="thin">
        <color rgb="FFD9DADD"/>
      </right>
      <top style="thin">
        <color rgb="FFD9DADD"/>
      </top>
      <bottom style="thin">
        <color rgb="FFECEDEF"/>
      </bottom>
      <diagonal/>
    </border>
    <border>
      <left/>
      <right/>
      <top/>
      <bottom style="thin">
        <color rgb="FFECEDEF"/>
      </bottom>
      <diagonal/>
    </border>
    <border>
      <left style="thin">
        <color rgb="FF15803D"/>
      </left>
      <right style="thin">
        <color rgb="FF15803D"/>
      </right>
      <top style="thin">
        <color rgb="FF15803D"/>
      </top>
      <bottom style="thin">
        <color rgb="FFECEDEF"/>
      </bottom>
      <diagonal/>
    </border>
    <border>
      <left/>
      <right/>
      <top style="thin">
        <color rgb="FFD9DADD"/>
      </top>
      <bottom style="thin">
        <color rgb="FFD9DADD"/>
      </bottom>
      <diagonal/>
    </border>
  </borders>
  <cellStyleXfs count="6">
    <xf numFmtId="0" fontId="0" fillId="0" borderId="0"/>
    <xf numFmtId="0" fontId="1" fillId="2" borderId="1">
      <alignment horizontal="right" vertical="center"/>
    </xf>
    <xf numFmtId="0" fontId="2" fillId="3" borderId="1">
      <alignment horizontal="right" vertical="center"/>
    </xf>
    <xf numFmtId="0" fontId="3" fillId="0" borderId="2">
      <alignment horizontal="right" vertical="center"/>
    </xf>
    <xf numFmtId="0" fontId="4" fillId="4" borderId="3">
      <alignment horizontal="right" vertical="center"/>
    </xf>
    <xf numFmtId="0" fontId="1" fillId="5" borderId="1">
      <alignment horizontal="right" vertical="center"/>
    </xf>
  </cellStyleXfs>
  <cellXfs count="91">
    <xf numFmtId="0" fontId="0" fillId="0" borderId="0" xfId="0"/>
    <xf numFmtId="0" fontId="0" fillId="6" borderId="0" xfId="0" applyFill="1"/>
    <xf numFmtId="0" fontId="9" fillId="6" borderId="0" xfId="0" applyFont="1" applyFill="1" applyAlignment="1">
      <alignment vertical="center"/>
    </xf>
    <xf numFmtId="0" fontId="7" fillId="6" borderId="0" xfId="0" applyFont="1" applyFill="1" applyAlignment="1">
      <alignment horizontal="right" vertical="center"/>
    </xf>
    <xf numFmtId="0" fontId="6" fillId="6" borderId="0" xfId="0" applyFont="1" applyFill="1" applyAlignment="1">
      <alignment vertical="center"/>
    </xf>
    <xf numFmtId="0" fontId="0" fillId="7" borderId="4" xfId="0" applyFill="1" applyBorder="1"/>
    <xf numFmtId="0" fontId="8" fillId="7" borderId="4" xfId="0" applyFont="1" applyFill="1" applyBorder="1" applyAlignment="1">
      <alignment horizontal="right" vertical="center"/>
    </xf>
    <xf numFmtId="0" fontId="10" fillId="0" borderId="5" xfId="0" applyFont="1" applyBorder="1"/>
    <xf numFmtId="0" fontId="0" fillId="0" borderId="5" xfId="0" applyBorder="1"/>
    <xf numFmtId="0" fontId="11" fillId="0" borderId="6" xfId="0" applyFont="1" applyBorder="1" applyAlignment="1">
      <alignment horizontal="left" vertical="top" indent="1"/>
    </xf>
    <xf numFmtId="0" fontId="3" fillId="0" borderId="6" xfId="0" applyFont="1" applyBorder="1" applyAlignment="1">
      <alignment horizontal="left" vertical="top" wrapText="1" indent="1"/>
    </xf>
    <xf numFmtId="0" fontId="12" fillId="0" borderId="6" xfId="0" applyFont="1" applyBorder="1" applyAlignment="1">
      <alignment horizontal="left" vertical="top" wrapText="1" indent="1"/>
    </xf>
    <xf numFmtId="0" fontId="3" fillId="0" borderId="0" xfId="0" applyFont="1" applyAlignment="1">
      <alignment horizontal="left" vertical="top" wrapText="1" indent="1"/>
    </xf>
    <xf numFmtId="0" fontId="13" fillId="0" borderId="0" xfId="0" applyFont="1" applyAlignment="1">
      <alignment vertical="center"/>
    </xf>
    <xf numFmtId="0" fontId="14" fillId="0" borderId="6" xfId="0" applyFont="1" applyBorder="1" applyAlignment="1">
      <alignment horizontal="left" vertical="center" indent="1"/>
    </xf>
    <xf numFmtId="0" fontId="1" fillId="2" borderId="1" xfId="1" applyAlignment="1">
      <alignment horizontal="center" vertical="center"/>
    </xf>
    <xf numFmtId="0" fontId="2" fillId="3" borderId="1" xfId="2" applyAlignment="1">
      <alignment horizontal="center" vertical="center"/>
    </xf>
    <xf numFmtId="0" fontId="3" fillId="0" borderId="2" xfId="3" applyAlignment="1">
      <alignment horizontal="center" vertical="center"/>
    </xf>
    <xf numFmtId="0" fontId="4" fillId="4" borderId="3" xfId="4" applyAlignment="1">
      <alignment horizontal="center" vertical="center"/>
    </xf>
    <xf numFmtId="0" fontId="1" fillId="5" borderId="1" xfId="5" applyAlignment="1">
      <alignment horizontal="center" vertical="center"/>
    </xf>
    <xf numFmtId="0" fontId="15" fillId="0" borderId="6" xfId="0" applyFont="1" applyBorder="1" applyAlignment="1">
      <alignment horizontal="left" vertical="top" wrapText="1" indent="1"/>
    </xf>
    <xf numFmtId="0" fontId="5" fillId="6" borderId="0" xfId="0" applyFont="1" applyFill="1" applyAlignment="1">
      <alignment vertical="center"/>
    </xf>
    <xf numFmtId="0" fontId="8" fillId="7" borderId="4" xfId="0" applyFont="1" applyFill="1" applyBorder="1" applyAlignment="1">
      <alignment vertical="center"/>
    </xf>
    <xf numFmtId="0" fontId="17" fillId="7" borderId="4" xfId="0" applyFont="1" applyFill="1" applyBorder="1" applyAlignment="1">
      <alignment horizontal="left" vertical="center" wrapText="1" indent="1"/>
    </xf>
    <xf numFmtId="0" fontId="17" fillId="7" borderId="4" xfId="0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indent="1"/>
    </xf>
    <xf numFmtId="0" fontId="18" fillId="0" borderId="6" xfId="0" applyFont="1" applyBorder="1" applyAlignment="1">
      <alignment horizontal="left" vertical="center" indent="1"/>
    </xf>
    <xf numFmtId="164" fontId="1" fillId="2" borderId="7" xfId="1" applyNumberFormat="1" applyBorder="1">
      <alignment horizontal="right" vertical="center"/>
    </xf>
    <xf numFmtId="0" fontId="0" fillId="0" borderId="6" xfId="0" applyBorder="1"/>
    <xf numFmtId="0" fontId="18" fillId="0" borderId="6" xfId="0" applyFont="1" applyBorder="1" applyAlignment="1">
      <alignment horizontal="left" vertical="center" wrapText="1" indent="1"/>
    </xf>
    <xf numFmtId="1" fontId="1" fillId="2" borderId="7" xfId="1" applyNumberFormat="1" applyBorder="1">
      <alignment horizontal="right" vertical="center"/>
    </xf>
    <xf numFmtId="2" fontId="3" fillId="0" borderId="8" xfId="3" applyNumberFormat="1" applyBorder="1">
      <alignment horizontal="right" vertical="center"/>
    </xf>
    <xf numFmtId="1" fontId="3" fillId="0" borderId="8" xfId="3" applyNumberFormat="1" applyBorder="1">
      <alignment horizontal="right" vertical="center"/>
    </xf>
    <xf numFmtId="9" fontId="1" fillId="2" borderId="7" xfId="1" applyNumberFormat="1" applyBorder="1">
      <alignment horizontal="right" vertical="center"/>
    </xf>
    <xf numFmtId="165" fontId="2" fillId="3" borderId="7" xfId="2" applyNumberFormat="1" applyBorder="1">
      <alignment horizontal="right" vertical="center"/>
    </xf>
    <xf numFmtId="165" fontId="1" fillId="2" borderId="7" xfId="1" applyNumberFormat="1" applyBorder="1">
      <alignment horizontal="right" vertical="center"/>
    </xf>
    <xf numFmtId="165" fontId="3" fillId="0" borderId="8" xfId="3" applyNumberFormat="1" applyBorder="1">
      <alignment horizontal="right" vertical="center"/>
    </xf>
    <xf numFmtId="2" fontId="2" fillId="3" borderId="7" xfId="2" applyNumberFormat="1" applyBorder="1">
      <alignment horizontal="right" vertical="center"/>
    </xf>
    <xf numFmtId="2" fontId="1" fillId="2" borderId="7" xfId="1" applyNumberFormat="1" applyBorder="1">
      <alignment horizontal="right" vertical="center"/>
    </xf>
    <xf numFmtId="0" fontId="17" fillId="7" borderId="2" xfId="0" applyFont="1" applyFill="1" applyBorder="1" applyAlignment="1">
      <alignment horizontal="right" vertical="center" wrapText="1"/>
    </xf>
    <xf numFmtId="0" fontId="17" fillId="7" borderId="4" xfId="0" applyFont="1" applyFill="1" applyBorder="1" applyAlignment="1">
      <alignment horizontal="left" vertical="center" indent="1"/>
    </xf>
    <xf numFmtId="0" fontId="17" fillId="7" borderId="4" xfId="0" applyFont="1" applyFill="1" applyBorder="1" applyAlignment="1">
      <alignment horizontal="right" vertical="center"/>
    </xf>
    <xf numFmtId="0" fontId="19" fillId="7" borderId="4" xfId="0" applyFont="1" applyFill="1" applyBorder="1" applyAlignment="1">
      <alignment horizontal="right" vertical="center"/>
    </xf>
    <xf numFmtId="167" fontId="3" fillId="0" borderId="8" xfId="3" applyNumberFormat="1" applyBorder="1">
      <alignment horizontal="right" vertical="center"/>
    </xf>
    <xf numFmtId="166" fontId="3" fillId="0" borderId="8" xfId="3" applyNumberFormat="1" applyBorder="1">
      <alignment horizontal="right" vertical="center"/>
    </xf>
    <xf numFmtId="164" fontId="3" fillId="0" borderId="8" xfId="3" applyNumberFormat="1" applyBorder="1">
      <alignment horizontal="right" vertical="center"/>
    </xf>
    <xf numFmtId="168" fontId="3" fillId="0" borderId="8" xfId="3" applyNumberFormat="1" applyBorder="1">
      <alignment horizontal="right" vertical="center"/>
    </xf>
    <xf numFmtId="10" fontId="3" fillId="0" borderId="8" xfId="3" applyNumberFormat="1" applyBorder="1">
      <alignment horizontal="right" vertical="center"/>
    </xf>
    <xf numFmtId="169" fontId="3" fillId="0" borderId="8" xfId="3" applyNumberFormat="1" applyBorder="1">
      <alignment horizontal="right" vertical="center"/>
    </xf>
    <xf numFmtId="170" fontId="3" fillId="0" borderId="8" xfId="3" applyNumberFormat="1" applyBorder="1">
      <alignment horizontal="right" vertical="center"/>
    </xf>
    <xf numFmtId="167" fontId="2" fillId="3" borderId="7" xfId="2" applyNumberFormat="1" applyBorder="1">
      <alignment horizontal="right" vertical="center"/>
    </xf>
    <xf numFmtId="0" fontId="13" fillId="0" borderId="0" xfId="0" applyFont="1" applyAlignment="1">
      <alignment horizontal="left" vertical="center" indent="1"/>
    </xf>
    <xf numFmtId="0" fontId="17" fillId="7" borderId="0" xfId="0" applyFont="1" applyFill="1" applyAlignment="1">
      <alignment horizontal="left" vertical="center" indent="1"/>
    </xf>
    <xf numFmtId="0" fontId="0" fillId="7" borderId="0" xfId="0" applyFill="1"/>
    <xf numFmtId="0" fontId="17" fillId="7" borderId="0" xfId="0" applyFont="1" applyFill="1" applyAlignment="1">
      <alignment horizontal="right" vertical="center"/>
    </xf>
    <xf numFmtId="0" fontId="21" fillId="7" borderId="0" xfId="0" applyFont="1" applyFill="1" applyAlignment="1">
      <alignment horizontal="right" vertical="center"/>
    </xf>
    <xf numFmtId="1" fontId="20" fillId="7" borderId="0" xfId="0" applyNumberFormat="1" applyFont="1" applyFill="1" applyAlignment="1">
      <alignment horizontal="right" vertical="center"/>
    </xf>
    <xf numFmtId="1" fontId="18" fillId="7" borderId="4" xfId="0" applyNumberFormat="1" applyFont="1" applyFill="1" applyBorder="1" applyAlignment="1">
      <alignment horizontal="right" vertical="center"/>
    </xf>
    <xf numFmtId="10" fontId="2" fillId="3" borderId="7" xfId="2" applyNumberFormat="1" applyBorder="1">
      <alignment horizontal="right" vertical="center"/>
    </xf>
    <xf numFmtId="164" fontId="2" fillId="3" borderId="7" xfId="2" applyNumberFormat="1" applyBorder="1">
      <alignment horizontal="right" vertical="center"/>
    </xf>
    <xf numFmtId="1" fontId="2" fillId="3" borderId="7" xfId="2" applyNumberFormat="1" applyBorder="1">
      <alignment horizontal="right" vertical="center"/>
    </xf>
    <xf numFmtId="164" fontId="22" fillId="0" borderId="8" xfId="3" applyNumberFormat="1" applyFont="1" applyBorder="1">
      <alignment horizontal="right" vertical="center"/>
    </xf>
    <xf numFmtId="2" fontId="12" fillId="0" borderId="8" xfId="3" applyNumberFormat="1" applyFont="1" applyBorder="1">
      <alignment horizontal="right" vertical="center"/>
    </xf>
    <xf numFmtId="165" fontId="12" fillId="0" borderId="8" xfId="3" applyNumberFormat="1" applyFont="1" applyBorder="1">
      <alignment horizontal="right" vertical="center"/>
    </xf>
    <xf numFmtId="165" fontId="4" fillId="4" borderId="9" xfId="4" applyNumberFormat="1" applyBorder="1">
      <alignment horizontal="right" vertical="center"/>
    </xf>
    <xf numFmtId="164" fontId="4" fillId="4" borderId="9" xfId="4" applyNumberFormat="1" applyBorder="1">
      <alignment horizontal="right" vertical="center"/>
    </xf>
    <xf numFmtId="0" fontId="23" fillId="0" borderId="6" xfId="0" applyFont="1" applyBorder="1" applyAlignment="1">
      <alignment horizontal="center" vertical="center"/>
    </xf>
    <xf numFmtId="0" fontId="15" fillId="5" borderId="10" xfId="0" applyFont="1" applyFill="1" applyBorder="1" applyAlignment="1">
      <alignment horizontal="left" vertical="center" indent="1"/>
    </xf>
    <xf numFmtId="0" fontId="0" fillId="5" borderId="10" xfId="0" applyFill="1" applyBorder="1"/>
    <xf numFmtId="0" fontId="18" fillId="0" borderId="0" xfId="0" applyFont="1" applyAlignment="1">
      <alignment horizontal="left" vertical="center" indent="1"/>
    </xf>
    <xf numFmtId="0" fontId="26" fillId="0" borderId="5" xfId="0" applyFont="1" applyBorder="1"/>
    <xf numFmtId="0" fontId="12" fillId="0" borderId="6" xfId="0" applyFont="1" applyBorder="1" applyAlignment="1">
      <alignment horizontal="left" vertical="center" indent="1"/>
    </xf>
    <xf numFmtId="171" fontId="24" fillId="5" borderId="7" xfId="5" applyNumberFormat="1" applyFont="1" applyBorder="1">
      <alignment horizontal="right" vertical="center"/>
    </xf>
    <xf numFmtId="0" fontId="25" fillId="0" borderId="6" xfId="0" applyFont="1" applyBorder="1" applyAlignment="1">
      <alignment horizontal="left" vertical="center" indent="1"/>
    </xf>
    <xf numFmtId="172" fontId="1" fillId="5" borderId="7" xfId="5" applyNumberFormat="1" applyBorder="1">
      <alignment horizontal="right" vertical="center"/>
    </xf>
    <xf numFmtId="171" fontId="1" fillId="5" borderId="7" xfId="5" applyNumberFormat="1" applyBorder="1">
      <alignment horizontal="right" vertical="center"/>
    </xf>
    <xf numFmtId="173" fontId="1" fillId="5" borderId="7" xfId="5" applyNumberFormat="1" applyBorder="1">
      <alignment horizontal="right" vertical="center"/>
    </xf>
    <xf numFmtId="174" fontId="1" fillId="5" borderId="7" xfId="5" applyNumberFormat="1" applyBorder="1">
      <alignment horizontal="right" vertical="center"/>
    </xf>
    <xf numFmtId="0" fontId="17" fillId="7" borderId="4" xfId="0" applyFont="1" applyFill="1" applyBorder="1" applyAlignment="1">
      <alignment horizontal="center" vertical="center" wrapText="1"/>
    </xf>
    <xf numFmtId="175" fontId="1" fillId="5" borderId="7" xfId="5" applyNumberFormat="1" applyBorder="1" applyAlignment="1">
      <alignment horizontal="center" vertical="center"/>
    </xf>
    <xf numFmtId="9" fontId="3" fillId="0" borderId="2" xfId="3" applyNumberFormat="1">
      <alignment horizontal="right" vertical="center"/>
    </xf>
    <xf numFmtId="4" fontId="3" fillId="0" borderId="2" xfId="3" applyNumberFormat="1">
      <alignment horizontal="right" vertical="center"/>
    </xf>
    <xf numFmtId="0" fontId="3" fillId="0" borderId="0" xfId="0" applyFont="1" applyAlignment="1">
      <alignment horizontal="left" vertical="center" indent="1"/>
    </xf>
    <xf numFmtId="171" fontId="1" fillId="5" borderId="1" xfId="5" applyNumberFormat="1">
      <alignment horizontal="right" vertical="center"/>
    </xf>
    <xf numFmtId="0" fontId="25" fillId="0" borderId="0" xfId="0" applyFont="1" applyAlignment="1">
      <alignment horizontal="left" vertical="center" indent="1"/>
    </xf>
    <xf numFmtId="164" fontId="3" fillId="0" borderId="2" xfId="3" applyNumberFormat="1">
      <alignment horizontal="right" vertical="center"/>
    </xf>
    <xf numFmtId="0" fontId="16" fillId="0" borderId="0" xfId="0" applyFont="1"/>
    <xf numFmtId="0" fontId="0" fillId="0" borderId="0" xfId="0"/>
    <xf numFmtId="0" fontId="3" fillId="0" borderId="0" xfId="0" applyFont="1" applyAlignment="1">
      <alignment horizontal="left" vertical="top" wrapText="1" indent="1"/>
    </xf>
    <xf numFmtId="0" fontId="13" fillId="0" borderId="0" xfId="0" applyFont="1" applyAlignment="1">
      <alignment horizontal="left" vertical="center" wrapText="1" indent="1"/>
    </xf>
    <xf numFmtId="0" fontId="0" fillId="0" borderId="0" xfId="0" applyAlignment="1"/>
  </cellXfs>
  <cellStyles count="6">
    <cellStyle name="Normal" xfId="0" builtinId="0"/>
    <cellStyle name="Расчет" xfId="3" xr:uid="{00000000-0005-0000-0000-000003000000}"/>
    <cellStyle name="Исходное значение" xfId="1" xr:uid="{00000000-0005-0000-0000-000001000000}"/>
    <cellStyle name="Ключевой результат" xfId="4" xr:uid="{00000000-0005-0000-0000-000004000000}"/>
    <cellStyle name="Результат моделирования" xfId="5" xr:uid="{00000000-0005-0000-0000-000005000000}"/>
    <cellStyle name="Неопределенная величина" xfId="2" xr:uid="{00000000-0005-0000-0000-000002000000}"/>
  </cellStyles>
  <dxfs count="8">
    <dxf>
      <font>
        <color rgb="FF8B8E95"/>
      </font>
    </dxf>
    <dxf>
      <font>
        <color rgb="FF8B8E95"/>
      </font>
    </dxf>
    <dxf>
      <font>
        <color rgb="FF8B8E95"/>
      </font>
    </dxf>
    <dxf>
      <font>
        <color rgb="FF8B8E95"/>
      </font>
    </dxf>
    <dxf>
      <font>
        <color rgb="FFB45309"/>
      </font>
      <fill>
        <patternFill patternType="solid">
          <fgColor rgb="FFFEF3C7"/>
          <bgColor rgb="FFFEF3C7"/>
        </patternFill>
      </fill>
    </dxf>
    <dxf>
      <font>
        <b/>
        <color rgb="FFB91C1C"/>
      </font>
    </dxf>
    <dxf>
      <font>
        <b/>
        <color rgb="FFB91C1C"/>
      </font>
      <fill>
        <patternFill patternType="solid">
          <fgColor rgb="FFFEE2E2"/>
          <bgColor rgb="FFFEE2E2"/>
        </patternFill>
      </fill>
    </dxf>
    <dxf>
      <font>
        <b/>
        <color rgb="FFB91C1C"/>
      </font>
      <fill>
        <patternFill patternType="solid">
          <fgColor rgb="FFFEE2E2"/>
          <bgColor rgb="FFFEE2E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3"/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v>Месячный дебит</c:v>
          </c:tx>
          <c:spPr>
            <a:ln>
              <a:noFill/>
              <a:prstDash val="solid"/>
            </a:ln>
          </c:spPr>
          <c:marker>
            <c:symbol val="circle"/>
            <c:size val="5"/>
            <c:spPr>
              <a:solidFill>
                <a:srgbClr val="2F3136"/>
              </a:solidFill>
              <a:ln>
                <a:solidFill>
                  <a:srgbClr val="2F3136"/>
                </a:solidFill>
                <a:prstDash val="solid"/>
              </a:ln>
            </c:spPr>
          </c:marker>
          <c:xVal>
            <c:numRef>
              <c:f>'История'!$B$10:$B$45</c:f>
              <c:numCache>
                <c:formatCode>0</c:formatCode>
                <c:ptCount val="3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</c:numCache>
            </c:numRef>
          </c:xVal>
          <c:yVal>
            <c:numRef>
              <c:f>'История'!$C$10:$C$45</c:f>
              <c:numCache>
                <c:formatCode>#,##0_);\(#,##0\);"–"_)</c:formatCode>
                <c:ptCount val="36"/>
                <c:pt idx="0">
                  <c:v>1799</c:v>
                </c:pt>
                <c:pt idx="1">
                  <c:v>1967</c:v>
                </c:pt>
                <c:pt idx="2">
                  <c:v>1878</c:v>
                </c:pt>
                <c:pt idx="3">
                  <c:v>1844</c:v>
                </c:pt>
                <c:pt idx="4">
                  <c:v>1985</c:v>
                </c:pt>
                <c:pt idx="5">
                  <c:v>1473</c:v>
                </c:pt>
                <c:pt idx="6">
                  <c:v>1536</c:v>
                </c:pt>
                <c:pt idx="7">
                  <c:v>1410</c:v>
                </c:pt>
                <c:pt idx="8">
                  <c:v>1567</c:v>
                </c:pt>
                <c:pt idx="9">
                  <c:v>1722</c:v>
                </c:pt>
                <c:pt idx="10">
                  <c:v>1530</c:v>
                </c:pt>
                <c:pt idx="11">
                  <c:v>1586</c:v>
                </c:pt>
                <c:pt idx="12">
                  <c:v>1227</c:v>
                </c:pt>
                <c:pt idx="13">
                  <c:v>1484</c:v>
                </c:pt>
                <c:pt idx="14">
                  <c:v>1314</c:v>
                </c:pt>
                <c:pt idx="15">
                  <c:v>1691</c:v>
                </c:pt>
                <c:pt idx="16">
                  <c:v>1523</c:v>
                </c:pt>
                <c:pt idx="17">
                  <c:v>1508</c:v>
                </c:pt>
                <c:pt idx="18">
                  <c:v>1342</c:v>
                </c:pt>
                <c:pt idx="19">
                  <c:v>1412</c:v>
                </c:pt>
                <c:pt idx="20">
                  <c:v>1396</c:v>
                </c:pt>
                <c:pt idx="21">
                  <c:v>1243</c:v>
                </c:pt>
                <c:pt idx="22">
                  <c:v>1204</c:v>
                </c:pt>
                <c:pt idx="23">
                  <c:v>1232</c:v>
                </c:pt>
                <c:pt idx="24">
                  <c:v>1154</c:v>
                </c:pt>
                <c:pt idx="25">
                  <c:v>1137</c:v>
                </c:pt>
                <c:pt idx="26">
                  <c:v>1154</c:v>
                </c:pt>
                <c:pt idx="27">
                  <c:v>1086</c:v>
                </c:pt>
                <c:pt idx="28">
                  <c:v>1242</c:v>
                </c:pt>
                <c:pt idx="29">
                  <c:v>965</c:v>
                </c:pt>
                <c:pt idx="30">
                  <c:v>1209</c:v>
                </c:pt>
                <c:pt idx="31">
                  <c:v>1030</c:v>
                </c:pt>
                <c:pt idx="32">
                  <c:v>1021</c:v>
                </c:pt>
                <c:pt idx="33">
                  <c:v>927</c:v>
                </c:pt>
                <c:pt idx="34">
                  <c:v>1030</c:v>
                </c:pt>
                <c:pt idx="35">
                  <c:v>1003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0681-4120-AD35-4C6B0E4AA417}"/>
            </c:ext>
          </c:extLst>
        </c:ser>
        <c:ser>
          <c:idx val="1"/>
          <c:order val="1"/>
          <c:tx>
            <c:v>Падение по наилучшему подбору</c:v>
          </c:tx>
          <c:spPr>
            <a:ln w="22000">
              <a:solidFill>
                <a:srgbClr val="B45309"/>
              </a:solidFill>
              <a:prstDash val="solid"/>
            </a:ln>
          </c:spPr>
          <c:marker>
            <c:symbol val="none"/>
          </c:marker>
          <c:xVal>
            <c:numRef>
              <c:f>'История'!$B$10:$B$45</c:f>
              <c:numCache>
                <c:formatCode>0</c:formatCode>
                <c:ptCount val="3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</c:numCache>
            </c:numRef>
          </c:xVal>
          <c:yVal>
            <c:numRef>
              <c:f>'История'!$E$10:$E$45</c:f>
              <c:numCache>
                <c:formatCode>#,##0_);\(#,##0\);"–"_)</c:formatCode>
                <c:ptCount val="36"/>
                <c:pt idx="0">
                  <c:v>1867.8134427814789</c:v>
                </c:pt>
                <c:pt idx="1">
                  <c:v>1833.8186121849697</c:v>
                </c:pt>
                <c:pt idx="2">
                  <c:v>1800.4424988975945</c:v>
                </c:pt>
                <c:pt idx="3">
                  <c:v>1767.6738420569873</c:v>
                </c:pt>
                <c:pt idx="4">
                  <c:v>1735.5015857522455</c:v>
                </c:pt>
                <c:pt idx="5">
                  <c:v>1703.9148752937519</c:v>
                </c:pt>
                <c:pt idx="6">
                  <c:v>1672.9030535508764</c:v>
                </c:pt>
                <c:pt idx="7">
                  <c:v>1642.4556573563418</c:v>
                </c:pt>
                <c:pt idx="8">
                  <c:v>1612.5624139760182</c:v>
                </c:pt>
                <c:pt idx="9">
                  <c:v>1583.2132376429802</c:v>
                </c:pt>
                <c:pt idx="10">
                  <c:v>1554.3982261546389</c:v>
                </c:pt>
                <c:pt idx="11">
                  <c:v>1526.1076575318154</c:v>
                </c:pt>
                <c:pt idx="12">
                  <c:v>1498.331986738606</c:v>
                </c:pt>
                <c:pt idx="13">
                  <c:v>1471.0618424619599</c:v>
                </c:pt>
                <c:pt idx="14">
                  <c:v>1444.2880239498647</c:v>
                </c:pt>
                <c:pt idx="15">
                  <c:v>1418.0014979070766</c:v>
                </c:pt>
                <c:pt idx="16">
                  <c:v>1392.1933954473564</c:v>
                </c:pt>
                <c:pt idx="17">
                  <c:v>1366.8550091011623</c:v>
                </c:pt>
                <c:pt idx="18">
                  <c:v>1341.9777898778182</c:v>
                </c:pt>
                <c:pt idx="19">
                  <c:v>1317.5533443811426</c:v>
                </c:pt>
                <c:pt idx="20">
                  <c:v>1293.5734319775763</c:v>
                </c:pt>
                <c:pt idx="21">
                  <c:v>1270.0299620158562</c:v>
                </c:pt>
                <c:pt idx="22">
                  <c:v>1246.9149910972797</c:v>
                </c:pt>
                <c:pt idx="23">
                  <c:v>1224.2207203956639</c:v>
                </c:pt>
                <c:pt idx="24">
                  <c:v>1201.9394930260748</c:v>
                </c:pt>
                <c:pt idx="25">
                  <c:v>1180.0637914614535</c:v>
                </c:pt>
                <c:pt idx="26">
                  <c:v>1158.5862349962495</c:v>
                </c:pt>
                <c:pt idx="27">
                  <c:v>1137.4995772562277</c:v>
                </c:pt>
                <c:pt idx="28">
                  <c:v>1116.7967037535916</c:v>
                </c:pt>
                <c:pt idx="29">
                  <c:v>1096.4706294866098</c:v>
                </c:pt>
                <c:pt idx="30">
                  <c:v>1076.5144965829202</c:v>
                </c:pt>
                <c:pt idx="31">
                  <c:v>1056.921571985737</c:v>
                </c:pt>
                <c:pt idx="32">
                  <c:v>1037.685245182164</c:v>
                </c:pt>
                <c:pt idx="33">
                  <c:v>1018.7990259728542</c:v>
                </c:pt>
                <c:pt idx="34">
                  <c:v>1000.2565422822668</c:v>
                </c:pt>
                <c:pt idx="35">
                  <c:v>982.05153800876769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0681-4120-AD35-4C6B0E4AA4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"/>
        <c:axId val="20"/>
      </c:scatterChart>
      <c:valAx>
        <c:axId val="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Месяц</a:t>
                </a:r>
              </a:p>
            </c:rich>
          </c:tx>
          <c:overlay val="0"/>
        </c:title>
        <c:numFmt formatCode="General" sourceLinked="0"/>
        <c:majorTickMark val="none"/>
        <c:minorTickMark val="none"/>
        <c:tickLblPos val="nextTo"/>
        <c:crossAx val="20"/>
        <c:crosses val="autoZero"/>
        <c:crossBetween val="midCat"/>
      </c:valAx>
      <c:valAx>
        <c:axId val="20"/>
        <c:scaling>
          <c:orientation val="minMax"/>
        </c:scaling>
        <c:delete val="0"/>
        <c:axPos val="l"/>
        <c:majorGridlines>
          <c:spPr>
            <a:ln>
              <a:solidFill>
                <a:srgbClr val="ECEDE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Дебит (барр./сут)</a:t>
                </a:r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crossAx val="10"/>
        <c:crosses val="min"/>
        <c:crossBetween val="midCat"/>
      </c:valAx>
    </c:plotArea>
    <c:legend>
      <c:legendPos val="b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Добыча (тыс. барр., левая ось)</c:v>
          </c:tx>
          <c:spPr>
            <a:solidFill>
              <a:srgbClr val="2F3136"/>
            </a:solidFill>
            <a:ln>
              <a:noFill/>
              <a:prstDash val="solid"/>
            </a:ln>
          </c:spPr>
          <c:invertIfNegative val="1"/>
          <c:cat>
            <c:numRef>
              <c:f>'Прогноз'!$F$7:$Q$7</c:f>
              <c:numCache>
                <c:formatCode>0</c:formatCode>
                <c:ptCount val="12"/>
                <c:pt idx="0">
                  <c:v>2027</c:v>
                </c:pt>
                <c:pt idx="1">
                  <c:v>2028</c:v>
                </c:pt>
                <c:pt idx="2">
                  <c:v>2029</c:v>
                </c:pt>
                <c:pt idx="3">
                  <c:v>2030</c:v>
                </c:pt>
                <c:pt idx="4">
                  <c:v>2031</c:v>
                </c:pt>
                <c:pt idx="5">
                  <c:v>2032</c:v>
                </c:pt>
                <c:pt idx="6">
                  <c:v>2033</c:v>
                </c:pt>
                <c:pt idx="7">
                  <c:v>2034</c:v>
                </c:pt>
                <c:pt idx="8">
                  <c:v>2035</c:v>
                </c:pt>
                <c:pt idx="9">
                  <c:v>2036</c:v>
                </c:pt>
                <c:pt idx="10">
                  <c:v>2037</c:v>
                </c:pt>
                <c:pt idx="11">
                  <c:v>2038</c:v>
                </c:pt>
              </c:numCache>
            </c:numRef>
          </c:cat>
          <c:val>
            <c:numRef>
              <c:f>'Прогноз'!$F$26:$Q$26</c:f>
              <c:numCache>
                <c:formatCode>#,##0.0_);\(#,##0.0\);"–"_)</c:formatCode>
                <c:ptCount val="12"/>
                <c:pt idx="0">
                  <c:v>328.90406676873744</c:v>
                </c:pt>
                <c:pt idx="1">
                  <c:v>266.25658149434258</c:v>
                </c:pt>
                <c:pt idx="2">
                  <c:v>215.54177753265742</c:v>
                </c:pt>
                <c:pt idx="3">
                  <c:v>174.48679616178697</c:v>
                </c:pt>
                <c:pt idx="4">
                  <c:v>141.25169785329473</c:v>
                </c:pt>
                <c:pt idx="5">
                  <c:v>114.3470026691224</c:v>
                </c:pt>
                <c:pt idx="6">
                  <c:v>92.566937021828508</c:v>
                </c:pt>
                <c:pt idx="7">
                  <c:v>74.93539515327403</c:v>
                </c:pt>
                <c:pt idx="8">
                  <c:v>59.200363508028722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noFill/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53E6-4451-ACA7-0C48067E0F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10"/>
        <c:axId val="100"/>
      </c:barChart>
      <c:lineChart>
        <c:grouping val="standard"/>
        <c:varyColors val="1"/>
        <c:ser>
          <c:idx val="1"/>
          <c:order val="1"/>
          <c:tx>
            <c:v>Средний дебит (барр./сут, правая ось)</c:v>
          </c:tx>
          <c:spPr>
            <a:ln w="22000">
              <a:solidFill>
                <a:srgbClr val="B45309"/>
              </a:solidFill>
              <a:prstDash val="solid"/>
            </a:ln>
          </c:spPr>
          <c:marker>
            <c:symbol val="none"/>
          </c:marker>
          <c:val>
            <c:numRef>
              <c:f>'Прогноз'!$F$27:$Q$27</c:f>
              <c:numCache>
                <c:formatCode>#,##0_);\(#,##0\);"–"_)</c:formatCode>
                <c:ptCount val="12"/>
                <c:pt idx="0">
                  <c:v>900.490258093737</c:v>
                </c:pt>
                <c:pt idx="1">
                  <c:v>728.97079122338835</c:v>
                </c:pt>
                <c:pt idx="2">
                  <c:v>590.12122527763847</c:v>
                </c:pt>
                <c:pt idx="3">
                  <c:v>477.71881221570698</c:v>
                </c:pt>
                <c:pt idx="4">
                  <c:v>386.72607215138873</c:v>
                </c:pt>
                <c:pt idx="5">
                  <c:v>313.06503126385326</c:v>
                </c:pt>
                <c:pt idx="6">
                  <c:v>253.43446138762081</c:v>
                </c:pt>
                <c:pt idx="7">
                  <c:v>205.16193060444635</c:v>
                </c:pt>
                <c:pt idx="8">
                  <c:v>162.08176182896295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3E6-4451-ACA7-0C48067E0F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"/>
        <c:axId val="200"/>
      </c:lineChart>
      <c:catAx>
        <c:axId val="10"/>
        <c:scaling>
          <c:orientation val="minMax"/>
        </c:scaling>
        <c:delete val="0"/>
        <c:axPos val="b"/>
        <c:numFmt formatCode="0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tickLblSkip val="2"/>
        <c:noMultiLvlLbl val="1"/>
      </c:catAx>
      <c:valAx>
        <c:axId val="100"/>
        <c:scaling>
          <c:orientation val="minMax"/>
        </c:scaling>
        <c:delete val="0"/>
        <c:axPos val="l"/>
        <c:majorGridlines>
          <c:spPr>
            <a:ln>
              <a:solidFill>
                <a:srgbClr val="ECEDEF"/>
              </a:solidFill>
              <a:prstDash val="solid"/>
            </a:ln>
          </c:spPr>
        </c:majorGridlines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  <c:valAx>
        <c:axId val="200"/>
        <c:scaling>
          <c:orientation val="minMax"/>
          <c:min val="0"/>
        </c:scaling>
        <c:delete val="0"/>
        <c:axPos val="r"/>
        <c:numFmt formatCode="#,##0" sourceLinked="0"/>
        <c:majorTickMark val="none"/>
        <c:minorTickMark val="none"/>
        <c:tickLblPos val="nextTo"/>
        <c:crossAx val="10"/>
        <c:crosses val="max"/>
        <c:crossBetween val="between"/>
      </c:valAx>
    </c:plotArea>
    <c:legend>
      <c:legendPos val="b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lineChart>
        <c:grouping val="standard"/>
        <c:varyColors val="0"/>
        <c:ser>
          <c:idx val="0"/>
          <c:order val="0"/>
          <c:tx>
            <c:v>P10 (высокая)</c:v>
          </c:tx>
          <c:spPr>
            <a:ln w="15875">
              <a:solidFill>
                <a:srgbClr val="2F3136"/>
              </a:solidFill>
              <a:prstDash val="dash"/>
            </a:ln>
          </c:spPr>
          <c:marker>
            <c:symbol val="none"/>
          </c:marker>
          <c:cat>
            <c:numRef>
              <c:f>'Результаты'!$B$119:$B$130</c:f>
              <c:numCache>
                <c:formatCode>General</c:formatCode>
                <c:ptCount val="12"/>
                <c:pt idx="0">
                  <c:v>2027</c:v>
                </c:pt>
                <c:pt idx="1">
                  <c:v>2028</c:v>
                </c:pt>
                <c:pt idx="2">
                  <c:v>2029</c:v>
                </c:pt>
                <c:pt idx="3">
                  <c:v>2030</c:v>
                </c:pt>
                <c:pt idx="4">
                  <c:v>2031</c:v>
                </c:pt>
                <c:pt idx="5">
                  <c:v>2032</c:v>
                </c:pt>
                <c:pt idx="6">
                  <c:v>2033</c:v>
                </c:pt>
                <c:pt idx="7">
                  <c:v>2034</c:v>
                </c:pt>
                <c:pt idx="8">
                  <c:v>2035</c:v>
                </c:pt>
                <c:pt idx="9">
                  <c:v>2036</c:v>
                </c:pt>
                <c:pt idx="10">
                  <c:v>2037</c:v>
                </c:pt>
                <c:pt idx="11">
                  <c:v>2038</c:v>
                </c:pt>
              </c:numCache>
            </c:numRef>
          </c:cat>
          <c:val>
            <c:numRef>
              <c:f>'Результаты'!$E$119:$E$130</c:f>
              <c:numCache>
                <c:formatCode>#,##0.00</c:formatCode>
                <c:ptCount val="12"/>
                <c:pt idx="0">
                  <c:v>337.10607340516043</c:v>
                </c:pt>
                <c:pt idx="1">
                  <c:v>275.59021576163309</c:v>
                </c:pt>
                <c:pt idx="2">
                  <c:v>224.84085767333062</c:v>
                </c:pt>
                <c:pt idx="3">
                  <c:v>183.01650594562054</c:v>
                </c:pt>
                <c:pt idx="4">
                  <c:v>148.89814635654352</c:v>
                </c:pt>
                <c:pt idx="5">
                  <c:v>121.06560444716862</c:v>
                </c:pt>
                <c:pt idx="6">
                  <c:v>98.48179575059109</c:v>
                </c:pt>
                <c:pt idx="7">
                  <c:v>80.239360792772217</c:v>
                </c:pt>
                <c:pt idx="8">
                  <c:v>65.468453183211707</c:v>
                </c:pt>
                <c:pt idx="9">
                  <c:v>20.822876577920123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321-4333-8525-3C3E71DE2F5A}"/>
            </c:ext>
          </c:extLst>
        </c:ser>
        <c:ser>
          <c:idx val="1"/>
          <c:order val="1"/>
          <c:tx>
            <c:v>Медиана</c:v>
          </c:tx>
          <c:spPr>
            <a:ln w="28575">
              <a:solidFill>
                <a:srgbClr val="2F3136"/>
              </a:solidFill>
              <a:prstDash val="solid"/>
            </a:ln>
          </c:spPr>
          <c:marker>
            <c:symbol val="none"/>
          </c:marker>
          <c:cat>
            <c:numRef>
              <c:f>'Результаты'!$B$119:$B$130</c:f>
              <c:numCache>
                <c:formatCode>General</c:formatCode>
                <c:ptCount val="12"/>
                <c:pt idx="0">
                  <c:v>2027</c:v>
                </c:pt>
                <c:pt idx="1">
                  <c:v>2028</c:v>
                </c:pt>
                <c:pt idx="2">
                  <c:v>2029</c:v>
                </c:pt>
                <c:pt idx="3">
                  <c:v>2030</c:v>
                </c:pt>
                <c:pt idx="4">
                  <c:v>2031</c:v>
                </c:pt>
                <c:pt idx="5">
                  <c:v>2032</c:v>
                </c:pt>
                <c:pt idx="6">
                  <c:v>2033</c:v>
                </c:pt>
                <c:pt idx="7">
                  <c:v>2034</c:v>
                </c:pt>
                <c:pt idx="8">
                  <c:v>2035</c:v>
                </c:pt>
                <c:pt idx="9">
                  <c:v>2036</c:v>
                </c:pt>
                <c:pt idx="10">
                  <c:v>2037</c:v>
                </c:pt>
                <c:pt idx="11">
                  <c:v>2038</c:v>
                </c:pt>
              </c:numCache>
            </c:numRef>
          </c:cat>
          <c:val>
            <c:numRef>
              <c:f>'Результаты'!$D$119:$D$130</c:f>
              <c:numCache>
                <c:formatCode>#,##0.00</c:formatCode>
                <c:ptCount val="12"/>
                <c:pt idx="0">
                  <c:v>322.16127988192682</c:v>
                </c:pt>
                <c:pt idx="1">
                  <c:v>258.07798821546515</c:v>
                </c:pt>
                <c:pt idx="2">
                  <c:v>205.54506638023352</c:v>
                </c:pt>
                <c:pt idx="3">
                  <c:v>162.973912062045</c:v>
                </c:pt>
                <c:pt idx="4">
                  <c:v>128.39533257130844</c:v>
                </c:pt>
                <c:pt idx="5">
                  <c:v>101.03937968693737</c:v>
                </c:pt>
                <c:pt idx="6">
                  <c:v>79.418209281503778</c:v>
                </c:pt>
                <c:pt idx="7">
                  <c:v>62.548555566365387</c:v>
                </c:pt>
                <c:pt idx="8">
                  <c:v>3.3011026532588179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321-4333-8525-3C3E71DE2F5A}"/>
            </c:ext>
          </c:extLst>
        </c:ser>
        <c:ser>
          <c:idx val="2"/>
          <c:order val="2"/>
          <c:tx>
            <c:v>Среднее</c:v>
          </c:tx>
          <c:spPr>
            <a:ln w="19050">
              <a:solidFill>
                <a:srgbClr val="B45309"/>
              </a:solidFill>
              <a:prstDash val="solid"/>
            </a:ln>
          </c:spPr>
          <c:marker>
            <c:symbol val="none"/>
          </c:marker>
          <c:cat>
            <c:numRef>
              <c:f>'Результаты'!$B$119:$B$130</c:f>
              <c:numCache>
                <c:formatCode>General</c:formatCode>
                <c:ptCount val="12"/>
                <c:pt idx="0">
                  <c:v>2027</c:v>
                </c:pt>
                <c:pt idx="1">
                  <c:v>2028</c:v>
                </c:pt>
                <c:pt idx="2">
                  <c:v>2029</c:v>
                </c:pt>
                <c:pt idx="3">
                  <c:v>2030</c:v>
                </c:pt>
                <c:pt idx="4">
                  <c:v>2031</c:v>
                </c:pt>
                <c:pt idx="5">
                  <c:v>2032</c:v>
                </c:pt>
                <c:pt idx="6">
                  <c:v>2033</c:v>
                </c:pt>
                <c:pt idx="7">
                  <c:v>2034</c:v>
                </c:pt>
                <c:pt idx="8">
                  <c:v>2035</c:v>
                </c:pt>
                <c:pt idx="9">
                  <c:v>2036</c:v>
                </c:pt>
                <c:pt idx="10">
                  <c:v>2037</c:v>
                </c:pt>
                <c:pt idx="11">
                  <c:v>2038</c:v>
                </c:pt>
              </c:numCache>
            </c:numRef>
          </c:cat>
          <c:val>
            <c:numRef>
              <c:f>'Результаты'!$F$119:$F$130</c:f>
              <c:numCache>
                <c:formatCode>#,##0.00</c:formatCode>
                <c:ptCount val="12"/>
                <c:pt idx="0">
                  <c:v>322.37447827728926</c:v>
                </c:pt>
                <c:pt idx="1">
                  <c:v>258.25630191503609</c:v>
                </c:pt>
                <c:pt idx="2">
                  <c:v>205.37449547259129</c:v>
                </c:pt>
                <c:pt idx="3">
                  <c:v>161.70114008229893</c:v>
                </c:pt>
                <c:pt idx="4">
                  <c:v>126.26962327000668</c:v>
                </c:pt>
                <c:pt idx="5">
                  <c:v>96.768804603498808</c:v>
                </c:pt>
                <c:pt idx="6">
                  <c:v>69.849254606712165</c:v>
                </c:pt>
                <c:pt idx="7">
                  <c:v>45.886514306465926</c:v>
                </c:pt>
                <c:pt idx="8">
                  <c:v>21.743899506520165</c:v>
                </c:pt>
                <c:pt idx="9">
                  <c:v>5.2988945944967254</c:v>
                </c:pt>
                <c:pt idx="10">
                  <c:v>0.69312124017137955</c:v>
                </c:pt>
                <c:pt idx="11">
                  <c:v>5.5179823240567825E-2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321-4333-8525-3C3E71DE2F5A}"/>
            </c:ext>
          </c:extLst>
        </c:ser>
        <c:ser>
          <c:idx val="3"/>
          <c:order val="3"/>
          <c:tx>
            <c:v>P90 (низкая)</c:v>
          </c:tx>
          <c:spPr>
            <a:ln w="15875">
              <a:solidFill>
                <a:srgbClr val="2F3136"/>
              </a:solidFill>
              <a:prstDash val="dash"/>
            </a:ln>
          </c:spPr>
          <c:marker>
            <c:symbol val="none"/>
          </c:marker>
          <c:cat>
            <c:numRef>
              <c:f>'Результаты'!$B$119:$B$130</c:f>
              <c:numCache>
                <c:formatCode>General</c:formatCode>
                <c:ptCount val="12"/>
                <c:pt idx="0">
                  <c:v>2027</c:v>
                </c:pt>
                <c:pt idx="1">
                  <c:v>2028</c:v>
                </c:pt>
                <c:pt idx="2">
                  <c:v>2029</c:v>
                </c:pt>
                <c:pt idx="3">
                  <c:v>2030</c:v>
                </c:pt>
                <c:pt idx="4">
                  <c:v>2031</c:v>
                </c:pt>
                <c:pt idx="5">
                  <c:v>2032</c:v>
                </c:pt>
                <c:pt idx="6">
                  <c:v>2033</c:v>
                </c:pt>
                <c:pt idx="7">
                  <c:v>2034</c:v>
                </c:pt>
                <c:pt idx="8">
                  <c:v>2035</c:v>
                </c:pt>
                <c:pt idx="9">
                  <c:v>2036</c:v>
                </c:pt>
                <c:pt idx="10">
                  <c:v>2037</c:v>
                </c:pt>
                <c:pt idx="11">
                  <c:v>2038</c:v>
                </c:pt>
              </c:numCache>
            </c:numRef>
          </c:cat>
          <c:val>
            <c:numRef>
              <c:f>'Результаты'!$C$119:$C$130</c:f>
              <c:numCache>
                <c:formatCode>#,##0.00</c:formatCode>
                <c:ptCount val="12"/>
                <c:pt idx="0">
                  <c:v>308.01698689430867</c:v>
                </c:pt>
                <c:pt idx="1">
                  <c:v>241.328197341471</c:v>
                </c:pt>
                <c:pt idx="2">
                  <c:v>186.30238930655477</c:v>
                </c:pt>
                <c:pt idx="3">
                  <c:v>139.24445268771311</c:v>
                </c:pt>
                <c:pt idx="4">
                  <c:v>99.477584296586798</c:v>
                </c:pt>
                <c:pt idx="5">
                  <c:v>70.001481956220218</c:v>
                </c:pt>
                <c:pt idx="6">
                  <c:v>9.6804370185443567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321-4333-8525-3C3E71DE2F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"/>
        <c:axId val="100"/>
      </c:lineChart>
      <c:catAx>
        <c:axId val="1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majorGridlines>
          <c:spPr>
            <a:ln>
              <a:solidFill>
                <a:srgbClr val="ECEDE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Добыча (тыс. барр. в год)</a:t>
                </a:r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0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v>Наибольшее среднее по группе</c:v>
          </c:tx>
          <c:spPr>
            <a:solidFill>
              <a:srgbClr val="2F3136"/>
            </a:solidFill>
            <a:ln>
              <a:noFill/>
              <a:prstDash val="solid"/>
            </a:ln>
          </c:spPr>
          <c:invertIfNegative val="0"/>
          <c:cat>
            <c:strRef>
              <c:f>'Результаты'!$B$112:$B$116</c:f>
              <c:strCache>
                <c:ptCount val="5"/>
                <c:pt idx="0">
                  <c:v>Темп падения</c:v>
                </c:pt>
                <c:pt idx="1">
                  <c:v>Начальный дебит</c:v>
                </c:pt>
                <c:pt idx="2">
                  <c:v>Прорыв воды</c:v>
                </c:pt>
                <c:pt idx="3">
                  <c:v>Время до прорыва</c:v>
                </c:pt>
                <c:pt idx="4">
                  <c:v>Коэффициент падения при прорыве</c:v>
                </c:pt>
              </c:strCache>
            </c:strRef>
          </c:cat>
          <c:val>
            <c:numRef>
              <c:f>'Результаты'!$F$112:$F$116</c:f>
              <c:numCache>
                <c:formatCode>#,##0_);\(#,##0\);"–"_)</c:formatCode>
                <c:ptCount val="5"/>
                <c:pt idx="0">
                  <c:v>251.81109032742938</c:v>
                </c:pt>
                <c:pt idx="1">
                  <c:v>236.70146846950911</c:v>
                </c:pt>
                <c:pt idx="2">
                  <c:v>79.008476535526142</c:v>
                </c:pt>
                <c:pt idx="3">
                  <c:v>48.1900614065014</c:v>
                </c:pt>
                <c:pt idx="4">
                  <c:v>22.227842057401176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7D-4C82-802E-3CD6CC3417B5}"/>
            </c:ext>
          </c:extLst>
        </c:ser>
        <c:ser>
          <c:idx val="1"/>
          <c:order val="1"/>
          <c:tx>
            <c:v>Наименьшее среднее по группе</c:v>
          </c:tx>
          <c:spPr>
            <a:solidFill>
              <a:srgbClr val="E85F2E"/>
            </a:solidFill>
            <a:ln>
              <a:noFill/>
              <a:prstDash val="solid"/>
            </a:ln>
          </c:spPr>
          <c:invertIfNegative val="0"/>
          <c:cat>
            <c:strRef>
              <c:f>'Результаты'!$B$112:$B$116</c:f>
              <c:strCache>
                <c:ptCount val="5"/>
                <c:pt idx="0">
                  <c:v>Темп падения</c:v>
                </c:pt>
                <c:pt idx="1">
                  <c:v>Начальный дебит</c:v>
                </c:pt>
                <c:pt idx="2">
                  <c:v>Прорыв воды</c:v>
                </c:pt>
                <c:pt idx="3">
                  <c:v>Время до прорыва</c:v>
                </c:pt>
                <c:pt idx="4">
                  <c:v>Коэффициент падения при прорыве</c:v>
                </c:pt>
              </c:strCache>
            </c:strRef>
          </c:cat>
          <c:val>
            <c:numRef>
              <c:f>'Результаты'!$G$112:$G$116</c:f>
              <c:numCache>
                <c:formatCode>#,##0_);\(#,##0\);"–"_)</c:formatCode>
                <c:ptCount val="5"/>
                <c:pt idx="0">
                  <c:v>-210.70643864743943</c:v>
                </c:pt>
                <c:pt idx="1">
                  <c:v>-202.49649541946792</c:v>
                </c:pt>
                <c:pt idx="2">
                  <c:v>-143.30012373325803</c:v>
                </c:pt>
                <c:pt idx="3">
                  <c:v>-52.660837488059087</c:v>
                </c:pt>
                <c:pt idx="4">
                  <c:v>-28.034996242232637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C7D-4C82-802E-3CD6CC3417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5"/>
        <c:overlap val="100"/>
        <c:axId val="10"/>
        <c:axId val="100"/>
      </c:barChart>
      <c:catAx>
        <c:axId val="1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b"/>
        <c:majorGridlines>
          <c:spPr>
            <a:ln>
              <a:solidFill>
                <a:srgbClr val="ECEDEF"/>
              </a:solidFill>
              <a:prstDash val="solid"/>
            </a:ln>
          </c:spPr>
        </c:majorGridlines>
        <c:numFmt formatCode="#,##0" sourceLinked="0"/>
        <c:majorTickMark val="none"/>
        <c:minorTickMark val="none"/>
        <c:tickLblPos val="nextTo"/>
        <c:crossAx val="10"/>
        <c:crosses val="max"/>
        <c:crossBetween val="between"/>
      </c:valAx>
    </c:plotArea>
    <c:legend>
      <c:legendPos val="b"/>
      <c:overlay val="0"/>
    </c:legend>
    <c:plotVisOnly val="0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13"/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v>Вероятность объема не меньше этого</c:v>
          </c:tx>
          <c:spPr>
            <a:ln w="25400">
              <a:solidFill>
                <a:srgbClr val="2F3136"/>
              </a:solidFill>
              <a:prstDash val="solid"/>
            </a:ln>
          </c:spPr>
          <c:marker>
            <c:symbol val="none"/>
          </c:marker>
          <c:xVal>
            <c:numRef>
              <c:f>'Результаты'!$D$59:$D$108</c:f>
              <c:numCache>
                <c:formatCode>#,##0.00</c:formatCode>
                <c:ptCount val="50"/>
                <c:pt idx="0">
                  <c:v>892.11376780038199</c:v>
                </c:pt>
                <c:pt idx="1">
                  <c:v>969.00253270299424</c:v>
                </c:pt>
                <c:pt idx="2">
                  <c:v>1009.9068812315863</c:v>
                </c:pt>
                <c:pt idx="3">
                  <c:v>1042.5103865850804</c:v>
                </c:pt>
                <c:pt idx="4">
                  <c:v>1067.7004892359278</c:v>
                </c:pt>
                <c:pt idx="5">
                  <c:v>1090.2316896464051</c:v>
                </c:pt>
                <c:pt idx="6">
                  <c:v>1110.1417363698265</c:v>
                </c:pt>
                <c:pt idx="7">
                  <c:v>1127.4132538076917</c:v>
                </c:pt>
                <c:pt idx="8">
                  <c:v>1143.6677411916648</c:v>
                </c:pt>
                <c:pt idx="9">
                  <c:v>1157.6232926846258</c:v>
                </c:pt>
                <c:pt idx="10">
                  <c:v>1171.2560007087704</c:v>
                </c:pt>
                <c:pt idx="11">
                  <c:v>1183.1735998118052</c:v>
                </c:pt>
                <c:pt idx="12">
                  <c:v>1194.5120546401167</c:v>
                </c:pt>
                <c:pt idx="13">
                  <c:v>1205.5048108738868</c:v>
                </c:pt>
                <c:pt idx="14">
                  <c:v>1217.0850569321726</c:v>
                </c:pt>
                <c:pt idx="15">
                  <c:v>1226.7140227218822</c:v>
                </c:pt>
                <c:pt idx="16">
                  <c:v>1235.9840143221793</c:v>
                </c:pt>
                <c:pt idx="17">
                  <c:v>1246.1276491242484</c:v>
                </c:pt>
                <c:pt idx="18">
                  <c:v>1255.2386176845357</c:v>
                </c:pt>
                <c:pt idx="19">
                  <c:v>1264.237191746932</c:v>
                </c:pt>
                <c:pt idx="20">
                  <c:v>1274.5825675981791</c:v>
                </c:pt>
                <c:pt idx="21">
                  <c:v>1283.7257643134858</c:v>
                </c:pt>
                <c:pt idx="22">
                  <c:v>1292.186850549306</c:v>
                </c:pt>
                <c:pt idx="23">
                  <c:v>1302.1522320000381</c:v>
                </c:pt>
                <c:pt idx="24">
                  <c:v>1310.5429447186855</c:v>
                </c:pt>
                <c:pt idx="25">
                  <c:v>1318.4155567715018</c:v>
                </c:pt>
                <c:pt idx="26">
                  <c:v>1326.4007979182909</c:v>
                </c:pt>
                <c:pt idx="27">
                  <c:v>1335.1626492503588</c:v>
                </c:pt>
                <c:pt idx="28">
                  <c:v>1343.7989950648368</c:v>
                </c:pt>
                <c:pt idx="29">
                  <c:v>1352.6145740642596</c:v>
                </c:pt>
                <c:pt idx="30">
                  <c:v>1361.1952325013522</c:v>
                </c:pt>
                <c:pt idx="31">
                  <c:v>1370.7613820575082</c:v>
                </c:pt>
                <c:pt idx="32">
                  <c:v>1381.2592706088408</c:v>
                </c:pt>
                <c:pt idx="33">
                  <c:v>1391.3330324064234</c:v>
                </c:pt>
                <c:pt idx="34">
                  <c:v>1400.5896732656327</c:v>
                </c:pt>
                <c:pt idx="35">
                  <c:v>1410.8092615725184</c:v>
                </c:pt>
                <c:pt idx="36">
                  <c:v>1421.747934489453</c:v>
                </c:pt>
                <c:pt idx="37">
                  <c:v>1433.3172892130219</c:v>
                </c:pt>
                <c:pt idx="38">
                  <c:v>1445.3643312986833</c:v>
                </c:pt>
                <c:pt idx="39">
                  <c:v>1457.9880317007671</c:v>
                </c:pt>
                <c:pt idx="40">
                  <c:v>1472.3726041840807</c:v>
                </c:pt>
                <c:pt idx="41">
                  <c:v>1485.6522617625799</c:v>
                </c:pt>
                <c:pt idx="42">
                  <c:v>1498.9074217145462</c:v>
                </c:pt>
                <c:pt idx="43">
                  <c:v>1516.1306661022365</c:v>
                </c:pt>
                <c:pt idx="44">
                  <c:v>1534.2949502009408</c:v>
                </c:pt>
                <c:pt idx="45">
                  <c:v>1555.2882580915414</c:v>
                </c:pt>
                <c:pt idx="46">
                  <c:v>1580.2101221138694</c:v>
                </c:pt>
                <c:pt idx="47">
                  <c:v>1615.8795882705547</c:v>
                </c:pt>
                <c:pt idx="48">
                  <c:v>1663.0452530214707</c:v>
                </c:pt>
                <c:pt idx="49">
                  <c:v>1757.2528901746552</c:v>
                </c:pt>
              </c:numCache>
            </c:numRef>
          </c:xVal>
          <c:yVal>
            <c:numRef>
              <c:f>'Результаты'!$C$59:$C$108</c:f>
              <c:numCache>
                <c:formatCode>0%</c:formatCode>
                <c:ptCount val="50"/>
                <c:pt idx="0">
                  <c:v>0.99</c:v>
                </c:pt>
                <c:pt idx="1">
                  <c:v>0.97</c:v>
                </c:pt>
                <c:pt idx="2">
                  <c:v>0.95</c:v>
                </c:pt>
                <c:pt idx="3">
                  <c:v>0.92999999999999994</c:v>
                </c:pt>
                <c:pt idx="4">
                  <c:v>0.91</c:v>
                </c:pt>
                <c:pt idx="5">
                  <c:v>0.89</c:v>
                </c:pt>
                <c:pt idx="6">
                  <c:v>0.87</c:v>
                </c:pt>
                <c:pt idx="7">
                  <c:v>0.85</c:v>
                </c:pt>
                <c:pt idx="8">
                  <c:v>0.83</c:v>
                </c:pt>
                <c:pt idx="9">
                  <c:v>0.81</c:v>
                </c:pt>
                <c:pt idx="10">
                  <c:v>0.79</c:v>
                </c:pt>
                <c:pt idx="11">
                  <c:v>0.77</c:v>
                </c:pt>
                <c:pt idx="12">
                  <c:v>0.75</c:v>
                </c:pt>
                <c:pt idx="13">
                  <c:v>0.73</c:v>
                </c:pt>
                <c:pt idx="14">
                  <c:v>0.71</c:v>
                </c:pt>
                <c:pt idx="15">
                  <c:v>0.69</c:v>
                </c:pt>
                <c:pt idx="16">
                  <c:v>0.66999999999999993</c:v>
                </c:pt>
                <c:pt idx="17">
                  <c:v>0.65</c:v>
                </c:pt>
                <c:pt idx="18">
                  <c:v>0.63</c:v>
                </c:pt>
                <c:pt idx="19">
                  <c:v>0.61</c:v>
                </c:pt>
                <c:pt idx="20">
                  <c:v>0.59000000000000008</c:v>
                </c:pt>
                <c:pt idx="21">
                  <c:v>0.57000000000000006</c:v>
                </c:pt>
                <c:pt idx="22">
                  <c:v>0.55000000000000004</c:v>
                </c:pt>
                <c:pt idx="23">
                  <c:v>0.53</c:v>
                </c:pt>
                <c:pt idx="24">
                  <c:v>0.51</c:v>
                </c:pt>
                <c:pt idx="25">
                  <c:v>0.49</c:v>
                </c:pt>
                <c:pt idx="26">
                  <c:v>0.47</c:v>
                </c:pt>
                <c:pt idx="27">
                  <c:v>0.44999999999999996</c:v>
                </c:pt>
                <c:pt idx="28">
                  <c:v>0.43000000000000005</c:v>
                </c:pt>
                <c:pt idx="29">
                  <c:v>0.41000000000000003</c:v>
                </c:pt>
                <c:pt idx="30">
                  <c:v>0.39</c:v>
                </c:pt>
                <c:pt idx="31">
                  <c:v>0.37</c:v>
                </c:pt>
                <c:pt idx="32">
                  <c:v>0.35</c:v>
                </c:pt>
                <c:pt idx="33">
                  <c:v>0.32999999999999996</c:v>
                </c:pt>
                <c:pt idx="34">
                  <c:v>0.31000000000000005</c:v>
                </c:pt>
                <c:pt idx="35">
                  <c:v>0.29000000000000004</c:v>
                </c:pt>
                <c:pt idx="36">
                  <c:v>0.27</c:v>
                </c:pt>
                <c:pt idx="37">
                  <c:v>0.25</c:v>
                </c:pt>
                <c:pt idx="38">
                  <c:v>0.22999999999999998</c:v>
                </c:pt>
                <c:pt idx="39">
                  <c:v>0.20999999999999996</c:v>
                </c:pt>
                <c:pt idx="40">
                  <c:v>0.18999999999999995</c:v>
                </c:pt>
                <c:pt idx="41">
                  <c:v>0.17000000000000004</c:v>
                </c:pt>
                <c:pt idx="42">
                  <c:v>0.15000000000000002</c:v>
                </c:pt>
                <c:pt idx="43">
                  <c:v>0.13</c:v>
                </c:pt>
                <c:pt idx="44">
                  <c:v>0.10999999999999999</c:v>
                </c:pt>
                <c:pt idx="45">
                  <c:v>8.9999999999999969E-2</c:v>
                </c:pt>
                <c:pt idx="46">
                  <c:v>6.9999999999999951E-2</c:v>
                </c:pt>
                <c:pt idx="47">
                  <c:v>5.0000000000000044E-2</c:v>
                </c:pt>
                <c:pt idx="48">
                  <c:v>3.0000000000000027E-2</c:v>
                </c:pt>
                <c:pt idx="49">
                  <c:v>1.0000000000000009E-2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854B-4B61-B282-54579B0F8701}"/>
            </c:ext>
          </c:extLst>
        </c:ser>
        <c:ser>
          <c:idx val="1"/>
          <c:order val="1"/>
          <c:tx>
            <c:v>P90 / P50 / P10</c:v>
          </c:tx>
          <c:spPr>
            <a:ln>
              <a:noFill/>
              <a:prstDash val="solid"/>
            </a:ln>
          </c:spPr>
          <c:marker>
            <c:symbol val="circle"/>
            <c:size val="7"/>
            <c:spPr>
              <a:solidFill>
                <a:srgbClr val="B45309"/>
              </a:solidFill>
              <a:ln>
                <a:solidFill>
                  <a:srgbClr val="B45309"/>
                </a:solidFill>
                <a:prstDash val="solid"/>
              </a:ln>
            </c:spPr>
          </c:marker>
          <c:xVal>
            <c:numRef>
              <c:f>'Результаты'!$D$133:$D$135</c:f>
              <c:numCache>
                <c:formatCode>#,##0.00</c:formatCode>
                <c:ptCount val="3"/>
                <c:pt idx="0">
                  <c:v>1078.4806009248157</c:v>
                </c:pt>
                <c:pt idx="1">
                  <c:v>1314.4310463773681</c:v>
                </c:pt>
                <c:pt idx="2">
                  <c:v>1545.8156892636212</c:v>
                </c:pt>
              </c:numCache>
            </c:numRef>
          </c:xVal>
          <c:yVal>
            <c:numRef>
              <c:f>'Результаты'!$C$133:$C$135</c:f>
              <c:numCache>
                <c:formatCode>0%</c:formatCode>
                <c:ptCount val="3"/>
                <c:pt idx="0">
                  <c:v>0.9</c:v>
                </c:pt>
                <c:pt idx="1">
                  <c:v>0.5</c:v>
                </c:pt>
                <c:pt idx="2">
                  <c:v>0.1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854B-4B61-B282-54579B0F87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"/>
        <c:axId val="20"/>
      </c:scatterChart>
      <c:valAx>
        <c:axId val="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Остаточный объем (тыс. барр.)</a:t>
                </a:r>
              </a:p>
            </c:rich>
          </c:tx>
          <c:overlay val="0"/>
        </c:title>
        <c:numFmt formatCode="#,##0" sourceLinked="0"/>
        <c:majorTickMark val="none"/>
        <c:minorTickMark val="none"/>
        <c:tickLblPos val="nextTo"/>
        <c:crossAx val="20"/>
        <c:crosses val="autoZero"/>
        <c:crossBetween val="midCat"/>
      </c:valAx>
      <c:valAx>
        <c:axId val="20"/>
        <c:scaling>
          <c:orientation val="minMax"/>
          <c:max val="1"/>
          <c:min val="0"/>
        </c:scaling>
        <c:delete val="0"/>
        <c:axPos val="l"/>
        <c:majorGridlines>
          <c:spPr>
            <a:ln>
              <a:solidFill>
                <a:srgbClr val="ECEDEF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Вероятность значения не меньше этого</a:t>
                </a:r>
              </a:p>
            </c:rich>
          </c:tx>
          <c:overlay val="0"/>
        </c:title>
        <c:numFmt formatCode="0%" sourceLinked="0"/>
        <c:majorTickMark val="none"/>
        <c:minorTickMark val="none"/>
        <c:tickLblPos val="nextTo"/>
        <c:crossAx val="10"/>
        <c:crosses val="min"/>
        <c:crossBetween val="midCat"/>
      </c:valAx>
    </c:plotArea>
    <c:legend>
      <c:legendPos val="b"/>
      <c:overlay val="0"/>
    </c:legend>
    <c:plotVisOnly val="0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19</xdr:row>
      <xdr:rowOff>0</xdr:rowOff>
    </xdr:from>
    <xdr:ext cx="9144000" cy="1524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31</xdr:row>
      <xdr:rowOff>0</xdr:rowOff>
    </xdr:from>
    <xdr:ext cx="7020000" cy="2736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45</xdr:row>
      <xdr:rowOff>0</xdr:rowOff>
    </xdr:from>
    <xdr:ext cx="7920000" cy="2592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9</xdr:row>
      <xdr:rowOff>0</xdr:rowOff>
    </xdr:from>
    <xdr:ext cx="6263999" cy="252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8</xdr:col>
      <xdr:colOff>0</xdr:colOff>
      <xdr:row>26</xdr:row>
      <xdr:rowOff>0</xdr:rowOff>
    </xdr:from>
    <xdr:ext cx="6263999" cy="216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8</xdr:col>
      <xdr:colOff>0</xdr:colOff>
      <xdr:row>40</xdr:row>
      <xdr:rowOff>0</xdr:rowOff>
    </xdr:from>
    <xdr:ext cx="6263999" cy="2376000"/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F3136"/>
    <pageSetUpPr fitToPage="1"/>
  </sheetPr>
  <dimension ref="A1:D77"/>
  <sheetViews>
    <sheetView showGridLines="0" tabSelected="1" workbookViewId="0">
      <pane ySplit="5" topLeftCell="A6" activePane="bottomLeft" state="frozen"/>
      <selection pane="bottomLeft"/>
    </sheetView>
  </sheetViews>
  <sheetFormatPr defaultRowHeight="14.25" x14ac:dyDescent="0.45"/>
  <cols>
    <col min="1" max="1" width="2" customWidth="1"/>
    <col min="2" max="2" width="26" customWidth="1"/>
    <col min="3" max="3" width="112" customWidth="1"/>
    <col min="4" max="4" width="2" customWidth="1"/>
    <col min="6" max="6" width="9.06640625" customWidth="1"/>
  </cols>
  <sheetData>
    <row r="1" spans="1:4" ht="6" customHeight="1" x14ac:dyDescent="0.45"/>
    <row r="2" spans="1:4" ht="34.049999999999997" customHeight="1" x14ac:dyDescent="0.45">
      <c r="A2" s="1"/>
      <c r="B2" s="2" t="s">
        <v>0</v>
      </c>
      <c r="C2" s="1"/>
      <c r="D2" s="3" t="s">
        <v>1</v>
      </c>
    </row>
    <row r="3" spans="1:4" ht="20" customHeight="1" x14ac:dyDescent="0.45">
      <c r="A3" s="1"/>
      <c r="B3" s="4" t="s">
        <v>2</v>
      </c>
      <c r="C3" s="1"/>
      <c r="D3" s="1"/>
    </row>
    <row r="4" spans="1:4" ht="20" customHeight="1" x14ac:dyDescent="0.45">
      <c r="A4" s="5"/>
      <c r="B4" s="5"/>
      <c r="C4" s="5"/>
      <c r="D4" s="6" t="s">
        <v>3</v>
      </c>
    </row>
    <row r="5" spans="1:4" ht="8" customHeight="1" x14ac:dyDescent="0.45"/>
    <row r="6" spans="1:4" ht="22.05" customHeight="1" x14ac:dyDescent="0.5">
      <c r="B6" s="7" t="s">
        <v>4</v>
      </c>
      <c r="C6" s="8"/>
    </row>
    <row r="7" spans="1:4" x14ac:dyDescent="0.45">
      <c r="B7" s="9" t="s">
        <v>5</v>
      </c>
      <c r="C7" s="10" t="s">
        <v>6</v>
      </c>
    </row>
    <row r="8" spans="1:4" x14ac:dyDescent="0.45">
      <c r="B8" s="9" t="s">
        <v>7</v>
      </c>
      <c r="C8" s="10" t="s">
        <v>8</v>
      </c>
    </row>
    <row r="9" spans="1:4" ht="26.25" x14ac:dyDescent="0.45">
      <c r="B9" s="9" t="s">
        <v>9</v>
      </c>
      <c r="C9" s="11" t="s">
        <v>10</v>
      </c>
    </row>
    <row r="10" spans="1:4" x14ac:dyDescent="0.45">
      <c r="B10" s="9" t="s">
        <v>11</v>
      </c>
      <c r="C10" s="10" t="s">
        <v>12</v>
      </c>
    </row>
    <row r="11" spans="1:4" ht="26.25" x14ac:dyDescent="0.45">
      <c r="B11" s="9" t="s">
        <v>13</v>
      </c>
      <c r="C11" s="10" t="s">
        <v>14</v>
      </c>
    </row>
    <row r="12" spans="1:4" ht="26.25" x14ac:dyDescent="0.45">
      <c r="B12" s="9" t="s">
        <v>15</v>
      </c>
      <c r="C12" s="10" t="s">
        <v>16</v>
      </c>
    </row>
    <row r="13" spans="1:4" x14ac:dyDescent="0.45">
      <c r="B13" s="9" t="s">
        <v>17</v>
      </c>
      <c r="C13" s="10" t="s">
        <v>18</v>
      </c>
    </row>
    <row r="14" spans="1:4" ht="12" customHeight="1" x14ac:dyDescent="0.45"/>
    <row r="15" spans="1:4" ht="22.05" customHeight="1" x14ac:dyDescent="0.5">
      <c r="B15" s="7" t="s">
        <v>19</v>
      </c>
      <c r="C15" s="8"/>
    </row>
    <row r="16" spans="1:4" ht="70.05" customHeight="1" x14ac:dyDescent="0.45">
      <c r="B16" s="88" t="s">
        <v>20</v>
      </c>
      <c r="C16" s="87"/>
    </row>
    <row r="17" spans="2:3" ht="12" customHeight="1" x14ac:dyDescent="0.45"/>
    <row r="18" spans="2:3" ht="22.05" customHeight="1" x14ac:dyDescent="0.5">
      <c r="B18" s="7" t="s">
        <v>21</v>
      </c>
      <c r="C18" s="8"/>
    </row>
    <row r="19" spans="2:3" ht="18" customHeight="1" x14ac:dyDescent="0.45">
      <c r="B19" s="13" t="s">
        <v>22</v>
      </c>
    </row>
    <row r="20" spans="2:3" ht="15" customHeight="1" x14ac:dyDescent="0.45"/>
    <row r="21" spans="2:3" ht="15" customHeight="1" x14ac:dyDescent="0.45"/>
    <row r="22" spans="2:3" ht="15" customHeight="1" x14ac:dyDescent="0.45"/>
    <row r="23" spans="2:3" ht="15" customHeight="1" x14ac:dyDescent="0.45"/>
    <row r="24" spans="2:3" ht="15" customHeight="1" x14ac:dyDescent="0.45"/>
    <row r="25" spans="2:3" ht="15" customHeight="1" x14ac:dyDescent="0.45"/>
    <row r="26" spans="2:3" ht="15" customHeight="1" x14ac:dyDescent="0.45"/>
    <row r="27" spans="2:3" ht="15" customHeight="1" x14ac:dyDescent="0.45"/>
    <row r="28" spans="2:3" ht="26.25" x14ac:dyDescent="0.45">
      <c r="B28" s="9" t="s">
        <v>23</v>
      </c>
      <c r="C28" s="10" t="s">
        <v>24</v>
      </c>
    </row>
    <row r="29" spans="2:3" ht="39.4" x14ac:dyDescent="0.45">
      <c r="B29" s="9" t="s">
        <v>25</v>
      </c>
      <c r="C29" s="10" t="s">
        <v>26</v>
      </c>
    </row>
    <row r="30" spans="2:3" ht="39.4" x14ac:dyDescent="0.45">
      <c r="B30" s="9" t="s">
        <v>27</v>
      </c>
      <c r="C30" s="10" t="s">
        <v>28</v>
      </c>
    </row>
    <row r="31" spans="2:3" ht="26.25" x14ac:dyDescent="0.45">
      <c r="B31" s="9" t="s">
        <v>29</v>
      </c>
      <c r="C31" s="10" t="s">
        <v>30</v>
      </c>
    </row>
    <row r="32" spans="2:3" ht="12" customHeight="1" x14ac:dyDescent="0.45"/>
    <row r="33" spans="2:3" ht="22.05" customHeight="1" x14ac:dyDescent="0.5">
      <c r="B33" s="7" t="s">
        <v>31</v>
      </c>
      <c r="C33" s="8"/>
    </row>
    <row r="34" spans="2:3" x14ac:dyDescent="0.45">
      <c r="B34" s="9" t="s">
        <v>32</v>
      </c>
      <c r="C34" s="10" t="s">
        <v>33</v>
      </c>
    </row>
    <row r="35" spans="2:3" x14ac:dyDescent="0.45">
      <c r="B35" s="9" t="s">
        <v>34</v>
      </c>
      <c r="C35" s="10" t="s">
        <v>35</v>
      </c>
    </row>
    <row r="36" spans="2:3" x14ac:dyDescent="0.45">
      <c r="B36" s="9" t="s">
        <v>36</v>
      </c>
      <c r="C36" s="10" t="s">
        <v>37</v>
      </c>
    </row>
    <row r="37" spans="2:3" x14ac:dyDescent="0.45">
      <c r="B37" s="9" t="s">
        <v>38</v>
      </c>
      <c r="C37" s="10" t="s">
        <v>39</v>
      </c>
    </row>
    <row r="38" spans="2:3" ht="12" customHeight="1" x14ac:dyDescent="0.45"/>
    <row r="39" spans="2:3" ht="22.05" customHeight="1" x14ac:dyDescent="0.5">
      <c r="B39" s="7" t="s">
        <v>40</v>
      </c>
      <c r="C39" s="8"/>
    </row>
    <row r="40" spans="2:3" x14ac:dyDescent="0.45">
      <c r="B40" s="14" t="s">
        <v>41</v>
      </c>
      <c r="C40" s="10" t="s">
        <v>42</v>
      </c>
    </row>
    <row r="41" spans="2:3" x14ac:dyDescent="0.45">
      <c r="B41" s="14" t="s">
        <v>43</v>
      </c>
      <c r="C41" s="10" t="s">
        <v>44</v>
      </c>
    </row>
    <row r="42" spans="2:3" x14ac:dyDescent="0.45">
      <c r="B42" s="14" t="s">
        <v>45</v>
      </c>
      <c r="C42" s="10" t="s">
        <v>46</v>
      </c>
    </row>
    <row r="43" spans="2:3" x14ac:dyDescent="0.45">
      <c r="B43" s="14" t="s">
        <v>47</v>
      </c>
      <c r="C43" s="10" t="s">
        <v>48</v>
      </c>
    </row>
    <row r="44" spans="2:3" ht="12" customHeight="1" x14ac:dyDescent="0.45"/>
    <row r="45" spans="2:3" ht="22.05" customHeight="1" x14ac:dyDescent="0.5">
      <c r="B45" s="7" t="s">
        <v>49</v>
      </c>
      <c r="C45" s="8"/>
    </row>
    <row r="46" spans="2:3" x14ac:dyDescent="0.45">
      <c r="B46" s="15" t="s">
        <v>50</v>
      </c>
      <c r="C46" s="12" t="s">
        <v>51</v>
      </c>
    </row>
    <row r="47" spans="2:3" x14ac:dyDescent="0.45">
      <c r="B47" s="16" t="s">
        <v>52</v>
      </c>
      <c r="C47" s="12" t="s">
        <v>53</v>
      </c>
    </row>
    <row r="48" spans="2:3" x14ac:dyDescent="0.45">
      <c r="B48" s="17" t="s">
        <v>54</v>
      </c>
      <c r="C48" s="12" t="s">
        <v>55</v>
      </c>
    </row>
    <row r="49" spans="2:3" x14ac:dyDescent="0.45">
      <c r="B49" s="18" t="s">
        <v>56</v>
      </c>
      <c r="C49" s="12" t="s">
        <v>57</v>
      </c>
    </row>
    <row r="50" spans="2:3" x14ac:dyDescent="0.45">
      <c r="B50" s="19" t="s">
        <v>58</v>
      </c>
      <c r="C50" s="12" t="s">
        <v>59</v>
      </c>
    </row>
    <row r="51" spans="2:3" ht="12" customHeight="1" x14ac:dyDescent="0.45"/>
    <row r="52" spans="2:3" ht="22.05" customHeight="1" x14ac:dyDescent="0.5">
      <c r="B52" s="7" t="s">
        <v>60</v>
      </c>
      <c r="C52" s="8"/>
    </row>
    <row r="53" spans="2:3" x14ac:dyDescent="0.45">
      <c r="B53" s="9" t="s">
        <v>61</v>
      </c>
      <c r="C53" s="10" t="s">
        <v>62</v>
      </c>
    </row>
    <row r="54" spans="2:3" x14ac:dyDescent="0.45">
      <c r="B54" s="9" t="s">
        <v>63</v>
      </c>
      <c r="C54" s="10" t="s">
        <v>64</v>
      </c>
    </row>
    <row r="55" spans="2:3" x14ac:dyDescent="0.45">
      <c r="B55" s="9" t="s">
        <v>65</v>
      </c>
      <c r="C55" s="10" t="s">
        <v>66</v>
      </c>
    </row>
    <row r="56" spans="2:3" ht="12" customHeight="1" x14ac:dyDescent="0.45"/>
    <row r="57" spans="2:3" ht="22.05" customHeight="1" x14ac:dyDescent="0.5">
      <c r="B57" s="7" t="s">
        <v>67</v>
      </c>
      <c r="C57" s="8"/>
    </row>
    <row r="58" spans="2:3" x14ac:dyDescent="0.45">
      <c r="B58" s="9" t="s">
        <v>68</v>
      </c>
      <c r="C58" s="10" t="s">
        <v>69</v>
      </c>
    </row>
    <row r="59" spans="2:3" ht="26.25" x14ac:dyDescent="0.45">
      <c r="B59" s="9" t="s">
        <v>70</v>
      </c>
      <c r="C59" s="10" t="s">
        <v>71</v>
      </c>
    </row>
    <row r="60" spans="2:3" x14ac:dyDescent="0.45">
      <c r="B60" s="9" t="s">
        <v>72</v>
      </c>
      <c r="C60" s="10" t="s">
        <v>73</v>
      </c>
    </row>
    <row r="61" spans="2:3" x14ac:dyDescent="0.45">
      <c r="B61" s="9" t="s">
        <v>74</v>
      </c>
      <c r="C61" s="10" t="s">
        <v>75</v>
      </c>
    </row>
    <row r="62" spans="2:3" x14ac:dyDescent="0.45">
      <c r="B62" s="9" t="s">
        <v>76</v>
      </c>
      <c r="C62" s="10" t="s">
        <v>77</v>
      </c>
    </row>
    <row r="63" spans="2:3" ht="12" customHeight="1" x14ac:dyDescent="0.45"/>
    <row r="64" spans="2:3" ht="22.05" customHeight="1" x14ac:dyDescent="0.5">
      <c r="B64" s="7" t="s">
        <v>78</v>
      </c>
      <c r="C64" s="8"/>
    </row>
    <row r="65" spans="2:3" x14ac:dyDescent="0.45">
      <c r="B65" s="20" t="s">
        <v>79</v>
      </c>
      <c r="C65" s="10" t="s">
        <v>80</v>
      </c>
    </row>
    <row r="66" spans="2:3" x14ac:dyDescent="0.45">
      <c r="B66" s="20" t="s">
        <v>81</v>
      </c>
      <c r="C66" s="10" t="s">
        <v>82</v>
      </c>
    </row>
    <row r="67" spans="2:3" x14ac:dyDescent="0.45">
      <c r="B67" s="20" t="s">
        <v>83</v>
      </c>
      <c r="C67" s="10" t="s">
        <v>84</v>
      </c>
    </row>
    <row r="68" spans="2:3" ht="39.4" x14ac:dyDescent="0.45">
      <c r="B68" s="20" t="s">
        <v>85</v>
      </c>
      <c r="C68" s="10" t="s">
        <v>86</v>
      </c>
    </row>
    <row r="69" spans="2:3" x14ac:dyDescent="0.45">
      <c r="B69" s="20" t="s">
        <v>87</v>
      </c>
      <c r="C69" s="10" t="s">
        <v>88</v>
      </c>
    </row>
    <row r="70" spans="2:3" x14ac:dyDescent="0.45">
      <c r="B70" s="20" t="s">
        <v>89</v>
      </c>
      <c r="C70" s="10" t="s">
        <v>90</v>
      </c>
    </row>
    <row r="71" spans="2:3" ht="12" customHeight="1" x14ac:dyDescent="0.45"/>
    <row r="72" spans="2:3" ht="22.05" customHeight="1" x14ac:dyDescent="0.5">
      <c r="B72" s="7" t="s">
        <v>91</v>
      </c>
      <c r="C72" s="8"/>
    </row>
    <row r="73" spans="2:3" x14ac:dyDescent="0.45">
      <c r="B73" s="9" t="s">
        <v>92</v>
      </c>
      <c r="C73" s="10" t="s">
        <v>93</v>
      </c>
    </row>
    <row r="74" spans="2:3" x14ac:dyDescent="0.45">
      <c r="B74" s="9" t="s">
        <v>94</v>
      </c>
      <c r="C74" s="10" t="s">
        <v>95</v>
      </c>
    </row>
    <row r="75" spans="2:3" x14ac:dyDescent="0.45">
      <c r="B75" s="9" t="s">
        <v>96</v>
      </c>
      <c r="C75" s="10" t="s">
        <v>97</v>
      </c>
    </row>
    <row r="76" spans="2:3" ht="16.05" customHeight="1" x14ac:dyDescent="0.45"/>
    <row r="77" spans="2:3" x14ac:dyDescent="0.45">
      <c r="B77" s="86" t="s">
        <v>98</v>
      </c>
      <c r="C77" s="87"/>
    </row>
  </sheetData>
  <mergeCells count="2">
    <mergeCell ref="B77:C77"/>
    <mergeCell ref="B16:C16"/>
  </mergeCells>
  <hyperlinks>
    <hyperlink ref="D4" location="'Исходные данные'!A1" display="Далее:  Исходные данные  ▸" xr:uid="{00000000-0004-0000-0000-000000000000}"/>
    <hyperlink ref="B40" location="'Исходные данные'!A1" display="Исходные данные" xr:uid="{00000000-0004-0000-0000-000001000000}"/>
    <hyperlink ref="B41" location="'История'!A1" display="История" xr:uid="{00000000-0004-0000-0000-000002000000}"/>
    <hyperlink ref="B42" location="'Прогноз'!A1" display="Прогноз" xr:uid="{00000000-0004-0000-0000-000003000000}"/>
    <hyperlink ref="B43" location="'Результаты'!A1" display="Результаты" xr:uid="{00000000-0004-0000-0000-000004000000}"/>
  </hyperlinks>
  <printOptions horizontalCentered="1"/>
  <pageMargins left="0.4" right="0.4" top="0.5" bottom="0.6" header="0.25" footer="0.25"/>
  <pageSetup paperSize="9" scale="67" fitToHeight="0" orientation="portrait" r:id="rId1"/>
  <headerFooter>
    <oddFooter>&amp;L&amp;K3F5876&amp;8&amp;F · &amp;A&amp;R&amp;K3F5876&amp;8Page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E0A800"/>
    <pageSetUpPr fitToPage="1"/>
  </sheetPr>
  <dimension ref="A1:J23"/>
  <sheetViews>
    <sheetView showGridLines="0" workbookViewId="0">
      <pane ySplit="5" topLeftCell="A6" activePane="bottomLeft" state="frozen"/>
      <selection pane="bottomLeft"/>
    </sheetView>
  </sheetViews>
  <sheetFormatPr defaultRowHeight="14.25" x14ac:dyDescent="0.45"/>
  <cols>
    <col min="1" max="1" width="2" customWidth="1"/>
    <col min="2" max="2" width="44" customWidth="1"/>
    <col min="3" max="3" width="19" customWidth="1"/>
    <col min="4" max="4" width="13" customWidth="1"/>
    <col min="5" max="5" width="19" customWidth="1"/>
    <col min="6" max="9" width="10" customWidth="1"/>
    <col min="10" max="10" width="59" customWidth="1"/>
    <col min="12" max="12" width="9.06640625" customWidth="1"/>
  </cols>
  <sheetData>
    <row r="1" spans="1:10" ht="6" customHeight="1" x14ac:dyDescent="0.45"/>
    <row r="2" spans="1:10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3" t="s">
        <v>1</v>
      </c>
    </row>
    <row r="3" spans="1:10" ht="20" customHeight="1" x14ac:dyDescent="0.45">
      <c r="A3" s="1"/>
      <c r="B3" s="4" t="s">
        <v>99</v>
      </c>
      <c r="C3" s="1"/>
      <c r="D3" s="1"/>
      <c r="E3" s="1"/>
      <c r="F3" s="1"/>
      <c r="G3" s="1"/>
      <c r="H3" s="1"/>
      <c r="I3" s="1"/>
      <c r="J3" s="1"/>
    </row>
    <row r="4" spans="1:10" ht="20" customHeight="1" x14ac:dyDescent="0.45">
      <c r="A4" s="5"/>
      <c r="B4" s="22" t="s">
        <v>100</v>
      </c>
      <c r="C4" s="5"/>
      <c r="D4" s="5"/>
      <c r="E4" s="5"/>
      <c r="F4" s="5"/>
      <c r="G4" s="5"/>
      <c r="H4" s="5"/>
      <c r="I4" s="5"/>
      <c r="J4" s="6" t="s">
        <v>101</v>
      </c>
    </row>
    <row r="5" spans="1:10" ht="8" customHeight="1" x14ac:dyDescent="0.45"/>
    <row r="6" spans="1:10" ht="30" customHeight="1" x14ac:dyDescent="0.45">
      <c r="B6" s="89" t="s">
        <v>102</v>
      </c>
      <c r="C6" s="87"/>
      <c r="D6" s="87"/>
      <c r="E6" s="87"/>
      <c r="F6" s="87"/>
      <c r="G6" s="87"/>
      <c r="H6" s="87"/>
      <c r="I6" s="87"/>
      <c r="J6" s="87"/>
    </row>
    <row r="7" spans="1:10" ht="6" customHeight="1" x14ac:dyDescent="0.45"/>
    <row r="8" spans="1:10" ht="22.05" customHeight="1" x14ac:dyDescent="0.5">
      <c r="B8" s="7" t="s">
        <v>103</v>
      </c>
      <c r="C8" s="8"/>
      <c r="D8" s="8"/>
      <c r="E8" s="8"/>
      <c r="F8" s="8"/>
      <c r="G8" s="8"/>
      <c r="H8" s="8"/>
      <c r="I8" s="8"/>
      <c r="J8" s="8"/>
    </row>
    <row r="9" spans="1:10" ht="18" customHeight="1" x14ac:dyDescent="0.45">
      <c r="B9" s="13" t="s">
        <v>104</v>
      </c>
    </row>
    <row r="10" spans="1:10" ht="18" customHeight="1" x14ac:dyDescent="0.45">
      <c r="B10" s="23" t="s">
        <v>105</v>
      </c>
      <c r="C10" s="23" t="s">
        <v>106</v>
      </c>
      <c r="D10" s="24" t="s">
        <v>107</v>
      </c>
      <c r="E10" s="23" t="s">
        <v>94</v>
      </c>
      <c r="F10" s="5"/>
      <c r="G10" s="5"/>
      <c r="H10" s="5"/>
      <c r="I10" s="5"/>
      <c r="J10" s="23" t="s">
        <v>108</v>
      </c>
    </row>
    <row r="11" spans="1:10" x14ac:dyDescent="0.45">
      <c r="B11" s="25" t="s">
        <v>109</v>
      </c>
      <c r="C11" s="26" t="s">
        <v>110</v>
      </c>
      <c r="D11" s="27">
        <v>150</v>
      </c>
      <c r="E11" s="26" t="s">
        <v>111</v>
      </c>
      <c r="F11" s="28"/>
      <c r="G11" s="28"/>
      <c r="H11" s="28"/>
      <c r="I11" s="28"/>
      <c r="J11" s="29" t="s">
        <v>112</v>
      </c>
    </row>
    <row r="12" spans="1:10" x14ac:dyDescent="0.45">
      <c r="B12" s="25" t="s">
        <v>113</v>
      </c>
      <c r="C12" s="26" t="s">
        <v>114</v>
      </c>
      <c r="D12" s="30">
        <v>2027</v>
      </c>
      <c r="E12" s="26" t="s">
        <v>111</v>
      </c>
      <c r="F12" s="28"/>
      <c r="G12" s="28"/>
      <c r="H12" s="28"/>
      <c r="I12" s="28"/>
      <c r="J12" s="29" t="s">
        <v>115</v>
      </c>
    </row>
    <row r="13" spans="1:10" x14ac:dyDescent="0.45">
      <c r="B13" s="25" t="s">
        <v>116</v>
      </c>
      <c r="C13" s="26" t="s">
        <v>117</v>
      </c>
      <c r="D13" s="31">
        <f>365.25/12</f>
        <v>30.4375</v>
      </c>
      <c r="E13" s="26" t="s">
        <v>118</v>
      </c>
      <c r="F13" s="28"/>
      <c r="G13" s="28"/>
      <c r="H13" s="28"/>
      <c r="I13" s="28"/>
      <c r="J13" s="29" t="s">
        <v>119</v>
      </c>
    </row>
    <row r="14" spans="1:10" x14ac:dyDescent="0.45">
      <c r="B14" s="25" t="s">
        <v>120</v>
      </c>
      <c r="C14" s="26" t="s">
        <v>121</v>
      </c>
      <c r="D14" s="32">
        <f>COUNT('Прогноз'!$F$6:$Q$6)</f>
        <v>12</v>
      </c>
      <c r="E14" s="26" t="s">
        <v>118</v>
      </c>
      <c r="F14" s="28"/>
      <c r="G14" s="28"/>
      <c r="H14" s="28"/>
      <c r="I14" s="28"/>
      <c r="J14" s="29" t="s">
        <v>122</v>
      </c>
    </row>
    <row r="15" spans="1:10" ht="23.25" x14ac:dyDescent="0.45">
      <c r="B15" s="25" t="s">
        <v>123</v>
      </c>
      <c r="C15" s="26" t="s">
        <v>124</v>
      </c>
      <c r="D15" s="30">
        <v>1</v>
      </c>
      <c r="E15" s="26" t="s">
        <v>111</v>
      </c>
      <c r="F15" s="28"/>
      <c r="G15" s="28"/>
      <c r="H15" s="28"/>
      <c r="I15" s="28"/>
      <c r="J15" s="29" t="s">
        <v>125</v>
      </c>
    </row>
    <row r="16" spans="1:10" ht="8" customHeight="1" x14ac:dyDescent="0.45"/>
    <row r="17" spans="2:10" ht="22.05" customHeight="1" x14ac:dyDescent="0.5">
      <c r="B17" s="7" t="s">
        <v>126</v>
      </c>
      <c r="C17" s="8"/>
      <c r="D17" s="8"/>
      <c r="E17" s="8"/>
      <c r="F17" s="8"/>
      <c r="G17" s="8"/>
      <c r="H17" s="8"/>
      <c r="I17" s="8"/>
      <c r="J17" s="8"/>
    </row>
    <row r="18" spans="2:10" ht="18" customHeight="1" x14ac:dyDescent="0.45">
      <c r="B18" s="13" t="s">
        <v>127</v>
      </c>
    </row>
    <row r="19" spans="2:10" ht="18" customHeight="1" x14ac:dyDescent="0.45">
      <c r="B19" s="23" t="s">
        <v>105</v>
      </c>
      <c r="C19" s="23" t="s">
        <v>106</v>
      </c>
      <c r="D19" s="24" t="s">
        <v>107</v>
      </c>
      <c r="E19" s="23" t="s">
        <v>94</v>
      </c>
      <c r="F19" s="24" t="s">
        <v>128</v>
      </c>
      <c r="G19" s="24" t="s">
        <v>129</v>
      </c>
      <c r="H19" s="24" t="s">
        <v>130</v>
      </c>
      <c r="I19" s="24" t="s">
        <v>131</v>
      </c>
      <c r="J19" s="23" t="s">
        <v>108</v>
      </c>
    </row>
    <row r="20" spans="2:10" ht="23.25" x14ac:dyDescent="0.45">
      <c r="B20" s="25" t="s">
        <v>132</v>
      </c>
      <c r="C20" s="26" t="s">
        <v>133</v>
      </c>
      <c r="D20" s="33">
        <v>0.35</v>
      </c>
      <c r="E20" s="26" t="s">
        <v>111</v>
      </c>
      <c r="F20" s="28"/>
      <c r="G20" s="28"/>
      <c r="H20" s="28"/>
      <c r="I20" s="28"/>
      <c r="J20" s="29" t="s">
        <v>134</v>
      </c>
    </row>
    <row r="21" spans="2:10" x14ac:dyDescent="0.45">
      <c r="B21" s="25" t="s">
        <v>135</v>
      </c>
      <c r="C21" s="26" t="s">
        <v>121</v>
      </c>
      <c r="D21" s="34" cm="1">
        <f t="array" aca="1" ref="D21" ca="1">_xll.VoseInput("Время до прорыва","лет")+_xll.VosePERT(F21,G21,H21)</f>
        <v>2.9799931019663592</v>
      </c>
      <c r="E21" s="26" t="s">
        <v>136</v>
      </c>
      <c r="F21" s="35">
        <v>1</v>
      </c>
      <c r="G21" s="35">
        <v>3</v>
      </c>
      <c r="H21" s="35">
        <v>8</v>
      </c>
      <c r="I21" s="36" cm="1">
        <f t="array" ref="I21">IF(AND(F21&lt;=G21,G21&lt;=H21,F21&lt;H21),_xll.VoseMean(_xll.VosePERTObject(F21,G21,H21)),"✗ диапазон")</f>
        <v>3.5</v>
      </c>
      <c r="J21" s="29" t="s">
        <v>137</v>
      </c>
    </row>
    <row r="22" spans="2:10" x14ac:dyDescent="0.45">
      <c r="B22" s="25" t="s">
        <v>138</v>
      </c>
      <c r="C22" s="26" t="s">
        <v>139</v>
      </c>
      <c r="D22" s="37" cm="1">
        <f t="array" aca="1" ref="D22" ca="1">_xll.VoseInput("Коэффициент падения при прорыве","×")+_xll.VosePERT(F22,G22,H22)</f>
        <v>1.4992668608923119</v>
      </c>
      <c r="E22" s="26" t="s">
        <v>136</v>
      </c>
      <c r="F22" s="38">
        <v>1.2</v>
      </c>
      <c r="G22" s="38">
        <v>1.5</v>
      </c>
      <c r="H22" s="38">
        <v>2.2000000000000002</v>
      </c>
      <c r="I22" s="31" cm="1">
        <f t="array" ref="I22">IF(AND(F22&lt;=G22,G22&lt;=H22,F22&lt;H22),_xll.VoseMean(_xll.VosePERTObject(F22,G22,H22)),"✗ диапазон")</f>
        <v>1.5666666666666667</v>
      </c>
      <c r="J22" s="29" t="s">
        <v>140</v>
      </c>
    </row>
    <row r="23" spans="2:10" ht="8" customHeight="1" x14ac:dyDescent="0.45"/>
  </sheetData>
  <mergeCells count="1">
    <mergeCell ref="B6:J6"/>
  </mergeCells>
  <conditionalFormatting sqref="I21:I22">
    <cfRule type="expression" dxfId="7" priority="1">
      <formula>LEFT($I21,1)="✗"</formula>
    </cfRule>
  </conditionalFormatting>
  <dataValidations count="5">
    <dataValidation type="decimal" operator="greaterThan" showErrorMessage="1" errorTitle="Положительное значение" error="Введите значение больше нуля." sqref="D11" xr:uid="{00000000-0002-0000-0100-000000000000}">
      <formula1>0</formula1>
    </dataValidation>
    <dataValidation type="whole" showErrorMessage="1" errorTitle="Год" error="Введите календарный год." sqref="D12" xr:uid="{00000000-0002-0000-0100-000001000000}">
      <formula1>1900</formula1>
      <formula2>2200</formula2>
    </dataValidation>
    <dataValidation type="whole" showErrorMessage="1" errorTitle="Переключатель" error="Введите 1 (да) или 0 (нет)." sqref="D15" xr:uid="{00000000-0002-0000-0100-000002000000}">
      <formula1>0</formula1>
      <formula2>1</formula2>
    </dataValidation>
    <dataValidation type="decimal" showErrorMessage="1" errorTitle="Вероятность" error="Введите значение от 0% до 100%." sqref="D20" xr:uid="{00000000-0002-0000-0100-000003000000}">
      <formula1>0</formula1>
      <formula2>1</formula2>
    </dataValidation>
    <dataValidation type="custom" showErrorMessage="1" errorTitle="Диапазон PERT" error="Мин. должно быть меньше макс., наиболее вероятное — между ними." sqref="F21:H22" xr:uid="{00000000-0002-0000-0100-000004000000}">
      <formula1>AND($F21&lt;=$G21,$G21&lt;=$H21,$F21&lt;$H21)</formula1>
    </dataValidation>
  </dataValidations>
  <hyperlinks>
    <hyperlink ref="B4" location="'Описание'!A1" display="◂  Описание" xr:uid="{00000000-0004-0000-0100-000000000000}"/>
    <hyperlink ref="J4" location="'История'!A1" display="Далее:  История  ▸" xr:uid="{00000000-0004-0000-0100-000001000000}"/>
  </hyperlinks>
  <printOptions horizontalCentered="1"/>
  <pageMargins left="0.4" right="0.4" top="0.5" bottom="0.6" header="0.25" footer="0.25"/>
  <pageSetup paperSize="9" scale="70" fitToHeight="0" orientation="landscape" r:id="rId1"/>
  <headerFooter>
    <oddFooter>&amp;L&amp;K3F5876&amp;8&amp;F · &amp;A&amp;R&amp;K3F5876&amp;8Page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3F5876"/>
    <pageSetUpPr fitToPage="1"/>
  </sheetPr>
  <dimension ref="A1:O45"/>
  <sheetViews>
    <sheetView showGridLines="0" workbookViewId="0">
      <pane ySplit="5" topLeftCell="A6" activePane="bottomLeft" state="frozen"/>
      <selection pane="bottomLeft"/>
    </sheetView>
  </sheetViews>
  <sheetFormatPr defaultRowHeight="14.25" x14ac:dyDescent="0.45"/>
  <cols>
    <col min="1" max="1" width="2" customWidth="1"/>
    <col min="2" max="2" width="9" customWidth="1"/>
    <col min="3" max="3" width="11" customWidth="1"/>
    <col min="4" max="4" width="10" customWidth="1"/>
    <col min="5" max="6" width="11" customWidth="1"/>
    <col min="7" max="7" width="12" customWidth="1"/>
    <col min="8" max="8" width="3" customWidth="1"/>
    <col min="9" max="9" width="44" customWidth="1"/>
    <col min="10" max="12" width="12" customWidth="1"/>
    <col min="13" max="13" width="13" customWidth="1"/>
    <col min="14" max="14" width="2" customWidth="1"/>
    <col min="15" max="15" width="52" customWidth="1"/>
  </cols>
  <sheetData>
    <row r="1" spans="1:15" ht="6" customHeight="1" x14ac:dyDescent="0.45"/>
    <row r="2" spans="1:15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3" t="s">
        <v>1</v>
      </c>
    </row>
    <row r="3" spans="1:15" ht="20" customHeight="1" x14ac:dyDescent="0.45">
      <c r="A3" s="1"/>
      <c r="B3" s="4" t="s">
        <v>141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20" customHeight="1" x14ac:dyDescent="0.45">
      <c r="A4" s="5"/>
      <c r="B4" s="22" t="s">
        <v>142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6" t="s">
        <v>143</v>
      </c>
    </row>
    <row r="5" spans="1:15" ht="8" customHeight="1" x14ac:dyDescent="0.45"/>
    <row r="6" spans="1:15" ht="18" customHeight="1" x14ac:dyDescent="0.5">
      <c r="B6" s="7" t="s">
        <v>144</v>
      </c>
      <c r="C6" s="8"/>
      <c r="D6" s="8"/>
      <c r="E6" s="8"/>
      <c r="F6" s="8"/>
      <c r="G6" s="8"/>
      <c r="I6" s="7" t="s">
        <v>145</v>
      </c>
      <c r="J6" s="8"/>
      <c r="K6" s="8"/>
      <c r="L6" s="8"/>
      <c r="M6" s="8"/>
      <c r="N6" s="8"/>
      <c r="O6" s="8"/>
    </row>
    <row r="7" spans="1:15" ht="18" customHeight="1" x14ac:dyDescent="0.45">
      <c r="B7" s="13" t="s">
        <v>146</v>
      </c>
      <c r="I7" s="13" t="s">
        <v>147</v>
      </c>
    </row>
    <row r="8" spans="1:15" ht="18" customHeight="1" x14ac:dyDescent="0.45">
      <c r="B8" s="39" t="s">
        <v>148</v>
      </c>
      <c r="C8" s="39" t="s">
        <v>149</v>
      </c>
      <c r="D8" s="39" t="s">
        <v>150</v>
      </c>
      <c r="E8" s="39" t="s">
        <v>151</v>
      </c>
      <c r="F8" s="39" t="s">
        <v>152</v>
      </c>
      <c r="G8" s="39" t="s">
        <v>153</v>
      </c>
      <c r="I8" s="40" t="s">
        <v>154</v>
      </c>
      <c r="J8" s="40" t="s">
        <v>106</v>
      </c>
      <c r="K8" s="41" t="s">
        <v>155</v>
      </c>
      <c r="L8" s="40" t="s">
        <v>156</v>
      </c>
      <c r="M8" s="5"/>
      <c r="N8" s="5"/>
      <c r="O8" s="5"/>
    </row>
    <row r="9" spans="1:15" ht="18" customHeight="1" x14ac:dyDescent="0.45">
      <c r="B9" s="42"/>
      <c r="C9" s="42" t="s">
        <v>110</v>
      </c>
      <c r="D9" s="42"/>
      <c r="E9" s="42" t="s">
        <v>110</v>
      </c>
      <c r="F9" s="42" t="s">
        <v>157</v>
      </c>
      <c r="G9" s="42" t="s">
        <v>157</v>
      </c>
      <c r="I9" s="25" t="s">
        <v>158</v>
      </c>
      <c r="J9" s="26" t="s">
        <v>159</v>
      </c>
      <c r="K9" s="43">
        <f>SLOPE(Hist_LnRate,Hist_Month)</f>
        <v>-1.8367998688442834E-2</v>
      </c>
      <c r="L9" s="26" t="s">
        <v>160</v>
      </c>
      <c r="M9" s="28"/>
      <c r="N9" s="28"/>
      <c r="O9" s="28"/>
    </row>
    <row r="10" spans="1:15" ht="18" customHeight="1" x14ac:dyDescent="0.45">
      <c r="B10" s="32">
        <v>1</v>
      </c>
      <c r="C10" s="27">
        <v>1799</v>
      </c>
      <c r="D10" s="44">
        <f t="shared" ref="D10:D45" si="0">LN(C10)</f>
        <v>7.4949862339505335</v>
      </c>
      <c r="E10" s="45">
        <f t="shared" ref="E10:E45" si="1">EXP(Fit_Intercept+Fit_Slope*B10)</f>
        <v>1867.8134427814789</v>
      </c>
      <c r="F10" s="36">
        <f t="shared" ref="F10:F45" si="2">C10*DaysPerMonth/1000</f>
        <v>54.757062500000004</v>
      </c>
      <c r="G10" s="36">
        <f>F10</f>
        <v>54.757062500000004</v>
      </c>
      <c r="I10" s="25" t="s">
        <v>161</v>
      </c>
      <c r="J10" s="26" t="s">
        <v>162</v>
      </c>
      <c r="K10" s="46">
        <f>INTERCEPT(Hist_LnRate,Hist_Month)</f>
        <v>7.5508917424585587</v>
      </c>
      <c r="L10" s="26" t="s">
        <v>163</v>
      </c>
      <c r="M10" s="28"/>
      <c r="N10" s="28"/>
      <c r="O10" s="28"/>
    </row>
    <row r="11" spans="1:15" ht="18" customHeight="1" x14ac:dyDescent="0.45">
      <c r="B11" s="32">
        <v>2</v>
      </c>
      <c r="C11" s="27">
        <v>1967</v>
      </c>
      <c r="D11" s="44">
        <f t="shared" si="0"/>
        <v>7.5842648183890589</v>
      </c>
      <c r="E11" s="45">
        <f t="shared" si="1"/>
        <v>1833.8186121849697</v>
      </c>
      <c r="F11" s="36">
        <f t="shared" si="2"/>
        <v>59.870562499999998</v>
      </c>
      <c r="G11" s="36">
        <f t="shared" ref="G11:G45" si="3">G10+F11</f>
        <v>114.62762499999999</v>
      </c>
      <c r="I11" s="25" t="s">
        <v>164</v>
      </c>
      <c r="J11" s="26"/>
      <c r="K11" s="44">
        <f>RSQ(Hist_LnRate,Hist_Month)</f>
        <v>0.83621008898557736</v>
      </c>
      <c r="L11" s="26" t="s">
        <v>165</v>
      </c>
      <c r="M11" s="28"/>
      <c r="N11" s="28"/>
      <c r="O11" s="28"/>
    </row>
    <row r="12" spans="1:15" ht="18" customHeight="1" x14ac:dyDescent="0.45">
      <c r="B12" s="32">
        <v>3</v>
      </c>
      <c r="C12" s="27">
        <v>1878</v>
      </c>
      <c r="D12" s="44">
        <f t="shared" si="0"/>
        <v>7.5379626597682083</v>
      </c>
      <c r="E12" s="45">
        <f t="shared" si="1"/>
        <v>1800.4424988975945</v>
      </c>
      <c r="F12" s="36">
        <f t="shared" si="2"/>
        <v>57.161625000000001</v>
      </c>
      <c r="G12" s="36">
        <f t="shared" si="3"/>
        <v>171.78924999999998</v>
      </c>
      <c r="I12" s="25" t="s">
        <v>166</v>
      </c>
      <c r="J12" s="26" t="s">
        <v>162</v>
      </c>
      <c r="K12" s="44">
        <f>STEYX(Hist_LnRate,Hist_Month)</f>
        <v>8.6896796194402132E-2</v>
      </c>
      <c r="L12" s="26" t="s">
        <v>167</v>
      </c>
      <c r="M12" s="28"/>
      <c r="N12" s="28"/>
      <c r="O12" s="28"/>
    </row>
    <row r="13" spans="1:15" ht="18" customHeight="1" x14ac:dyDescent="0.45">
      <c r="B13" s="32">
        <v>4</v>
      </c>
      <c r="C13" s="27">
        <v>1844</v>
      </c>
      <c r="D13" s="44">
        <f t="shared" si="0"/>
        <v>7.5196924041165394</v>
      </c>
      <c r="E13" s="45">
        <f t="shared" si="1"/>
        <v>1767.6738420569873</v>
      </c>
      <c r="F13" s="36">
        <f t="shared" si="2"/>
        <v>56.126750000000001</v>
      </c>
      <c r="G13" s="36">
        <f t="shared" si="3"/>
        <v>227.916</v>
      </c>
      <c r="I13" s="25" t="s">
        <v>168</v>
      </c>
      <c r="J13" s="26" t="s">
        <v>169</v>
      </c>
      <c r="K13" s="36">
        <f>AVERAGE(Hist_Month)</f>
        <v>18.5</v>
      </c>
      <c r="L13" s="26" t="s">
        <v>170</v>
      </c>
      <c r="M13" s="28"/>
      <c r="N13" s="28"/>
      <c r="O13" s="28"/>
    </row>
    <row r="14" spans="1:15" ht="18" customHeight="1" x14ac:dyDescent="0.45">
      <c r="B14" s="32">
        <v>5</v>
      </c>
      <c r="C14" s="27">
        <v>1985</v>
      </c>
      <c r="D14" s="44">
        <f t="shared" si="0"/>
        <v>7.5933741931212904</v>
      </c>
      <c r="E14" s="45">
        <f t="shared" si="1"/>
        <v>1735.5015857522455</v>
      </c>
      <c r="F14" s="36">
        <f t="shared" si="2"/>
        <v>60.418437500000003</v>
      </c>
      <c r="G14" s="36">
        <f t="shared" si="3"/>
        <v>288.33443749999998</v>
      </c>
      <c r="I14" s="25" t="s">
        <v>171</v>
      </c>
      <c r="J14" s="26" t="s">
        <v>159</v>
      </c>
      <c r="K14" s="43">
        <f>Fit_SEy/SQRT(DEVSQ(Hist_Month))</f>
        <v>1.3941459874967903E-3</v>
      </c>
      <c r="L14" s="26" t="s">
        <v>172</v>
      </c>
      <c r="M14" s="28"/>
      <c r="N14" s="28"/>
      <c r="O14" s="28"/>
    </row>
    <row r="15" spans="1:15" ht="18" customHeight="1" x14ac:dyDescent="0.45">
      <c r="B15" s="32">
        <v>6</v>
      </c>
      <c r="C15" s="27">
        <v>1473</v>
      </c>
      <c r="D15" s="44">
        <f t="shared" si="0"/>
        <v>7.2950564164626304</v>
      </c>
      <c r="E15" s="45">
        <f t="shared" si="1"/>
        <v>1703.9148752937519</v>
      </c>
      <c r="F15" s="36">
        <f t="shared" si="2"/>
        <v>44.8344375</v>
      </c>
      <c r="G15" s="36">
        <f t="shared" si="3"/>
        <v>333.16887499999996</v>
      </c>
      <c r="I15" s="25" t="s">
        <v>173</v>
      </c>
      <c r="J15" s="26" t="s">
        <v>162</v>
      </c>
      <c r="K15" s="46">
        <f>Fit_SE_Slope*SQRT(SUMSQ(Hist_Month)/COUNT(Hist_Month))</f>
        <v>2.957977866735606E-2</v>
      </c>
      <c r="L15" s="26" t="s">
        <v>174</v>
      </c>
      <c r="M15" s="28"/>
      <c r="N15" s="28"/>
      <c r="O15" s="28"/>
    </row>
    <row r="16" spans="1:15" ht="18" customHeight="1" x14ac:dyDescent="0.45">
      <c r="B16" s="32">
        <v>7</v>
      </c>
      <c r="C16" s="27">
        <v>1536</v>
      </c>
      <c r="D16" s="44">
        <f t="shared" si="0"/>
        <v>7.3369369137076177</v>
      </c>
      <c r="E16" s="45">
        <f t="shared" si="1"/>
        <v>1672.9030535508764</v>
      </c>
      <c r="F16" s="36">
        <f t="shared" si="2"/>
        <v>46.752000000000002</v>
      </c>
      <c r="G16" s="36">
        <f t="shared" si="3"/>
        <v>379.92087499999997</v>
      </c>
      <c r="I16" s="25" t="s">
        <v>175</v>
      </c>
      <c r="J16" s="26" t="s">
        <v>159</v>
      </c>
      <c r="K16" s="47">
        <f>-Fit_Slope</f>
        <v>1.8367998688442834E-2</v>
      </c>
      <c r="L16" s="26" t="s">
        <v>176</v>
      </c>
      <c r="M16" s="28"/>
      <c r="N16" s="28"/>
      <c r="O16" s="28"/>
    </row>
    <row r="17" spans="2:15" ht="18" customHeight="1" x14ac:dyDescent="0.45">
      <c r="B17" s="32">
        <v>8</v>
      </c>
      <c r="C17" s="27">
        <v>1410</v>
      </c>
      <c r="D17" s="44">
        <f t="shared" si="0"/>
        <v>7.2513449833722143</v>
      </c>
      <c r="E17" s="45">
        <f t="shared" si="1"/>
        <v>1642.4556573563418</v>
      </c>
      <c r="F17" s="36">
        <f t="shared" si="2"/>
        <v>42.916874999999997</v>
      </c>
      <c r="G17" s="36">
        <f t="shared" si="3"/>
        <v>422.83774999999997</v>
      </c>
      <c r="I17" s="25" t="s">
        <v>177</v>
      </c>
      <c r="J17" s="26" t="s">
        <v>178</v>
      </c>
      <c r="K17" s="48">
        <f>1-EXP(12*Fit_Slope)</f>
        <v>0.19781496780141716</v>
      </c>
      <c r="L17" s="26" t="s">
        <v>179</v>
      </c>
      <c r="M17" s="28"/>
      <c r="N17" s="28"/>
      <c r="O17" s="28"/>
    </row>
    <row r="18" spans="2:15" ht="18" customHeight="1" x14ac:dyDescent="0.45">
      <c r="B18" s="32">
        <v>9</v>
      </c>
      <c r="C18" s="27">
        <v>1567</v>
      </c>
      <c r="D18" s="44">
        <f t="shared" si="0"/>
        <v>7.3569182423560209</v>
      </c>
      <c r="E18" s="45">
        <f t="shared" si="1"/>
        <v>1612.5624139760182</v>
      </c>
      <c r="F18" s="36">
        <f t="shared" si="2"/>
        <v>47.695562500000001</v>
      </c>
      <c r="G18" s="36">
        <f t="shared" si="3"/>
        <v>470.53331249999997</v>
      </c>
      <c r="I18" s="25" t="s">
        <v>180</v>
      </c>
      <c r="J18" s="26" t="s">
        <v>110</v>
      </c>
      <c r="K18" s="45">
        <f>EXP(Fit_Intercept+Fit_Slope*Hist_LastMonth)</f>
        <v>982.05153800876769</v>
      </c>
      <c r="L18" s="26" t="s">
        <v>181</v>
      </c>
      <c r="M18" s="28"/>
      <c r="N18" s="28"/>
      <c r="O18" s="28"/>
    </row>
    <row r="19" spans="2:15" ht="18" customHeight="1" x14ac:dyDescent="0.45">
      <c r="B19" s="32">
        <v>10</v>
      </c>
      <c r="C19" s="27">
        <v>1722</v>
      </c>
      <c r="D19" s="44">
        <f t="shared" si="0"/>
        <v>7.4512416849876759</v>
      </c>
      <c r="E19" s="45">
        <f t="shared" si="1"/>
        <v>1583.2132376429802</v>
      </c>
      <c r="F19" s="36">
        <f t="shared" si="2"/>
        <v>52.413375000000002</v>
      </c>
      <c r="G19" s="36">
        <f t="shared" si="3"/>
        <v>522.94668749999994</v>
      </c>
      <c r="I19" s="25" t="s">
        <v>182</v>
      </c>
      <c r="J19" s="26" t="s">
        <v>110</v>
      </c>
      <c r="K19" s="45">
        <f>Fit_StartRate*EXP(Fit_Slope*12*ForecastYears)</f>
        <v>69.731487866215929</v>
      </c>
      <c r="L19" s="26" t="s">
        <v>183</v>
      </c>
      <c r="M19" s="28"/>
      <c r="N19" s="28"/>
      <c r="O19" s="28"/>
    </row>
    <row r="20" spans="2:15" ht="18" customHeight="1" x14ac:dyDescent="0.45">
      <c r="B20" s="32">
        <v>11</v>
      </c>
      <c r="C20" s="27">
        <v>1530</v>
      </c>
      <c r="D20" s="44">
        <f t="shared" si="0"/>
        <v>7.3330230143864812</v>
      </c>
      <c r="E20" s="45">
        <f t="shared" si="1"/>
        <v>1554.3982261546389</v>
      </c>
      <c r="F20" s="36">
        <f t="shared" si="2"/>
        <v>46.569375000000001</v>
      </c>
      <c r="G20" s="36">
        <f t="shared" si="3"/>
        <v>569.51606249999998</v>
      </c>
      <c r="I20" s="25" t="s">
        <v>184</v>
      </c>
      <c r="J20" s="26" t="s">
        <v>110</v>
      </c>
      <c r="K20" s="45">
        <f>MAX(EconLimit,Fit_EndRate)</f>
        <v>150</v>
      </c>
      <c r="L20" s="26" t="s">
        <v>185</v>
      </c>
      <c r="M20" s="28"/>
      <c r="N20" s="28"/>
      <c r="O20" s="28"/>
    </row>
    <row r="21" spans="2:15" ht="18" customHeight="1" x14ac:dyDescent="0.45">
      <c r="B21" s="32">
        <v>12</v>
      </c>
      <c r="C21" s="27">
        <v>1586</v>
      </c>
      <c r="D21" s="44">
        <f t="shared" si="0"/>
        <v>7.368970402194793</v>
      </c>
      <c r="E21" s="45">
        <f t="shared" si="1"/>
        <v>1526.1076575318154</v>
      </c>
      <c r="F21" s="36">
        <f t="shared" si="2"/>
        <v>48.273874999999997</v>
      </c>
      <c r="G21" s="36">
        <f t="shared" si="3"/>
        <v>617.78993749999995</v>
      </c>
      <c r="I21" s="25" t="s">
        <v>186</v>
      </c>
      <c r="J21" s="26" t="s">
        <v>157</v>
      </c>
      <c r="K21" s="45">
        <f>MAX(0,DaysPerMonth*(Fit_StartRate-Fit_StopRate)/Fit_Decline/1000)</f>
        <v>1378.7875923617494</v>
      </c>
      <c r="L21" s="26" t="s">
        <v>187</v>
      </c>
      <c r="M21" s="28"/>
      <c r="N21" s="28"/>
      <c r="O21" s="28"/>
    </row>
    <row r="22" spans="2:15" ht="18" customHeight="1" x14ac:dyDescent="0.45">
      <c r="B22" s="32">
        <v>13</v>
      </c>
      <c r="C22" s="27">
        <v>1227</v>
      </c>
      <c r="D22" s="44">
        <f t="shared" si="0"/>
        <v>7.1123274447109113</v>
      </c>
      <c r="E22" s="45">
        <f t="shared" si="1"/>
        <v>1498.331986738606</v>
      </c>
      <c r="F22" s="36">
        <f t="shared" si="2"/>
        <v>37.346812499999999</v>
      </c>
      <c r="G22" s="36">
        <f t="shared" si="3"/>
        <v>655.13674999999989</v>
      </c>
    </row>
    <row r="23" spans="2:15" ht="18" customHeight="1" x14ac:dyDescent="0.5">
      <c r="B23" s="32">
        <v>14</v>
      </c>
      <c r="C23" s="27">
        <v>1484</v>
      </c>
      <c r="D23" s="44">
        <f t="shared" si="0"/>
        <v>7.3024964237273258</v>
      </c>
      <c r="E23" s="45">
        <f t="shared" si="1"/>
        <v>1471.0618424619599</v>
      </c>
      <c r="F23" s="36">
        <f t="shared" si="2"/>
        <v>45.169249999999998</v>
      </c>
      <c r="G23" s="36">
        <f t="shared" si="3"/>
        <v>700.30599999999993</v>
      </c>
      <c r="I23" s="7" t="s">
        <v>188</v>
      </c>
      <c r="J23" s="8"/>
      <c r="K23" s="8"/>
      <c r="L23" s="8"/>
      <c r="M23" s="8"/>
      <c r="N23" s="8"/>
      <c r="O23" s="8"/>
    </row>
    <row r="24" spans="2:15" ht="18" customHeight="1" x14ac:dyDescent="0.45">
      <c r="B24" s="32">
        <v>15</v>
      </c>
      <c r="C24" s="27">
        <v>1314</v>
      </c>
      <c r="D24" s="44">
        <f t="shared" si="0"/>
        <v>7.1808311990445555</v>
      </c>
      <c r="E24" s="45">
        <f t="shared" si="1"/>
        <v>1444.2880239498647</v>
      </c>
      <c r="F24" s="36">
        <f t="shared" si="2"/>
        <v>39.994875</v>
      </c>
      <c r="G24" s="36">
        <f t="shared" si="3"/>
        <v>740.30087499999991</v>
      </c>
      <c r="I24" s="13" t="s">
        <v>189</v>
      </c>
    </row>
    <row r="25" spans="2:15" ht="18" customHeight="1" x14ac:dyDescent="0.45">
      <c r="B25" s="32">
        <v>16</v>
      </c>
      <c r="C25" s="27">
        <v>1691</v>
      </c>
      <c r="D25" s="44">
        <f t="shared" si="0"/>
        <v>7.4330753488985799</v>
      </c>
      <c r="E25" s="45">
        <f t="shared" si="1"/>
        <v>1418.0014979070766</v>
      </c>
      <c r="F25" s="36">
        <f t="shared" si="2"/>
        <v>51.469812500000003</v>
      </c>
      <c r="G25" s="36">
        <f t="shared" si="3"/>
        <v>791.77068749999989</v>
      </c>
      <c r="I25" s="23" t="s">
        <v>190</v>
      </c>
      <c r="J25" s="24" t="s">
        <v>191</v>
      </c>
      <c r="K25" s="24" t="s">
        <v>161</v>
      </c>
      <c r="L25" s="24" t="s">
        <v>158</v>
      </c>
      <c r="M25" s="24" t="s">
        <v>192</v>
      </c>
      <c r="N25" s="5"/>
      <c r="O25" s="23" t="s">
        <v>193</v>
      </c>
    </row>
    <row r="26" spans="2:15" ht="18" customHeight="1" x14ac:dyDescent="0.45">
      <c r="B26" s="32">
        <v>17</v>
      </c>
      <c r="C26" s="27">
        <v>1523</v>
      </c>
      <c r="D26" s="44">
        <f t="shared" si="0"/>
        <v>7.3284373528951621</v>
      </c>
      <c r="E26" s="45">
        <f t="shared" si="1"/>
        <v>1392.1933954473564</v>
      </c>
      <c r="F26" s="36">
        <f t="shared" si="2"/>
        <v>46.356312500000001</v>
      </c>
      <c r="G26" s="36">
        <f t="shared" si="3"/>
        <v>838.12699999999995</v>
      </c>
      <c r="I26" s="25" t="s">
        <v>161</v>
      </c>
      <c r="J26" s="43">
        <f>Fit_Intercept</f>
        <v>7.5508917424585587</v>
      </c>
      <c r="K26" s="49">
        <f>Fit_SE_Int^2</f>
        <v>8.7496330600977262E-4</v>
      </c>
      <c r="L26" s="49">
        <f>-Fit_MeanMonth*Fit_SE_Slope^2</f>
        <v>-3.5957396137387909E-5</v>
      </c>
      <c r="M26" s="50">
        <f t="array" aca="1" ref="M26:M27" ca="1">_xll.VoseMultiNormal(Fit_Means,Fit_Cov)</f>
        <v>7.5406495042589654</v>
      </c>
      <c r="N26" s="28"/>
      <c r="O26" s="26" t="s">
        <v>194</v>
      </c>
    </row>
    <row r="27" spans="2:15" ht="18" customHeight="1" x14ac:dyDescent="0.45">
      <c r="B27" s="32">
        <v>18</v>
      </c>
      <c r="C27" s="27">
        <v>1508</v>
      </c>
      <c r="D27" s="44">
        <f t="shared" si="0"/>
        <v>7.3185395485679017</v>
      </c>
      <c r="E27" s="45">
        <f t="shared" si="1"/>
        <v>1366.8550091011623</v>
      </c>
      <c r="F27" s="36">
        <f t="shared" si="2"/>
        <v>45.899749999999997</v>
      </c>
      <c r="G27" s="36">
        <f t="shared" si="3"/>
        <v>884.02674999999999</v>
      </c>
      <c r="I27" s="25" t="s">
        <v>158</v>
      </c>
      <c r="J27" s="43">
        <f>Fit_Slope</f>
        <v>-1.8367998688442834E-2</v>
      </c>
      <c r="K27" s="49">
        <f>L26</f>
        <v>-3.5957396137387909E-5</v>
      </c>
      <c r="L27" s="49">
        <f>Fit_SE_Slope^2</f>
        <v>1.9436430344534006E-6</v>
      </c>
      <c r="M27" s="50">
        <f ca="1"/>
        <v>-1.7608806827529796E-2</v>
      </c>
      <c r="N27" s="28"/>
      <c r="O27" s="26" t="s">
        <v>195</v>
      </c>
    </row>
    <row r="28" spans="2:15" ht="18" customHeight="1" x14ac:dyDescent="0.45">
      <c r="B28" s="32">
        <v>19</v>
      </c>
      <c r="C28" s="27">
        <v>1342</v>
      </c>
      <c r="D28" s="44">
        <f t="shared" si="0"/>
        <v>7.2019163175316274</v>
      </c>
      <c r="E28" s="45">
        <f t="shared" si="1"/>
        <v>1341.9777898778182</v>
      </c>
      <c r="F28" s="36">
        <f t="shared" si="2"/>
        <v>40.847124999999998</v>
      </c>
      <c r="G28" s="36">
        <f t="shared" si="3"/>
        <v>924.873875</v>
      </c>
      <c r="I28" s="51" t="s">
        <v>196</v>
      </c>
    </row>
    <row r="29" spans="2:15" ht="18" customHeight="1" x14ac:dyDescent="0.45">
      <c r="B29" s="32">
        <v>20</v>
      </c>
      <c r="C29" s="27">
        <v>1412</v>
      </c>
      <c r="D29" s="44">
        <f t="shared" si="0"/>
        <v>7.2527624180531873</v>
      </c>
      <c r="E29" s="45">
        <f t="shared" si="1"/>
        <v>1317.5533443811426</v>
      </c>
      <c r="F29" s="36">
        <f t="shared" si="2"/>
        <v>42.97775</v>
      </c>
      <c r="G29" s="36">
        <f t="shared" si="3"/>
        <v>967.85162500000001</v>
      </c>
    </row>
    <row r="30" spans="2:15" ht="18" customHeight="1" x14ac:dyDescent="0.5">
      <c r="B30" s="32">
        <v>21</v>
      </c>
      <c r="C30" s="27">
        <v>1396</v>
      </c>
      <c r="D30" s="44">
        <f t="shared" si="0"/>
        <v>7.2413662833223178</v>
      </c>
      <c r="E30" s="45">
        <f t="shared" si="1"/>
        <v>1293.5734319775763</v>
      </c>
      <c r="F30" s="36">
        <f t="shared" si="2"/>
        <v>42.490749999999998</v>
      </c>
      <c r="G30" s="36">
        <f t="shared" si="3"/>
        <v>1010.3423750000001</v>
      </c>
      <c r="I30" s="7" t="s">
        <v>197</v>
      </c>
      <c r="J30" s="8"/>
      <c r="K30" s="8"/>
      <c r="L30" s="8"/>
      <c r="M30" s="8"/>
      <c r="N30" s="8"/>
      <c r="O30" s="8"/>
    </row>
    <row r="31" spans="2:15" ht="18" customHeight="1" x14ac:dyDescent="0.45">
      <c r="B31" s="32">
        <v>22</v>
      </c>
      <c r="C31" s="27">
        <v>1243</v>
      </c>
      <c r="D31" s="44">
        <f t="shared" si="0"/>
        <v>7.1252830915107115</v>
      </c>
      <c r="E31" s="45">
        <f t="shared" si="1"/>
        <v>1270.0299620158562</v>
      </c>
      <c r="F31" s="36">
        <f t="shared" si="2"/>
        <v>37.833812500000001</v>
      </c>
      <c r="G31" s="36">
        <f t="shared" si="3"/>
        <v>1048.1761875</v>
      </c>
      <c r="I31" s="13" t="s">
        <v>198</v>
      </c>
    </row>
    <row r="32" spans="2:15" ht="18" customHeight="1" x14ac:dyDescent="0.45">
      <c r="B32" s="32">
        <v>23</v>
      </c>
      <c r="C32" s="27">
        <v>1204</v>
      </c>
      <c r="D32" s="44">
        <f t="shared" si="0"/>
        <v>7.0934046258687662</v>
      </c>
      <c r="E32" s="45">
        <f t="shared" si="1"/>
        <v>1246.9149910972797</v>
      </c>
      <c r="F32" s="36">
        <f t="shared" si="2"/>
        <v>36.646749999999997</v>
      </c>
      <c r="G32" s="36">
        <f t="shared" si="3"/>
        <v>1084.8229375000001</v>
      </c>
    </row>
    <row r="33" spans="2:7" ht="18" customHeight="1" x14ac:dyDescent="0.45">
      <c r="B33" s="32">
        <v>24</v>
      </c>
      <c r="C33" s="27">
        <v>1232</v>
      </c>
      <c r="D33" s="44">
        <f t="shared" si="0"/>
        <v>7.1163941440934648</v>
      </c>
      <c r="E33" s="45">
        <f t="shared" si="1"/>
        <v>1224.2207203956639</v>
      </c>
      <c r="F33" s="36">
        <f t="shared" si="2"/>
        <v>37.499000000000002</v>
      </c>
      <c r="G33" s="36">
        <f t="shared" si="3"/>
        <v>1122.3219375000001</v>
      </c>
    </row>
    <row r="34" spans="2:7" ht="18" customHeight="1" x14ac:dyDescent="0.45">
      <c r="B34" s="32">
        <v>25</v>
      </c>
      <c r="C34" s="27">
        <v>1154</v>
      </c>
      <c r="D34" s="44">
        <f t="shared" si="0"/>
        <v>7.0509894470680452</v>
      </c>
      <c r="E34" s="45">
        <f t="shared" si="1"/>
        <v>1201.9394930260748</v>
      </c>
      <c r="F34" s="36">
        <f t="shared" si="2"/>
        <v>35.124875000000003</v>
      </c>
      <c r="G34" s="36">
        <f t="shared" si="3"/>
        <v>1157.4468125000001</v>
      </c>
    </row>
    <row r="35" spans="2:7" ht="18" customHeight="1" x14ac:dyDescent="0.45">
      <c r="B35" s="32">
        <v>26</v>
      </c>
      <c r="C35" s="27">
        <v>1137</v>
      </c>
      <c r="D35" s="44">
        <f t="shared" si="0"/>
        <v>7.0361484937505363</v>
      </c>
      <c r="E35" s="45">
        <f t="shared" si="1"/>
        <v>1180.0637914614535</v>
      </c>
      <c r="F35" s="36">
        <f t="shared" si="2"/>
        <v>34.607437500000003</v>
      </c>
      <c r="G35" s="36">
        <f t="shared" si="3"/>
        <v>1192.0542500000001</v>
      </c>
    </row>
    <row r="36" spans="2:7" ht="18" customHeight="1" x14ac:dyDescent="0.45">
      <c r="B36" s="32">
        <v>27</v>
      </c>
      <c r="C36" s="27">
        <v>1154</v>
      </c>
      <c r="D36" s="44">
        <f t="shared" si="0"/>
        <v>7.0509894470680452</v>
      </c>
      <c r="E36" s="45">
        <f t="shared" si="1"/>
        <v>1158.5862349962495</v>
      </c>
      <c r="F36" s="36">
        <f t="shared" si="2"/>
        <v>35.124875000000003</v>
      </c>
      <c r="G36" s="36">
        <f t="shared" si="3"/>
        <v>1227.1791250000001</v>
      </c>
    </row>
    <row r="37" spans="2:7" ht="18" customHeight="1" x14ac:dyDescent="0.45">
      <c r="B37" s="32">
        <v>28</v>
      </c>
      <c r="C37" s="27">
        <v>1086</v>
      </c>
      <c r="D37" s="44">
        <f t="shared" si="0"/>
        <v>6.9902565004938806</v>
      </c>
      <c r="E37" s="45">
        <f t="shared" si="1"/>
        <v>1137.4995772562277</v>
      </c>
      <c r="F37" s="36">
        <f t="shared" si="2"/>
        <v>33.055124999999997</v>
      </c>
      <c r="G37" s="36">
        <f t="shared" si="3"/>
        <v>1260.2342500000002</v>
      </c>
    </row>
    <row r="38" spans="2:7" ht="18" customHeight="1" x14ac:dyDescent="0.45">
      <c r="B38" s="32">
        <v>29</v>
      </c>
      <c r="C38" s="27">
        <v>1242</v>
      </c>
      <c r="D38" s="44">
        <f t="shared" si="0"/>
        <v>7.1244782624934242</v>
      </c>
      <c r="E38" s="45">
        <f t="shared" si="1"/>
        <v>1116.7967037535916</v>
      </c>
      <c r="F38" s="36">
        <f t="shared" si="2"/>
        <v>37.803375000000003</v>
      </c>
      <c r="G38" s="36">
        <f t="shared" si="3"/>
        <v>1298.0376250000002</v>
      </c>
    </row>
    <row r="39" spans="2:7" ht="18" customHeight="1" x14ac:dyDescent="0.45">
      <c r="B39" s="32">
        <v>30</v>
      </c>
      <c r="C39" s="27">
        <v>965</v>
      </c>
      <c r="D39" s="44">
        <f t="shared" si="0"/>
        <v>6.8721281013389861</v>
      </c>
      <c r="E39" s="45">
        <f t="shared" si="1"/>
        <v>1096.4706294866098</v>
      </c>
      <c r="F39" s="36">
        <f t="shared" si="2"/>
        <v>29.372187499999999</v>
      </c>
      <c r="G39" s="36">
        <f t="shared" si="3"/>
        <v>1327.4098125000003</v>
      </c>
    </row>
    <row r="40" spans="2:7" ht="18" customHeight="1" x14ac:dyDescent="0.45">
      <c r="B40" s="32">
        <v>31</v>
      </c>
      <c r="C40" s="27">
        <v>1209</v>
      </c>
      <c r="D40" s="44">
        <f t="shared" si="0"/>
        <v>7.0975488506147926</v>
      </c>
      <c r="E40" s="45">
        <f t="shared" si="1"/>
        <v>1076.5144965829202</v>
      </c>
      <c r="F40" s="36">
        <f t="shared" si="2"/>
        <v>36.798937500000001</v>
      </c>
      <c r="G40" s="36">
        <f t="shared" si="3"/>
        <v>1364.2087500000002</v>
      </c>
    </row>
    <row r="41" spans="2:7" ht="18" customHeight="1" x14ac:dyDescent="0.45">
      <c r="B41" s="32">
        <v>32</v>
      </c>
      <c r="C41" s="27">
        <v>1030</v>
      </c>
      <c r="D41" s="44">
        <f t="shared" si="0"/>
        <v>6.9373140812236818</v>
      </c>
      <c r="E41" s="45">
        <f t="shared" si="1"/>
        <v>1056.921571985737</v>
      </c>
      <c r="F41" s="36">
        <f t="shared" si="2"/>
        <v>31.350625000000001</v>
      </c>
      <c r="G41" s="36">
        <f t="shared" si="3"/>
        <v>1395.5593750000003</v>
      </c>
    </row>
    <row r="42" spans="2:7" ht="18" customHeight="1" x14ac:dyDescent="0.45">
      <c r="B42" s="32">
        <v>33</v>
      </c>
      <c r="C42" s="27">
        <v>1021</v>
      </c>
      <c r="D42" s="44">
        <f t="shared" si="0"/>
        <v>6.9285378181646653</v>
      </c>
      <c r="E42" s="45">
        <f t="shared" si="1"/>
        <v>1037.685245182164</v>
      </c>
      <c r="F42" s="36">
        <f t="shared" si="2"/>
        <v>31.076687499999998</v>
      </c>
      <c r="G42" s="36">
        <f t="shared" si="3"/>
        <v>1426.6360625000002</v>
      </c>
    </row>
    <row r="43" spans="2:7" ht="18" customHeight="1" x14ac:dyDescent="0.45">
      <c r="B43" s="32">
        <v>34</v>
      </c>
      <c r="C43" s="27">
        <v>927</v>
      </c>
      <c r="D43" s="44">
        <f t="shared" si="0"/>
        <v>6.831953565565855</v>
      </c>
      <c r="E43" s="45">
        <f t="shared" si="1"/>
        <v>1018.7990259728542</v>
      </c>
      <c r="F43" s="36">
        <f t="shared" si="2"/>
        <v>28.215562500000001</v>
      </c>
      <c r="G43" s="36">
        <f t="shared" si="3"/>
        <v>1454.8516250000002</v>
      </c>
    </row>
    <row r="44" spans="2:7" ht="18" customHeight="1" x14ac:dyDescent="0.45">
      <c r="B44" s="32">
        <v>35</v>
      </c>
      <c r="C44" s="27">
        <v>1030</v>
      </c>
      <c r="D44" s="44">
        <f t="shared" si="0"/>
        <v>6.9373140812236818</v>
      </c>
      <c r="E44" s="45">
        <f t="shared" si="1"/>
        <v>1000.2565422822668</v>
      </c>
      <c r="F44" s="36">
        <f t="shared" si="2"/>
        <v>31.350625000000001</v>
      </c>
      <c r="G44" s="36">
        <f t="shared" si="3"/>
        <v>1486.2022500000003</v>
      </c>
    </row>
    <row r="45" spans="2:7" ht="18" customHeight="1" x14ac:dyDescent="0.45">
      <c r="B45" s="32">
        <v>36</v>
      </c>
      <c r="C45" s="27">
        <v>1003</v>
      </c>
      <c r="D45" s="44">
        <f t="shared" si="0"/>
        <v>6.9107507879619359</v>
      </c>
      <c r="E45" s="45">
        <f t="shared" si="1"/>
        <v>982.05153800876769</v>
      </c>
      <c r="F45" s="36">
        <f t="shared" si="2"/>
        <v>30.528812500000001</v>
      </c>
      <c r="G45" s="36">
        <f t="shared" si="3"/>
        <v>1516.7310625000002</v>
      </c>
    </row>
  </sheetData>
  <dataValidations count="1">
    <dataValidation type="decimal" operator="greaterThan" showErrorMessage="1" errorTitle="Ставка" error="Введите положительный среднемесячный дебит (барр./сут)." sqref="C10:C45" xr:uid="{00000000-0002-0000-0200-000000000000}">
      <formula1>0</formula1>
    </dataValidation>
  </dataValidations>
  <hyperlinks>
    <hyperlink ref="B4" location="'Исходные данные'!A1" display="◂  Исходные данные" xr:uid="{00000000-0004-0000-0200-000000000000}"/>
    <hyperlink ref="O4" location="'Прогноз'!A1" display="Далее:  Прогноз  ▸" xr:uid="{00000000-0004-0000-0200-000001000000}"/>
  </hyperlinks>
  <printOptions horizontalCentered="1"/>
  <pageMargins left="0.4" right="0.4" top="0.5" bottom="0.6" header="0.25" footer="0.25"/>
  <pageSetup paperSize="9" scale="57" orientation="landscape" r:id="rId1"/>
  <headerFooter>
    <oddFooter>&amp;L&amp;K3F5876&amp;8&amp;F · &amp;A&amp;R&amp;K3F5876&amp;8Page &amp;P of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8AA0BA"/>
    <pageSetUpPr fitToPage="1"/>
  </sheetPr>
  <dimension ref="A1:Q45"/>
  <sheetViews>
    <sheetView showGridLines="0" workbookViewId="0">
      <pane xSplit="5" ySplit="7" topLeftCell="F8" activePane="bottomRight" state="frozen"/>
      <selection pane="topRight"/>
      <selection pane="bottomLeft"/>
      <selection pane="bottomRight"/>
    </sheetView>
  </sheetViews>
  <sheetFormatPr defaultRowHeight="14.25" x14ac:dyDescent="0.45"/>
  <cols>
    <col min="1" max="1" width="2" customWidth="1"/>
    <col min="2" max="2" width="46" customWidth="1"/>
    <col min="3" max="4" width="11" customWidth="1"/>
    <col min="5" max="5" width="9" customWidth="1"/>
    <col min="6" max="17" width="9.46484375" customWidth="1"/>
  </cols>
  <sheetData>
    <row r="1" spans="1:17" ht="6" customHeight="1" x14ac:dyDescent="0.45"/>
    <row r="2" spans="1:17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3" t="s">
        <v>1</v>
      </c>
    </row>
    <row r="3" spans="1:17" ht="20" customHeight="1" x14ac:dyDescent="0.45">
      <c r="A3" s="1"/>
      <c r="B3" s="4" t="s">
        <v>199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20" customHeight="1" x14ac:dyDescent="0.45">
      <c r="A4" s="5"/>
      <c r="B4" s="22" t="s">
        <v>200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6" t="s">
        <v>201</v>
      </c>
    </row>
    <row r="5" spans="1:17" ht="8" customHeight="1" x14ac:dyDescent="0.45"/>
    <row r="6" spans="1:17" ht="16.05" customHeight="1" x14ac:dyDescent="0.45">
      <c r="B6" s="52" t="s">
        <v>202</v>
      </c>
      <c r="C6" s="53"/>
      <c r="D6" s="54" t="s">
        <v>203</v>
      </c>
      <c r="E6" s="55" t="s">
        <v>204</v>
      </c>
      <c r="F6" s="56">
        <v>1</v>
      </c>
      <c r="G6" s="56">
        <f t="shared" ref="G6:Q6" si="0">F6+1</f>
        <v>2</v>
      </c>
      <c r="H6" s="56">
        <f t="shared" si="0"/>
        <v>3</v>
      </c>
      <c r="I6" s="56">
        <f t="shared" si="0"/>
        <v>4</v>
      </c>
      <c r="J6" s="56">
        <f t="shared" si="0"/>
        <v>5</v>
      </c>
      <c r="K6" s="56">
        <f t="shared" si="0"/>
        <v>6</v>
      </c>
      <c r="L6" s="56">
        <f t="shared" si="0"/>
        <v>7</v>
      </c>
      <c r="M6" s="56">
        <f t="shared" si="0"/>
        <v>8</v>
      </c>
      <c r="N6" s="56">
        <f t="shared" si="0"/>
        <v>9</v>
      </c>
      <c r="O6" s="56">
        <f t="shared" si="0"/>
        <v>10</v>
      </c>
      <c r="P6" s="56">
        <f t="shared" si="0"/>
        <v>11</v>
      </c>
      <c r="Q6" s="56">
        <f t="shared" si="0"/>
        <v>12</v>
      </c>
    </row>
    <row r="7" spans="1:17" ht="16.05" customHeight="1" x14ac:dyDescent="0.45">
      <c r="B7" s="40" t="s">
        <v>205</v>
      </c>
      <c r="C7" s="5"/>
      <c r="D7" s="5"/>
      <c r="E7" s="5"/>
      <c r="F7" s="57">
        <f t="shared" ref="F7:Q7" si="1">FirstForecastYear-1+F$6</f>
        <v>2027</v>
      </c>
      <c r="G7" s="57">
        <f t="shared" si="1"/>
        <v>2028</v>
      </c>
      <c r="H7" s="57">
        <f t="shared" si="1"/>
        <v>2029</v>
      </c>
      <c r="I7" s="57">
        <f t="shared" si="1"/>
        <v>2030</v>
      </c>
      <c r="J7" s="57">
        <f t="shared" si="1"/>
        <v>2031</v>
      </c>
      <c r="K7" s="57">
        <f t="shared" si="1"/>
        <v>2032</v>
      </c>
      <c r="L7" s="57">
        <f t="shared" si="1"/>
        <v>2033</v>
      </c>
      <c r="M7" s="57">
        <f t="shared" si="1"/>
        <v>2034</v>
      </c>
      <c r="N7" s="57">
        <f t="shared" si="1"/>
        <v>2035</v>
      </c>
      <c r="O7" s="57">
        <f t="shared" si="1"/>
        <v>2036</v>
      </c>
      <c r="P7" s="57">
        <f t="shared" si="1"/>
        <v>2037</v>
      </c>
      <c r="Q7" s="57">
        <f t="shared" si="1"/>
        <v>2038</v>
      </c>
    </row>
    <row r="8" spans="1:17" ht="6" customHeight="1" x14ac:dyDescent="0.45"/>
    <row r="9" spans="1:17" ht="22.05" customHeight="1" x14ac:dyDescent="0.5">
      <c r="B9" s="7" t="s">
        <v>206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</row>
    <row r="10" spans="1:17" ht="18" customHeight="1" x14ac:dyDescent="0.45">
      <c r="B10" s="13" t="s">
        <v>207</v>
      </c>
    </row>
    <row r="11" spans="1:17" ht="18" customHeight="1" x14ac:dyDescent="0.45">
      <c r="B11" s="40" t="s">
        <v>154</v>
      </c>
      <c r="C11" s="40" t="s">
        <v>106</v>
      </c>
      <c r="D11" s="41" t="s">
        <v>155</v>
      </c>
      <c r="E11" s="5"/>
      <c r="F11" s="40" t="s">
        <v>156</v>
      </c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</row>
    <row r="12" spans="1:17" x14ac:dyDescent="0.45">
      <c r="B12" s="25" t="s">
        <v>208</v>
      </c>
      <c r="C12" s="26" t="s">
        <v>162</v>
      </c>
      <c r="D12" s="46">
        <f ca="1">IF(UseFitUncertainty=1,MN_Int,Fit_Intercept)</f>
        <v>7.5406495042589654</v>
      </c>
      <c r="E12" s="28"/>
      <c r="F12" s="26" t="s">
        <v>209</v>
      </c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</row>
    <row r="13" spans="1:17" x14ac:dyDescent="0.45">
      <c r="B13" s="25" t="s">
        <v>210</v>
      </c>
      <c r="C13" s="26" t="s">
        <v>159</v>
      </c>
      <c r="D13" s="43">
        <f ca="1">IF(UseFitUncertainty=1,MN_Slope,Fit_Slope)</f>
        <v>-1.7608806827529796E-2</v>
      </c>
      <c r="E13" s="28"/>
      <c r="F13" s="26" t="s">
        <v>211</v>
      </c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</row>
    <row r="14" spans="1:17" x14ac:dyDescent="0.45">
      <c r="B14" s="25" t="s">
        <v>212</v>
      </c>
      <c r="C14" s="26" t="s">
        <v>159</v>
      </c>
      <c r="D14" s="58" cm="1">
        <f t="array" aca="1" ref="D14" ca="1">_xll.VoseInput("Темп падения","в месяц")-Line_Slope</f>
        <v>1.7608806827529796E-2</v>
      </c>
      <c r="E14" s="28"/>
      <c r="F14" s="26" t="s">
        <v>213</v>
      </c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</row>
    <row r="15" spans="1:17" x14ac:dyDescent="0.45">
      <c r="B15" s="25" t="s">
        <v>214</v>
      </c>
      <c r="C15" s="26" t="s">
        <v>110</v>
      </c>
      <c r="D15" s="59" cm="1">
        <f t="array" aca="1" ref="D15" ca="1">_xll.VoseInput("Начальный дебит","барр./сут")+EXP(Line_Int+Line_Slope*Hist_LastMonth)</f>
        <v>998.97770238836426</v>
      </c>
      <c r="E15" s="28"/>
      <c r="F15" s="26" t="s">
        <v>215</v>
      </c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</row>
    <row r="16" spans="1:17" x14ac:dyDescent="0.45">
      <c r="B16" s="25" t="s">
        <v>216</v>
      </c>
      <c r="C16" s="26" t="s">
        <v>217</v>
      </c>
      <c r="D16" s="60" cm="1">
        <f t="array" aca="1" ref="D16" ca="1">_xll.VoseInput("Прорыв воды","1 = да")+_xll.VoseBernoulli(Prob_WBT)</f>
        <v>0</v>
      </c>
      <c r="E16" s="28"/>
      <c r="F16" s="26" t="s">
        <v>218</v>
      </c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</row>
    <row r="17" spans="2:17" x14ac:dyDescent="0.45">
      <c r="B17" s="25" t="s">
        <v>219</v>
      </c>
      <c r="C17" s="26" t="s">
        <v>114</v>
      </c>
      <c r="D17" s="32">
        <f ca="1">IF(WBT_Occurs=1,INT(WBT_Time)+1,ForecastYears+1)</f>
        <v>13</v>
      </c>
      <c r="E17" s="28"/>
      <c r="F17" s="26" t="s">
        <v>220</v>
      </c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</row>
    <row r="18" spans="2:17" ht="8" customHeight="1" x14ac:dyDescent="0.45"/>
    <row r="19" spans="2:17" ht="22.05" customHeight="1" x14ac:dyDescent="0.5">
      <c r="B19" s="7" t="s">
        <v>221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</row>
    <row r="20" spans="2:17" ht="18" customHeight="1" x14ac:dyDescent="0.45">
      <c r="B20" s="13" t="s">
        <v>222</v>
      </c>
    </row>
    <row r="21" spans="2:17" x14ac:dyDescent="0.45">
      <c r="B21" s="25" t="s">
        <v>223</v>
      </c>
      <c r="C21" s="26" t="s">
        <v>159</v>
      </c>
      <c r="D21" s="28"/>
      <c r="E21" s="28"/>
      <c r="F21" s="47">
        <f t="shared" ref="F21:Q21" ca="1" si="2">Decline*IF(F$6&gt;=WBT_From,WBT_Factor,1)</f>
        <v>1.7608806827529796E-2</v>
      </c>
      <c r="G21" s="47">
        <f t="shared" ca="1" si="2"/>
        <v>1.7608806827529796E-2</v>
      </c>
      <c r="H21" s="47">
        <f t="shared" ca="1" si="2"/>
        <v>1.7608806827529796E-2</v>
      </c>
      <c r="I21" s="47">
        <f t="shared" ca="1" si="2"/>
        <v>1.7608806827529796E-2</v>
      </c>
      <c r="J21" s="47">
        <f t="shared" ca="1" si="2"/>
        <v>1.7608806827529796E-2</v>
      </c>
      <c r="K21" s="47">
        <f t="shared" ca="1" si="2"/>
        <v>1.7608806827529796E-2</v>
      </c>
      <c r="L21" s="47">
        <f t="shared" ca="1" si="2"/>
        <v>1.7608806827529796E-2</v>
      </c>
      <c r="M21" s="47">
        <f t="shared" ca="1" si="2"/>
        <v>1.7608806827529796E-2</v>
      </c>
      <c r="N21" s="47">
        <f t="shared" ca="1" si="2"/>
        <v>1.7608806827529796E-2</v>
      </c>
      <c r="O21" s="47">
        <f t="shared" ca="1" si="2"/>
        <v>1.7608806827529796E-2</v>
      </c>
      <c r="P21" s="47">
        <f t="shared" ca="1" si="2"/>
        <v>1.7608806827529796E-2</v>
      </c>
      <c r="Q21" s="47">
        <f t="shared" ca="1" si="2"/>
        <v>1.7608806827529796E-2</v>
      </c>
    </row>
    <row r="22" spans="2:17" x14ac:dyDescent="0.45">
      <c r="B22" s="25" t="s">
        <v>224</v>
      </c>
      <c r="C22" s="26" t="s">
        <v>110</v>
      </c>
      <c r="D22" s="28"/>
      <c r="E22" s="28"/>
      <c r="F22" s="45">
        <f t="shared" ref="F22:Q22" ca="1" si="3">E24</f>
        <v>998.97770238836426</v>
      </c>
      <c r="G22" s="45">
        <f t="shared" ca="1" si="3"/>
        <v>808.69899433022351</v>
      </c>
      <c r="H22" s="45">
        <f t="shared" ca="1" si="3"/>
        <v>654.66332418345314</v>
      </c>
      <c r="I22" s="45">
        <f t="shared" ca="1" si="3"/>
        <v>529.96735625458359</v>
      </c>
      <c r="J22" s="45">
        <f t="shared" ca="1" si="3"/>
        <v>429.02265686838319</v>
      </c>
      <c r="K22" s="45">
        <f t="shared" ca="1" si="3"/>
        <v>347.30524047218535</v>
      </c>
      <c r="L22" s="45">
        <f t="shared" ca="1" si="3"/>
        <v>281.15282055242812</v>
      </c>
      <c r="M22" s="45">
        <f t="shared" ca="1" si="3"/>
        <v>227.60067886426404</v>
      </c>
      <c r="N22" s="45">
        <f t="shared" ca="1" si="3"/>
        <v>184.24879721174281</v>
      </c>
      <c r="O22" s="45">
        <f t="shared" ca="1" si="3"/>
        <v>0</v>
      </c>
      <c r="P22" s="45">
        <f t="shared" ca="1" si="3"/>
        <v>0</v>
      </c>
      <c r="Q22" s="45">
        <f t="shared" ca="1" si="3"/>
        <v>0</v>
      </c>
    </row>
    <row r="23" spans="2:17" x14ac:dyDescent="0.45">
      <c r="B23" s="25" t="s">
        <v>225</v>
      </c>
      <c r="C23" s="26" t="s">
        <v>110</v>
      </c>
      <c r="D23" s="28"/>
      <c r="E23" s="28"/>
      <c r="F23" s="45">
        <f t="shared" ref="F23:Q23" ca="1" si="4">IF(F22&gt;0,F22*EXP(-12*F21),0)</f>
        <v>808.69899433022351</v>
      </c>
      <c r="G23" s="45">
        <f t="shared" ca="1" si="4"/>
        <v>654.66332418345314</v>
      </c>
      <c r="H23" s="45">
        <f t="shared" ca="1" si="4"/>
        <v>529.96735625458359</v>
      </c>
      <c r="I23" s="45">
        <f t="shared" ca="1" si="4"/>
        <v>429.02265686838319</v>
      </c>
      <c r="J23" s="45">
        <f t="shared" ca="1" si="4"/>
        <v>347.30524047218535</v>
      </c>
      <c r="K23" s="45">
        <f t="shared" ca="1" si="4"/>
        <v>281.15282055242812</v>
      </c>
      <c r="L23" s="45">
        <f t="shared" ca="1" si="4"/>
        <v>227.60067886426404</v>
      </c>
      <c r="M23" s="45">
        <f t="shared" ca="1" si="4"/>
        <v>184.24879721174281</v>
      </c>
      <c r="N23" s="45">
        <f t="shared" ca="1" si="4"/>
        <v>149.15429709337346</v>
      </c>
      <c r="O23" s="45">
        <f t="shared" ca="1" si="4"/>
        <v>0</v>
      </c>
      <c r="P23" s="45">
        <f t="shared" ca="1" si="4"/>
        <v>0</v>
      </c>
      <c r="Q23" s="45">
        <f t="shared" ca="1" si="4"/>
        <v>0</v>
      </c>
    </row>
    <row r="24" spans="2:17" x14ac:dyDescent="0.45">
      <c r="B24" s="25" t="s">
        <v>226</v>
      </c>
      <c r="C24" s="26" t="s">
        <v>110</v>
      </c>
      <c r="D24" s="28"/>
      <c r="E24" s="61">
        <f ca="1">StartRate</f>
        <v>998.97770238836426</v>
      </c>
      <c r="F24" s="45">
        <f t="shared" ref="F24:Q24" ca="1" si="5">IF(F23&gt;=EconLimit,F23,0)</f>
        <v>808.69899433022351</v>
      </c>
      <c r="G24" s="45">
        <f t="shared" ca="1" si="5"/>
        <v>654.66332418345314</v>
      </c>
      <c r="H24" s="45">
        <f t="shared" ca="1" si="5"/>
        <v>529.96735625458359</v>
      </c>
      <c r="I24" s="45">
        <f t="shared" ca="1" si="5"/>
        <v>429.02265686838319</v>
      </c>
      <c r="J24" s="45">
        <f t="shared" ca="1" si="5"/>
        <v>347.30524047218535</v>
      </c>
      <c r="K24" s="45">
        <f t="shared" ca="1" si="5"/>
        <v>281.15282055242812</v>
      </c>
      <c r="L24" s="45">
        <f t="shared" ca="1" si="5"/>
        <v>227.60067886426404</v>
      </c>
      <c r="M24" s="45">
        <f t="shared" ca="1" si="5"/>
        <v>184.24879721174281</v>
      </c>
      <c r="N24" s="45">
        <f t="shared" ca="1" si="5"/>
        <v>0</v>
      </c>
      <c r="O24" s="45">
        <f t="shared" ca="1" si="5"/>
        <v>0</v>
      </c>
      <c r="P24" s="45">
        <f t="shared" ca="1" si="5"/>
        <v>0</v>
      </c>
      <c r="Q24" s="45">
        <f t="shared" ca="1" si="5"/>
        <v>0</v>
      </c>
    </row>
    <row r="25" spans="2:17" x14ac:dyDescent="0.45">
      <c r="B25" s="25" t="s">
        <v>227</v>
      </c>
      <c r="C25" s="26" t="s">
        <v>121</v>
      </c>
      <c r="D25" s="62">
        <f ca="1">SUM(F25:Q25)</f>
        <v>8.9732426835382313</v>
      </c>
      <c r="E25" s="28"/>
      <c r="F25" s="31">
        <f t="shared" ref="F25:Q25" ca="1" si="6">IF(F22&lt;=EconLimit,0,IF(F23&gt;=EconLimit,1,LN(F22/EconLimit)/(12*F21)))</f>
        <v>1</v>
      </c>
      <c r="G25" s="31">
        <f t="shared" ca="1" si="6"/>
        <v>1</v>
      </c>
      <c r="H25" s="31">
        <f t="shared" ca="1" si="6"/>
        <v>1</v>
      </c>
      <c r="I25" s="31">
        <f t="shared" ca="1" si="6"/>
        <v>1</v>
      </c>
      <c r="J25" s="31">
        <f t="shared" ca="1" si="6"/>
        <v>1</v>
      </c>
      <c r="K25" s="31">
        <f t="shared" ca="1" si="6"/>
        <v>1</v>
      </c>
      <c r="L25" s="31">
        <f t="shared" ca="1" si="6"/>
        <v>1</v>
      </c>
      <c r="M25" s="31">
        <f t="shared" ca="1" si="6"/>
        <v>1</v>
      </c>
      <c r="N25" s="31">
        <f t="shared" ca="1" si="6"/>
        <v>0.97324268353823085</v>
      </c>
      <c r="O25" s="31">
        <f t="shared" ca="1" si="6"/>
        <v>0</v>
      </c>
      <c r="P25" s="31">
        <f t="shared" ca="1" si="6"/>
        <v>0</v>
      </c>
      <c r="Q25" s="31">
        <f t="shared" ca="1" si="6"/>
        <v>0</v>
      </c>
    </row>
    <row r="26" spans="2:17" x14ac:dyDescent="0.45">
      <c r="B26" s="25" t="s">
        <v>228</v>
      </c>
      <c r="C26" s="26" t="s">
        <v>157</v>
      </c>
      <c r="D26" s="63">
        <f ca="1">SUM(F26:Q26)</f>
        <v>1467.4906181630729</v>
      </c>
      <c r="E26" s="28"/>
      <c r="F26" s="64" cm="1">
        <f t="array" aca="1" ref="F26" ca="1">_xll.VoseOutput("Добыча, год 1","тыс. барр.")+IF(F22&lt;=EconLimit,0,DaysPerMonth*(F22-MAX(EconLimit,F23))/F21/1000)</f>
        <v>328.90406676873744</v>
      </c>
      <c r="G26" s="64" cm="1">
        <f t="array" aca="1" ref="G26" ca="1">_xll.VoseOutput("Добыча, год 2","тыс. барр.")+IF(G22&lt;=EconLimit,0,DaysPerMonth*(G22-MAX(EconLimit,G23))/G21/1000)</f>
        <v>266.25658149434258</v>
      </c>
      <c r="H26" s="64" cm="1">
        <f t="array" aca="1" ref="H26" ca="1">_xll.VoseOutput("Добыча, год 3","тыс. барр.")+IF(H22&lt;=EconLimit,0,DaysPerMonth*(H22-MAX(EconLimit,H23))/H21/1000)</f>
        <v>215.54177753265742</v>
      </c>
      <c r="I26" s="64" cm="1">
        <f t="array" aca="1" ref="I26" ca="1">_xll.VoseOutput("Добыча, год 4","тыс. барр.")+IF(I22&lt;=EconLimit,0,DaysPerMonth*(I22-MAX(EconLimit,I23))/I21/1000)</f>
        <v>174.48679616178697</v>
      </c>
      <c r="J26" s="64" cm="1">
        <f t="array" aca="1" ref="J26" ca="1">_xll.VoseOutput("Добыча, год 5","тыс. барр.")+IF(J22&lt;=EconLimit,0,DaysPerMonth*(J22-MAX(EconLimit,J23))/J21/1000)</f>
        <v>141.25169785329473</v>
      </c>
      <c r="K26" s="64" cm="1">
        <f t="array" aca="1" ref="K26" ca="1">_xll.VoseOutput("Добыча, год 6","тыс. барр.")+IF(K22&lt;=EconLimit,0,DaysPerMonth*(K22-MAX(EconLimit,K23))/K21/1000)</f>
        <v>114.3470026691224</v>
      </c>
      <c r="L26" s="64" cm="1">
        <f t="array" aca="1" ref="L26" ca="1">_xll.VoseOutput("Добыча, год 7","тыс. барр.")+IF(L22&lt;=EconLimit,0,DaysPerMonth*(L22-MAX(EconLimit,L23))/L21/1000)</f>
        <v>92.566937021828508</v>
      </c>
      <c r="M26" s="64" cm="1">
        <f t="array" aca="1" ref="M26" ca="1">_xll.VoseOutput("Добыча, год 8","тыс. барр.")+IF(M22&lt;=EconLimit,0,DaysPerMonth*(M22-MAX(EconLimit,M23))/M21/1000)</f>
        <v>74.93539515327403</v>
      </c>
      <c r="N26" s="64" cm="1">
        <f t="array" aca="1" ref="N26" ca="1">_xll.VoseOutput("Добыча, год 9","тыс. барр.")+IF(N22&lt;=EconLimit,0,DaysPerMonth*(N22-MAX(EconLimit,N23))/N21/1000)</f>
        <v>59.200363508028722</v>
      </c>
      <c r="O26" s="64" cm="1">
        <f t="array" aca="1" ref="O26" ca="1">_xll.VoseOutput("Добыча, год 10","тыс. барр.")+IF(O22&lt;=EconLimit,0,DaysPerMonth*(O22-MAX(EconLimit,O23))/O21/1000)</f>
        <v>0</v>
      </c>
      <c r="P26" s="64" cm="1">
        <f t="array" aca="1" ref="P26" ca="1">_xll.VoseOutput("Добыча, год 11","тыс. барр.")+IF(P22&lt;=EconLimit,0,DaysPerMonth*(P22-MAX(EconLimit,P23))/P21/1000)</f>
        <v>0</v>
      </c>
      <c r="Q26" s="64" cm="1">
        <f t="array" aca="1" ref="Q26" ca="1">_xll.VoseOutput("Добыча, год 12","тыс. барр.")+IF(Q22&lt;=EconLimit,0,DaysPerMonth*(Q22-MAX(EconLimit,Q23))/Q21/1000)</f>
        <v>0</v>
      </c>
    </row>
    <row r="27" spans="2:17" x14ac:dyDescent="0.45">
      <c r="B27" s="25" t="s">
        <v>229</v>
      </c>
      <c r="C27" s="26" t="s">
        <v>110</v>
      </c>
      <c r="D27" s="28"/>
      <c r="E27" s="28"/>
      <c r="F27" s="45">
        <f t="shared" ref="F27:Q27" ca="1" si="7">F26*1000/(12*DaysPerMonth)</f>
        <v>900.490258093737</v>
      </c>
      <c r="G27" s="45">
        <f t="shared" ca="1" si="7"/>
        <v>728.97079122338835</v>
      </c>
      <c r="H27" s="45">
        <f t="shared" ca="1" si="7"/>
        <v>590.12122527763847</v>
      </c>
      <c r="I27" s="45">
        <f t="shared" ca="1" si="7"/>
        <v>477.71881221570698</v>
      </c>
      <c r="J27" s="45">
        <f t="shared" ca="1" si="7"/>
        <v>386.72607215138873</v>
      </c>
      <c r="K27" s="45">
        <f t="shared" ca="1" si="7"/>
        <v>313.06503126385326</v>
      </c>
      <c r="L27" s="45">
        <f t="shared" ca="1" si="7"/>
        <v>253.43446138762081</v>
      </c>
      <c r="M27" s="45">
        <f t="shared" ca="1" si="7"/>
        <v>205.16193060444635</v>
      </c>
      <c r="N27" s="45">
        <f t="shared" ca="1" si="7"/>
        <v>162.08176182896295</v>
      </c>
      <c r="O27" s="45">
        <f t="shared" ca="1" si="7"/>
        <v>0</v>
      </c>
      <c r="P27" s="45">
        <f t="shared" ca="1" si="7"/>
        <v>0</v>
      </c>
      <c r="Q27" s="45">
        <f t="shared" ca="1" si="7"/>
        <v>0</v>
      </c>
    </row>
    <row r="28" spans="2:17" x14ac:dyDescent="0.45">
      <c r="B28" s="25" t="s">
        <v>230</v>
      </c>
      <c r="C28" s="26" t="s">
        <v>157</v>
      </c>
      <c r="D28" s="28"/>
      <c r="E28" s="61">
        <f>Hist_Cum</f>
        <v>1516.7310625000002</v>
      </c>
      <c r="F28" s="45">
        <f t="shared" ref="F28:Q28" ca="1" si="8">E28+F26</f>
        <v>1845.6351292687377</v>
      </c>
      <c r="G28" s="45">
        <f t="shared" ca="1" si="8"/>
        <v>2111.8917107630805</v>
      </c>
      <c r="H28" s="45">
        <f t="shared" ca="1" si="8"/>
        <v>2327.4334882957378</v>
      </c>
      <c r="I28" s="45">
        <f t="shared" ca="1" si="8"/>
        <v>2501.9202844575248</v>
      </c>
      <c r="J28" s="45">
        <f t="shared" ca="1" si="8"/>
        <v>2643.1719823108197</v>
      </c>
      <c r="K28" s="45">
        <f t="shared" ca="1" si="8"/>
        <v>2757.5189849799422</v>
      </c>
      <c r="L28" s="45">
        <f t="shared" ca="1" si="8"/>
        <v>2850.0859220017705</v>
      </c>
      <c r="M28" s="45">
        <f t="shared" ca="1" si="8"/>
        <v>2925.0213171550445</v>
      </c>
      <c r="N28" s="45">
        <f t="shared" ca="1" si="8"/>
        <v>2984.2216806630731</v>
      </c>
      <c r="O28" s="45">
        <f t="shared" ca="1" si="8"/>
        <v>2984.2216806630731</v>
      </c>
      <c r="P28" s="45">
        <f t="shared" ca="1" si="8"/>
        <v>2984.2216806630731</v>
      </c>
      <c r="Q28" s="45">
        <f t="shared" ca="1" si="8"/>
        <v>2984.2216806630731</v>
      </c>
    </row>
    <row r="29" spans="2:17" ht="8" customHeight="1" x14ac:dyDescent="0.45"/>
    <row r="30" spans="2:17" ht="22.05" customHeight="1" x14ac:dyDescent="0.5">
      <c r="B30" s="7" t="s">
        <v>231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</row>
    <row r="31" spans="2:17" ht="18" customHeight="1" x14ac:dyDescent="0.45">
      <c r="B31" s="13" t="s">
        <v>232</v>
      </c>
    </row>
    <row r="32" spans="2:17" ht="18" customHeight="1" x14ac:dyDescent="0.45">
      <c r="B32" s="40" t="s">
        <v>233</v>
      </c>
      <c r="C32" s="40" t="s">
        <v>106</v>
      </c>
      <c r="D32" s="41" t="s">
        <v>155</v>
      </c>
      <c r="E32" s="5"/>
      <c r="F32" s="40" t="s">
        <v>234</v>
      </c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</row>
    <row r="33" spans="2:17" x14ac:dyDescent="0.45">
      <c r="B33" s="25" t="s">
        <v>235</v>
      </c>
      <c r="C33" s="26" t="s">
        <v>157</v>
      </c>
      <c r="D33" s="65" cm="1">
        <f t="array" aca="1" ref="D33" ca="1">_xll.VoseOutput("Остаточные извлекаемые запасы","тыс. барр.")+D26</f>
        <v>1467.4906181630729</v>
      </c>
      <c r="E33" s="28"/>
      <c r="F33" s="26" t="s">
        <v>236</v>
      </c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</row>
    <row r="34" spans="2:17" x14ac:dyDescent="0.45">
      <c r="B34" s="25" t="s">
        <v>237</v>
      </c>
      <c r="C34" s="26" t="s">
        <v>157</v>
      </c>
      <c r="D34" s="65" cm="1">
        <f t="array" aca="1" ref="D34" ca="1">_xll.VoseOutput("EUR","тыс. барр.")+Hist_Cum+D26</f>
        <v>2984.2216806630731</v>
      </c>
      <c r="E34" s="28"/>
      <c r="F34" s="26" t="s">
        <v>238</v>
      </c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</row>
    <row r="35" spans="2:17" x14ac:dyDescent="0.45">
      <c r="B35" s="25" t="s">
        <v>239</v>
      </c>
      <c r="C35" s="26" t="s">
        <v>121</v>
      </c>
      <c r="D35" s="64" cm="1">
        <f t="array" aca="1" ref="D35" ca="1">_xll.VoseOutput("Оставшийся срок работы","лет")+D25</f>
        <v>8.9732426835382313</v>
      </c>
      <c r="E35" s="28"/>
      <c r="F35" s="26" t="s">
        <v>240</v>
      </c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</row>
    <row r="36" spans="2:17" ht="8" customHeight="1" x14ac:dyDescent="0.45"/>
    <row r="37" spans="2:17" ht="22.05" customHeight="1" x14ac:dyDescent="0.5">
      <c r="B37" s="7" t="s">
        <v>241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</row>
    <row r="38" spans="2:17" ht="18" customHeight="1" x14ac:dyDescent="0.45">
      <c r="B38" s="13" t="s">
        <v>242</v>
      </c>
    </row>
    <row r="39" spans="2:17" x14ac:dyDescent="0.45">
      <c r="B39" s="25" t="s">
        <v>243</v>
      </c>
      <c r="C39" s="28"/>
      <c r="D39" s="66" t="str">
        <f>IF(Fit_Slope&lt;0,"ОК","ПРОВЕРИТЬ")</f>
        <v>ОК</v>
      </c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</row>
    <row r="40" spans="2:17" x14ac:dyDescent="0.45">
      <c r="B40" s="25" t="s">
        <v>244</v>
      </c>
      <c r="C40" s="28"/>
      <c r="D40" s="66" t="str">
        <f>IF(AND(COUNT(Hist_Rate)=36,MIN(Hist_Rate)&gt;0),"ОК","ПРОВЕРИТЬ")</f>
        <v>ОК</v>
      </c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</row>
    <row r="41" spans="2:17" x14ac:dyDescent="0.45">
      <c r="B41" s="25" t="s">
        <v>245</v>
      </c>
      <c r="C41" s="28"/>
      <c r="D41" s="66" t="str">
        <f>IF(Fit_StartRate&gt;EconLimit,"ОК","ПРОВЕРИТЬ")</f>
        <v>ОК</v>
      </c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</row>
    <row r="42" spans="2:17" x14ac:dyDescent="0.45">
      <c r="B42" s="25" t="s">
        <v>246</v>
      </c>
      <c r="C42" s="28"/>
      <c r="D42" s="66" t="str">
        <f ca="1">IF(Decline&gt;0,"ОК","ПРОВЕРИТЬ")</f>
        <v>ОК</v>
      </c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</row>
    <row r="43" spans="2:17" ht="14" customHeight="1" x14ac:dyDescent="0.45"/>
    <row r="44" spans="2:17" ht="22.05" customHeight="1" x14ac:dyDescent="0.5">
      <c r="B44" s="7" t="s">
        <v>247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</row>
    <row r="45" spans="2:17" ht="18" customHeight="1" x14ac:dyDescent="0.45">
      <c r="B45" s="13" t="s">
        <v>248</v>
      </c>
    </row>
  </sheetData>
  <conditionalFormatting sqref="D39:D42">
    <cfRule type="expression" dxfId="6" priority="1">
      <formula>D39="CHECK"</formula>
    </cfRule>
  </conditionalFormatting>
  <hyperlinks>
    <hyperlink ref="B4" location="'История'!A1" display="◂  История" xr:uid="{00000000-0004-0000-0300-000000000000}"/>
    <hyperlink ref="Q4" location="'Результаты'!A1" display="Далее:  Результаты  ▸" xr:uid="{00000000-0004-0000-0300-000001000000}"/>
  </hyperlinks>
  <printOptions horizontalCentered="1"/>
  <pageMargins left="0.4" right="0.4" top="0.5" bottom="0.6" header="0.25" footer="0.25"/>
  <pageSetup paperSize="9" scale="52" fitToHeight="0" orientation="landscape" r:id="rId1"/>
  <headerFooter>
    <oddFooter>&amp;L&amp;K3F5876&amp;8&amp;F · &amp;A&amp;R&amp;K3F5876&amp;8Page &amp;P of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15803D"/>
    <outlinePr summaryBelow="0"/>
    <pageSetUpPr fitToPage="1"/>
  </sheetPr>
  <dimension ref="A1:R135"/>
  <sheetViews>
    <sheetView showGridLines="0" workbookViewId="0">
      <pane ySplit="5" topLeftCell="A6" activePane="bottomLeft" state="frozen"/>
      <selection pane="bottomLeft"/>
    </sheetView>
  </sheetViews>
  <sheetFormatPr defaultRowHeight="14.25" outlineLevelRow="1" x14ac:dyDescent="0.45"/>
  <cols>
    <col min="1" max="1" width="2" customWidth="1"/>
    <col min="2" max="2" width="44" customWidth="1"/>
    <col min="3" max="3" width="10" customWidth="1"/>
    <col min="4" max="7" width="11" customWidth="1"/>
    <col min="8" max="8" width="3" customWidth="1"/>
    <col min="9" max="18" width="8.59765625" customWidth="1"/>
    <col min="20" max="20" width="9.06640625" customWidth="1"/>
  </cols>
  <sheetData>
    <row r="1" spans="1:18" ht="6" customHeight="1" x14ac:dyDescent="0.45"/>
    <row r="2" spans="1:18" ht="30" customHeight="1" x14ac:dyDescent="0.45">
      <c r="A2" s="1"/>
      <c r="B2" s="2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3" t="s">
        <v>1</v>
      </c>
    </row>
    <row r="3" spans="1:18" ht="20" customHeight="1" x14ac:dyDescent="0.45">
      <c r="A3" s="1"/>
      <c r="B3" s="4" t="s">
        <v>249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20" customHeight="1" x14ac:dyDescent="0.45">
      <c r="A4" s="5"/>
      <c r="B4" s="22" t="s">
        <v>250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spans="1:18" ht="8" customHeight="1" x14ac:dyDescent="0.45"/>
    <row r="6" spans="1:18" ht="26" customHeight="1" x14ac:dyDescent="0.45">
      <c r="B6" s="67" t="str" cm="1">
        <f t="array" aca="1" ref="B6" ca="1">IF(ISNUMBER(_xll.VoseSimMean(Remaining)),"✔  Показаны результаты последнего моделирования в этом сеансе Excel. После изменения исходных данных запустите моделирование снова.","▶  Результатов моделирования пока нет. Запустите моделирование на ленте МоделРиск — лист заполнится автоматически.")</f>
        <v>✔  Показаны результаты последнего моделирования в этом сеансе Excel. После изменения исходных данных запустите моделирование снова.</v>
      </c>
      <c r="C6" s="68"/>
      <c r="D6" s="68"/>
      <c r="E6" s="68"/>
      <c r="F6" s="68"/>
      <c r="G6" s="68"/>
    </row>
    <row r="7" spans="1:18" x14ac:dyDescent="0.45">
      <c r="B7" s="69" t="str">
        <f ca="1">IF(COUNTIF(Checks,"ПРОВЕРИТЬ")=0,"✔  Все проверки модели пройдены («ОК»).","✗  "&amp;COUNTIF(Checks,"ПРОВЕРИТЬ")&amp;" проверок не пройдено («ПРОВЕРИТЬ»): см. раздел «Проверки модели» в конце расчетного листа.")</f>
        <v>✔  Все проверки модели пройдены («ОК»).</v>
      </c>
    </row>
    <row r="8" spans="1:18" ht="8" customHeight="1" x14ac:dyDescent="0.45"/>
    <row r="9" spans="1:18" ht="22.05" customHeight="1" x14ac:dyDescent="0.5">
      <c r="B9" s="7" t="s">
        <v>251</v>
      </c>
      <c r="C9" s="8"/>
      <c r="D9" s="8"/>
      <c r="E9" s="8"/>
      <c r="F9" s="8"/>
      <c r="G9" s="8"/>
      <c r="I9" s="70" t="s">
        <v>252</v>
      </c>
      <c r="J9" s="8"/>
      <c r="K9" s="8"/>
      <c r="L9" s="8"/>
      <c r="M9" s="8"/>
      <c r="N9" s="8"/>
      <c r="O9" s="8"/>
      <c r="P9" s="8"/>
      <c r="Q9" s="8"/>
      <c r="R9" s="8"/>
    </row>
    <row r="10" spans="1:18" ht="18" customHeight="1" x14ac:dyDescent="0.45">
      <c r="B10" s="13" t="s">
        <v>253</v>
      </c>
    </row>
    <row r="11" spans="1:18" ht="18" customHeight="1" x14ac:dyDescent="0.45">
      <c r="B11" s="23" t="s">
        <v>254</v>
      </c>
      <c r="C11" s="23" t="s">
        <v>106</v>
      </c>
      <c r="D11" s="24" t="s">
        <v>155</v>
      </c>
      <c r="E11" s="5"/>
      <c r="F11" s="5"/>
      <c r="G11" s="5"/>
    </row>
    <row r="12" spans="1:18" ht="22.05" customHeight="1" x14ac:dyDescent="0.45">
      <c r="B12" s="71" t="s">
        <v>255</v>
      </c>
      <c r="C12" s="26" t="s">
        <v>157</v>
      </c>
      <c r="D12" s="72" cm="1">
        <f t="array" aca="1" ref="D12" ca="1">_xll.VoseSimMean(Remaining)</f>
        <v>1314.2725728531184</v>
      </c>
      <c r="E12" s="28"/>
      <c r="F12" s="28"/>
      <c r="G12" s="28"/>
    </row>
    <row r="13" spans="1:18" x14ac:dyDescent="0.45">
      <c r="B13" s="73" t="s">
        <v>256</v>
      </c>
      <c r="C13" s="26" t="s">
        <v>157</v>
      </c>
      <c r="D13" s="45">
        <f>Det_Remaining</f>
        <v>1378.7875923617494</v>
      </c>
      <c r="E13" s="28"/>
      <c r="F13" s="28"/>
      <c r="G13" s="28"/>
    </row>
    <row r="14" spans="1:18" x14ac:dyDescent="0.45">
      <c r="B14" s="25" t="s">
        <v>257</v>
      </c>
      <c r="C14" s="26" t="s">
        <v>133</v>
      </c>
      <c r="D14" s="74" cm="1">
        <f t="array" aca="1" ref="D14" ca="1">_xll.VoseSimProbability(Remaining,Det_Remaining)</f>
        <v>0.64513548645135488</v>
      </c>
      <c r="E14" s="28"/>
      <c r="F14" s="28"/>
      <c r="G14" s="28"/>
    </row>
    <row r="15" spans="1:18" x14ac:dyDescent="0.45">
      <c r="B15" s="25" t="s">
        <v>258</v>
      </c>
      <c r="C15" s="26" t="s">
        <v>133</v>
      </c>
      <c r="D15" s="74" cm="1">
        <f t="array" aca="1" ref="D15" ca="1">_xll.VoseSimMean(WBT_Occurs)</f>
        <v>0.35539999999999999</v>
      </c>
      <c r="E15" s="28"/>
      <c r="F15" s="28"/>
      <c r="G15" s="28"/>
    </row>
    <row r="16" spans="1:18" ht="8" customHeight="1" x14ac:dyDescent="0.45"/>
    <row r="17" spans="2:18" ht="22.05" customHeight="1" x14ac:dyDescent="0.5">
      <c r="B17" s="7" t="s">
        <v>259</v>
      </c>
      <c r="C17" s="8"/>
      <c r="D17" s="8"/>
      <c r="E17" s="8"/>
      <c r="F17" s="8"/>
      <c r="G17" s="8"/>
    </row>
    <row r="18" spans="2:18" ht="18" customHeight="1" x14ac:dyDescent="0.45">
      <c r="B18" s="13" t="s">
        <v>260</v>
      </c>
    </row>
    <row r="19" spans="2:18" ht="18" customHeight="1" x14ac:dyDescent="0.45">
      <c r="B19" s="23" t="s">
        <v>254</v>
      </c>
      <c r="C19" s="23" t="s">
        <v>106</v>
      </c>
      <c r="D19" s="24" t="s">
        <v>261</v>
      </c>
      <c r="E19" s="24" t="s">
        <v>262</v>
      </c>
      <c r="F19" s="24" t="s">
        <v>263</v>
      </c>
      <c r="G19" s="24" t="s">
        <v>131</v>
      </c>
    </row>
    <row r="20" spans="2:18" x14ac:dyDescent="0.45">
      <c r="B20" s="25" t="s">
        <v>235</v>
      </c>
      <c r="C20" s="26" t="s">
        <v>157</v>
      </c>
      <c r="D20" s="75" cm="1">
        <f t="array" aca="1" ref="D20" ca="1">_xll.VoseSimPercentile(Remaining,0.1)</f>
        <v>1078.4806009248157</v>
      </c>
      <c r="E20" s="75" cm="1">
        <f t="array" aca="1" ref="E20" ca="1">_xll.VoseSimPercentile(Remaining,0.5)</f>
        <v>1314.4310463773681</v>
      </c>
      <c r="F20" s="75" cm="1">
        <f t="array" aca="1" ref="F20" ca="1">_xll.VoseSimPercentile(Remaining,0.9)</f>
        <v>1545.8156892636212</v>
      </c>
      <c r="G20" s="75" cm="1">
        <f t="array" aca="1" ref="G20" ca="1">_xll.VoseSimMean(Remaining)</f>
        <v>1314.2725728531184</v>
      </c>
    </row>
    <row r="21" spans="2:18" x14ac:dyDescent="0.45">
      <c r="B21" s="25" t="s">
        <v>237</v>
      </c>
      <c r="C21" s="26" t="s">
        <v>157</v>
      </c>
      <c r="D21" s="75" cm="1">
        <f t="array" aca="1" ref="D21" ca="1">_xll.VoseSimPercentile(UltimateRecovery,0.1)</f>
        <v>2595.2116634248159</v>
      </c>
      <c r="E21" s="75" cm="1">
        <f t="array" aca="1" ref="E21" ca="1">_xll.VoseSimPercentile(UltimateRecovery,0.5)</f>
        <v>2831.1621088773682</v>
      </c>
      <c r="F21" s="75" cm="1">
        <f t="array" aca="1" ref="F21" ca="1">_xll.VoseSimPercentile(UltimateRecovery,0.9)</f>
        <v>3062.5467517636216</v>
      </c>
      <c r="G21" s="75" cm="1">
        <f t="array" aca="1" ref="G21" ca="1">_xll.VoseSimMean(UltimateRecovery)</f>
        <v>2831.0036353531141</v>
      </c>
    </row>
    <row r="22" spans="2:18" x14ac:dyDescent="0.45">
      <c r="B22" s="25" t="s">
        <v>239</v>
      </c>
      <c r="C22" s="26" t="s">
        <v>121</v>
      </c>
      <c r="D22" s="76" cm="1">
        <f t="array" aca="1" ref="D22" ca="1">_xll.VoseSimPercentile(RemainingLife,0.1)</f>
        <v>6.1714614760239579</v>
      </c>
      <c r="E22" s="76" cm="1">
        <f t="array" aca="1" ref="E22" ca="1">_xll.VoseSimPercentile(RemainingLife,0.5)</f>
        <v>8.0598414924004178</v>
      </c>
      <c r="F22" s="76" cm="1">
        <f t="array" aca="1" ref="F22" ca="1">_xll.VoseSimPercentile(RemainingLife,0.9)</f>
        <v>9.3659853913002955</v>
      </c>
      <c r="G22" s="76" cm="1">
        <f t="array" aca="1" ref="G22" ca="1">_xll.VoseSimMean(RemainingLife)</f>
        <v>7.9014988662282306</v>
      </c>
    </row>
    <row r="23" spans="2:18" x14ac:dyDescent="0.45">
      <c r="B23" s="25" t="s">
        <v>214</v>
      </c>
      <c r="C23" s="26" t="s">
        <v>110</v>
      </c>
      <c r="D23" s="75" cm="1">
        <f t="array" aca="1" ref="D23" ca="1">_xll.VoseSimPercentile(StartRate,0.1)</f>
        <v>947.77348871547269</v>
      </c>
      <c r="E23" s="75" cm="1">
        <f t="array" aca="1" ref="E23" ca="1">_xll.VoseSimPercentile(StartRate,0.5)</f>
        <v>982.65264451272446</v>
      </c>
      <c r="F23" s="75" cm="1">
        <f t="array" aca="1" ref="F23" ca="1">_xll.VoseSimPercentile(StartRate,0.9)</f>
        <v>1019.0867941074</v>
      </c>
      <c r="G23" s="75" cm="1">
        <f t="array" aca="1" ref="G23" ca="1">_xll.VoseSimMean(StartRate)</f>
        <v>983.03191635876647</v>
      </c>
    </row>
    <row r="24" spans="2:18" x14ac:dyDescent="0.45">
      <c r="B24" s="25" t="s">
        <v>264</v>
      </c>
      <c r="C24" s="26" t="s">
        <v>159</v>
      </c>
      <c r="D24" s="77" cm="1">
        <f t="array" aca="1" ref="D24" ca="1">_xll.VoseSimPercentile(Decline,0.1)</f>
        <v>1.6571370025397474E-2</v>
      </c>
      <c r="E24" s="77" cm="1">
        <f t="array" aca="1" ref="E24" ca="1">_xll.VoseSimPercentile(Decline,0.5)</f>
        <v>1.8341178286673171E-2</v>
      </c>
      <c r="F24" s="77" cm="1">
        <f t="array" aca="1" ref="F24" ca="1">_xll.VoseSimPercentile(Decline,0.9)</f>
        <v>2.0096285166561603E-2</v>
      </c>
      <c r="G24" s="77" cm="1">
        <f t="array" aca="1" ref="G24" ca="1">_xll.VoseSimMean(Decline)</f>
        <v>1.8334521311206678E-2</v>
      </c>
    </row>
    <row r="25" spans="2:18" ht="8" customHeight="1" x14ac:dyDescent="0.45"/>
    <row r="26" spans="2:18" ht="22.05" customHeight="1" x14ac:dyDescent="0.5">
      <c r="B26" s="7" t="s">
        <v>265</v>
      </c>
      <c r="C26" s="8"/>
      <c r="D26" s="8"/>
      <c r="E26" s="8"/>
      <c r="F26" s="8"/>
      <c r="G26" s="8"/>
      <c r="I26" s="70" t="s">
        <v>266</v>
      </c>
      <c r="J26" s="8"/>
      <c r="K26" s="8"/>
      <c r="L26" s="8"/>
      <c r="M26" s="8"/>
      <c r="N26" s="8"/>
      <c r="O26" s="8"/>
      <c r="P26" s="8"/>
      <c r="Q26" s="8"/>
      <c r="R26" s="8"/>
    </row>
    <row r="27" spans="2:18" ht="18" customHeight="1" x14ac:dyDescent="0.45">
      <c r="B27" s="13" t="s">
        <v>267</v>
      </c>
    </row>
    <row r="28" spans="2:18" ht="18" customHeight="1" x14ac:dyDescent="0.45">
      <c r="B28" s="23" t="s">
        <v>268</v>
      </c>
      <c r="C28" s="24" t="s">
        <v>269</v>
      </c>
      <c r="D28" s="24" t="s">
        <v>270</v>
      </c>
      <c r="E28" s="78" t="s">
        <v>271</v>
      </c>
      <c r="F28" s="5"/>
      <c r="G28" s="5"/>
    </row>
    <row r="29" spans="2:18" x14ac:dyDescent="0.45">
      <c r="B29" s="25" t="str">
        <f t="array" aca="1" ref="B29:E33" ca="1">_xll.VoseSimSensitivityMean(Remaining,10,1,FALSE)</f>
        <v>Темп падения</v>
      </c>
      <c r="C29" s="75">
        <f ca="1"/>
        <v>1103.566134205679</v>
      </c>
      <c r="D29" s="75">
        <f ca="1"/>
        <v>1566.0836631805478</v>
      </c>
      <c r="E29" s="79">
        <f ca="1"/>
        <v>1</v>
      </c>
      <c r="F29" s="28"/>
      <c r="G29" s="28"/>
    </row>
    <row r="30" spans="2:18" x14ac:dyDescent="0.45">
      <c r="B30" s="25" t="str">
        <f ca="1"/>
        <v>Начальный дебит</v>
      </c>
      <c r="C30" s="75">
        <f ca="1"/>
        <v>1111.7760774336505</v>
      </c>
      <c r="D30" s="75">
        <f ca="1"/>
        <v>1550.9740413226275</v>
      </c>
      <c r="E30" s="79">
        <f ca="1"/>
        <v>2</v>
      </c>
      <c r="F30" s="28"/>
      <c r="G30" s="28"/>
    </row>
    <row r="31" spans="2:18" x14ac:dyDescent="0.45">
      <c r="B31" s="25" t="str">
        <f ca="1"/>
        <v>Прорыв воды</v>
      </c>
      <c r="C31" s="75">
        <f ca="1"/>
        <v>1170.9724491198604</v>
      </c>
      <c r="D31" s="75">
        <f ca="1"/>
        <v>1393.2810493886445</v>
      </c>
      <c r="E31" s="79">
        <f ca="1"/>
        <v>3</v>
      </c>
      <c r="F31" s="28"/>
      <c r="G31" s="28"/>
    </row>
    <row r="32" spans="2:18" x14ac:dyDescent="0.45">
      <c r="B32" s="25" t="str">
        <f ca="1"/>
        <v>Время до прорыва</v>
      </c>
      <c r="C32" s="75">
        <f ca="1"/>
        <v>1261.6117353650593</v>
      </c>
      <c r="D32" s="75">
        <f ca="1"/>
        <v>1362.4626342596198</v>
      </c>
      <c r="E32" s="79">
        <f ca="1"/>
        <v>4</v>
      </c>
      <c r="F32" s="28"/>
      <c r="G32" s="28"/>
    </row>
    <row r="33" spans="2:18" x14ac:dyDescent="0.45">
      <c r="B33" s="25" t="str">
        <f ca="1"/>
        <v>Коэффициент падения при прорыве</v>
      </c>
      <c r="C33" s="75">
        <f ca="1"/>
        <v>1286.2375766108858</v>
      </c>
      <c r="D33" s="75">
        <f ca="1"/>
        <v>1336.5004149105196</v>
      </c>
      <c r="E33" s="79">
        <f ca="1"/>
        <v>5</v>
      </c>
      <c r="F33" s="28"/>
      <c r="G33" s="28"/>
    </row>
    <row r="40" spans="2:18" ht="22.05" customHeight="1" x14ac:dyDescent="0.5">
      <c r="B40" s="7" t="s">
        <v>272</v>
      </c>
      <c r="C40" s="8"/>
      <c r="D40" s="8"/>
      <c r="E40" s="8"/>
      <c r="F40" s="8"/>
      <c r="G40" s="8"/>
      <c r="I40" s="70" t="s">
        <v>273</v>
      </c>
      <c r="J40" s="8"/>
      <c r="K40" s="8"/>
      <c r="L40" s="8"/>
      <c r="M40" s="8"/>
      <c r="N40" s="8"/>
      <c r="O40" s="8"/>
      <c r="P40" s="8"/>
      <c r="Q40" s="8"/>
      <c r="R40" s="8"/>
    </row>
    <row r="41" spans="2:18" ht="32" customHeight="1" x14ac:dyDescent="0.45">
      <c r="B41" s="88" t="s">
        <v>274</v>
      </c>
      <c r="C41" s="87"/>
      <c r="D41" s="87"/>
      <c r="E41" s="87"/>
      <c r="F41" s="87"/>
      <c r="G41" s="87"/>
    </row>
    <row r="42" spans="2:18" ht="32" customHeight="1" x14ac:dyDescent="0.45">
      <c r="B42" s="88" t="s">
        <v>275</v>
      </c>
      <c r="C42" s="87"/>
      <c r="D42" s="87"/>
      <c r="E42" s="87"/>
      <c r="F42" s="87"/>
      <c r="G42" s="87"/>
    </row>
    <row r="43" spans="2:18" ht="32" customHeight="1" x14ac:dyDescent="0.45">
      <c r="B43" s="88" t="s">
        <v>276</v>
      </c>
      <c r="C43" s="87"/>
      <c r="D43" s="87"/>
      <c r="E43" s="87"/>
      <c r="F43" s="87"/>
      <c r="G43" s="87"/>
    </row>
    <row r="44" spans="2:18" ht="32" customHeight="1" x14ac:dyDescent="0.45">
      <c r="B44" s="88" t="s">
        <v>277</v>
      </c>
      <c r="C44" s="87"/>
      <c r="D44" s="87"/>
      <c r="E44" s="87"/>
      <c r="F44" s="87"/>
      <c r="G44" s="87"/>
    </row>
    <row r="45" spans="2:18" ht="19.05" customHeight="1" x14ac:dyDescent="0.45">
      <c r="B45" s="88" t="s">
        <v>278</v>
      </c>
      <c r="C45" s="87"/>
      <c r="D45" s="87"/>
      <c r="E45" s="87"/>
      <c r="F45" s="87"/>
      <c r="G45" s="87"/>
    </row>
    <row r="46" spans="2:18" ht="14" customHeight="1" x14ac:dyDescent="0.45"/>
    <row r="55" spans="2:7" ht="14" customHeight="1" x14ac:dyDescent="0.45"/>
    <row r="56" spans="2:7" ht="22.05" customHeight="1" x14ac:dyDescent="0.5">
      <c r="B56" s="7" t="s">
        <v>279</v>
      </c>
      <c r="C56" s="8"/>
      <c r="D56" s="8"/>
      <c r="E56" s="8"/>
      <c r="F56" s="8"/>
      <c r="G56" s="8"/>
    </row>
    <row r="57" spans="2:7" ht="18" customHeight="1" x14ac:dyDescent="0.45">
      <c r="B57" s="13" t="s">
        <v>280</v>
      </c>
    </row>
    <row r="58" spans="2:7" ht="28.05" hidden="1" customHeight="1" outlineLevel="1" x14ac:dyDescent="0.45">
      <c r="B58" s="24" t="s">
        <v>281</v>
      </c>
      <c r="C58" s="24" t="s">
        <v>282</v>
      </c>
      <c r="D58" s="24" t="s">
        <v>283</v>
      </c>
      <c r="E58" s="5"/>
      <c r="F58" s="5"/>
      <c r="G58" s="5"/>
    </row>
    <row r="59" spans="2:7" hidden="1" outlineLevel="1" x14ac:dyDescent="0.45">
      <c r="B59" s="80">
        <v>0.01</v>
      </c>
      <c r="C59" s="80">
        <f t="shared" ref="C59:C90" si="0">1-B59</f>
        <v>0.99</v>
      </c>
      <c r="D59" s="81" cm="1">
        <f t="array" aca="1" ref="D59" ca="1">IF(ISNUMBER(_xll.VoseSimPercentile(Remaining,$B59)),_xll.VoseSimPercentile(Remaining,$B59),NA())</f>
        <v>892.11376780038199</v>
      </c>
    </row>
    <row r="60" spans="2:7" hidden="1" outlineLevel="1" x14ac:dyDescent="0.45">
      <c r="B60" s="80">
        <v>0.03</v>
      </c>
      <c r="C60" s="80">
        <f t="shared" si="0"/>
        <v>0.97</v>
      </c>
      <c r="D60" s="81" cm="1">
        <f t="array" aca="1" ref="D60" ca="1">IF(ISNUMBER(_xll.VoseSimPercentile(Remaining,$B60)),_xll.VoseSimPercentile(Remaining,$B60),NA())</f>
        <v>969.00253270299424</v>
      </c>
    </row>
    <row r="61" spans="2:7" hidden="1" outlineLevel="1" x14ac:dyDescent="0.45">
      <c r="B61" s="80">
        <v>0.05</v>
      </c>
      <c r="C61" s="80">
        <f t="shared" si="0"/>
        <v>0.95</v>
      </c>
      <c r="D61" s="81" cm="1">
        <f t="array" aca="1" ref="D61" ca="1">IF(ISNUMBER(_xll.VoseSimPercentile(Remaining,$B61)),_xll.VoseSimPercentile(Remaining,$B61),NA())</f>
        <v>1009.9068812315863</v>
      </c>
    </row>
    <row r="62" spans="2:7" hidden="1" outlineLevel="1" x14ac:dyDescent="0.45">
      <c r="B62" s="80">
        <v>7.0000000000000007E-2</v>
      </c>
      <c r="C62" s="80">
        <f t="shared" si="0"/>
        <v>0.92999999999999994</v>
      </c>
      <c r="D62" s="81" cm="1">
        <f t="array" aca="1" ref="D62" ca="1">IF(ISNUMBER(_xll.VoseSimPercentile(Remaining,$B62)),_xll.VoseSimPercentile(Remaining,$B62),NA())</f>
        <v>1042.5103865850804</v>
      </c>
    </row>
    <row r="63" spans="2:7" hidden="1" outlineLevel="1" x14ac:dyDescent="0.45">
      <c r="B63" s="80">
        <v>0.09</v>
      </c>
      <c r="C63" s="80">
        <f t="shared" si="0"/>
        <v>0.91</v>
      </c>
      <c r="D63" s="81" cm="1">
        <f t="array" aca="1" ref="D63" ca="1">IF(ISNUMBER(_xll.VoseSimPercentile(Remaining,$B63)),_xll.VoseSimPercentile(Remaining,$B63),NA())</f>
        <v>1067.7004892359278</v>
      </c>
    </row>
    <row r="64" spans="2:7" hidden="1" outlineLevel="1" x14ac:dyDescent="0.45">
      <c r="B64" s="80">
        <v>0.11</v>
      </c>
      <c r="C64" s="80">
        <f t="shared" si="0"/>
        <v>0.89</v>
      </c>
      <c r="D64" s="81" cm="1">
        <f t="array" aca="1" ref="D64" ca="1">IF(ISNUMBER(_xll.VoseSimPercentile(Remaining,$B64)),_xll.VoseSimPercentile(Remaining,$B64),NA())</f>
        <v>1090.2316896464051</v>
      </c>
    </row>
    <row r="65" spans="2:4" hidden="1" outlineLevel="1" x14ac:dyDescent="0.45">
      <c r="B65" s="80">
        <v>0.13</v>
      </c>
      <c r="C65" s="80">
        <f t="shared" si="0"/>
        <v>0.87</v>
      </c>
      <c r="D65" s="81" cm="1">
        <f t="array" aca="1" ref="D65" ca="1">IF(ISNUMBER(_xll.VoseSimPercentile(Remaining,$B65)),_xll.VoseSimPercentile(Remaining,$B65),NA())</f>
        <v>1110.1417363698265</v>
      </c>
    </row>
    <row r="66" spans="2:4" hidden="1" outlineLevel="1" x14ac:dyDescent="0.45">
      <c r="B66" s="80">
        <v>0.15</v>
      </c>
      <c r="C66" s="80">
        <f t="shared" si="0"/>
        <v>0.85</v>
      </c>
      <c r="D66" s="81" cm="1">
        <f t="array" aca="1" ref="D66" ca="1">IF(ISNUMBER(_xll.VoseSimPercentile(Remaining,$B66)),_xll.VoseSimPercentile(Remaining,$B66),NA())</f>
        <v>1127.4132538076917</v>
      </c>
    </row>
    <row r="67" spans="2:4" hidden="1" outlineLevel="1" x14ac:dyDescent="0.45">
      <c r="B67" s="80">
        <v>0.17</v>
      </c>
      <c r="C67" s="80">
        <f t="shared" si="0"/>
        <v>0.83</v>
      </c>
      <c r="D67" s="81" cm="1">
        <f t="array" aca="1" ref="D67" ca="1">IF(ISNUMBER(_xll.VoseSimPercentile(Remaining,$B67)),_xll.VoseSimPercentile(Remaining,$B67),NA())</f>
        <v>1143.6677411916648</v>
      </c>
    </row>
    <row r="68" spans="2:4" hidden="1" outlineLevel="1" x14ac:dyDescent="0.45">
      <c r="B68" s="80">
        <v>0.19</v>
      </c>
      <c r="C68" s="80">
        <f t="shared" si="0"/>
        <v>0.81</v>
      </c>
      <c r="D68" s="81" cm="1">
        <f t="array" aca="1" ref="D68" ca="1">IF(ISNUMBER(_xll.VoseSimPercentile(Remaining,$B68)),_xll.VoseSimPercentile(Remaining,$B68),NA())</f>
        <v>1157.6232926846258</v>
      </c>
    </row>
    <row r="69" spans="2:4" hidden="1" outlineLevel="1" x14ac:dyDescent="0.45">
      <c r="B69" s="80">
        <v>0.21</v>
      </c>
      <c r="C69" s="80">
        <f t="shared" si="0"/>
        <v>0.79</v>
      </c>
      <c r="D69" s="81" cm="1">
        <f t="array" aca="1" ref="D69" ca="1">IF(ISNUMBER(_xll.VoseSimPercentile(Remaining,$B69)),_xll.VoseSimPercentile(Remaining,$B69),NA())</f>
        <v>1171.2560007087704</v>
      </c>
    </row>
    <row r="70" spans="2:4" hidden="1" outlineLevel="1" x14ac:dyDescent="0.45">
      <c r="B70" s="80">
        <v>0.23</v>
      </c>
      <c r="C70" s="80">
        <f t="shared" si="0"/>
        <v>0.77</v>
      </c>
      <c r="D70" s="81" cm="1">
        <f t="array" aca="1" ref="D70" ca="1">IF(ISNUMBER(_xll.VoseSimPercentile(Remaining,$B70)),_xll.VoseSimPercentile(Remaining,$B70),NA())</f>
        <v>1183.1735998118052</v>
      </c>
    </row>
    <row r="71" spans="2:4" hidden="1" outlineLevel="1" x14ac:dyDescent="0.45">
      <c r="B71" s="80">
        <v>0.25</v>
      </c>
      <c r="C71" s="80">
        <f t="shared" si="0"/>
        <v>0.75</v>
      </c>
      <c r="D71" s="81" cm="1">
        <f t="array" aca="1" ref="D71" ca="1">IF(ISNUMBER(_xll.VoseSimPercentile(Remaining,$B71)),_xll.VoseSimPercentile(Remaining,$B71),NA())</f>
        <v>1194.5120546401167</v>
      </c>
    </row>
    <row r="72" spans="2:4" hidden="1" outlineLevel="1" x14ac:dyDescent="0.45">
      <c r="B72" s="80">
        <v>0.27</v>
      </c>
      <c r="C72" s="80">
        <f t="shared" si="0"/>
        <v>0.73</v>
      </c>
      <c r="D72" s="81" cm="1">
        <f t="array" aca="1" ref="D72" ca="1">IF(ISNUMBER(_xll.VoseSimPercentile(Remaining,$B72)),_xll.VoseSimPercentile(Remaining,$B72),NA())</f>
        <v>1205.5048108738868</v>
      </c>
    </row>
    <row r="73" spans="2:4" hidden="1" outlineLevel="1" x14ac:dyDescent="0.45">
      <c r="B73" s="80">
        <v>0.28999999999999998</v>
      </c>
      <c r="C73" s="80">
        <f t="shared" si="0"/>
        <v>0.71</v>
      </c>
      <c r="D73" s="81" cm="1">
        <f t="array" aca="1" ref="D73" ca="1">IF(ISNUMBER(_xll.VoseSimPercentile(Remaining,$B73)),_xll.VoseSimPercentile(Remaining,$B73),NA())</f>
        <v>1217.0850569321726</v>
      </c>
    </row>
    <row r="74" spans="2:4" hidden="1" outlineLevel="1" x14ac:dyDescent="0.45">
      <c r="B74" s="80">
        <v>0.31</v>
      </c>
      <c r="C74" s="80">
        <f t="shared" si="0"/>
        <v>0.69</v>
      </c>
      <c r="D74" s="81" cm="1">
        <f t="array" aca="1" ref="D74" ca="1">IF(ISNUMBER(_xll.VoseSimPercentile(Remaining,$B74)),_xll.VoseSimPercentile(Remaining,$B74),NA())</f>
        <v>1226.7140227218822</v>
      </c>
    </row>
    <row r="75" spans="2:4" hidden="1" outlineLevel="1" x14ac:dyDescent="0.45">
      <c r="B75" s="80">
        <v>0.33</v>
      </c>
      <c r="C75" s="80">
        <f t="shared" si="0"/>
        <v>0.66999999999999993</v>
      </c>
      <c r="D75" s="81" cm="1">
        <f t="array" aca="1" ref="D75" ca="1">IF(ISNUMBER(_xll.VoseSimPercentile(Remaining,$B75)),_xll.VoseSimPercentile(Remaining,$B75),NA())</f>
        <v>1235.9840143221793</v>
      </c>
    </row>
    <row r="76" spans="2:4" hidden="1" outlineLevel="1" x14ac:dyDescent="0.45">
      <c r="B76" s="80">
        <v>0.35</v>
      </c>
      <c r="C76" s="80">
        <f t="shared" si="0"/>
        <v>0.65</v>
      </c>
      <c r="D76" s="81" cm="1">
        <f t="array" aca="1" ref="D76" ca="1">IF(ISNUMBER(_xll.VoseSimPercentile(Remaining,$B76)),_xll.VoseSimPercentile(Remaining,$B76),NA())</f>
        <v>1246.1276491242484</v>
      </c>
    </row>
    <row r="77" spans="2:4" hidden="1" outlineLevel="1" x14ac:dyDescent="0.45">
      <c r="B77" s="80">
        <v>0.37</v>
      </c>
      <c r="C77" s="80">
        <f t="shared" si="0"/>
        <v>0.63</v>
      </c>
      <c r="D77" s="81" cm="1">
        <f t="array" aca="1" ref="D77" ca="1">IF(ISNUMBER(_xll.VoseSimPercentile(Remaining,$B77)),_xll.VoseSimPercentile(Remaining,$B77),NA())</f>
        <v>1255.2386176845357</v>
      </c>
    </row>
    <row r="78" spans="2:4" hidden="1" outlineLevel="1" x14ac:dyDescent="0.45">
      <c r="B78" s="80">
        <v>0.39</v>
      </c>
      <c r="C78" s="80">
        <f t="shared" si="0"/>
        <v>0.61</v>
      </c>
      <c r="D78" s="81" cm="1">
        <f t="array" aca="1" ref="D78" ca="1">IF(ISNUMBER(_xll.VoseSimPercentile(Remaining,$B78)),_xll.VoseSimPercentile(Remaining,$B78),NA())</f>
        <v>1264.237191746932</v>
      </c>
    </row>
    <row r="79" spans="2:4" hidden="1" outlineLevel="1" x14ac:dyDescent="0.45">
      <c r="B79" s="80">
        <v>0.41</v>
      </c>
      <c r="C79" s="80">
        <f t="shared" si="0"/>
        <v>0.59000000000000008</v>
      </c>
      <c r="D79" s="81" cm="1">
        <f t="array" aca="1" ref="D79" ca="1">IF(ISNUMBER(_xll.VoseSimPercentile(Remaining,$B79)),_xll.VoseSimPercentile(Remaining,$B79),NA())</f>
        <v>1274.5825675981791</v>
      </c>
    </row>
    <row r="80" spans="2:4" hidden="1" outlineLevel="1" x14ac:dyDescent="0.45">
      <c r="B80" s="80">
        <v>0.43</v>
      </c>
      <c r="C80" s="80">
        <f t="shared" si="0"/>
        <v>0.57000000000000006</v>
      </c>
      <c r="D80" s="81" cm="1">
        <f t="array" aca="1" ref="D80" ca="1">IF(ISNUMBER(_xll.VoseSimPercentile(Remaining,$B80)),_xll.VoseSimPercentile(Remaining,$B80),NA())</f>
        <v>1283.7257643134858</v>
      </c>
    </row>
    <row r="81" spans="2:4" hidden="1" outlineLevel="1" x14ac:dyDescent="0.45">
      <c r="B81" s="80">
        <v>0.45</v>
      </c>
      <c r="C81" s="80">
        <f t="shared" si="0"/>
        <v>0.55000000000000004</v>
      </c>
      <c r="D81" s="81" cm="1">
        <f t="array" aca="1" ref="D81" ca="1">IF(ISNUMBER(_xll.VoseSimPercentile(Remaining,$B81)),_xll.VoseSimPercentile(Remaining,$B81),NA())</f>
        <v>1292.186850549306</v>
      </c>
    </row>
    <row r="82" spans="2:4" hidden="1" outlineLevel="1" x14ac:dyDescent="0.45">
      <c r="B82" s="80">
        <v>0.47</v>
      </c>
      <c r="C82" s="80">
        <f t="shared" si="0"/>
        <v>0.53</v>
      </c>
      <c r="D82" s="81" cm="1">
        <f t="array" aca="1" ref="D82" ca="1">IF(ISNUMBER(_xll.VoseSimPercentile(Remaining,$B82)),_xll.VoseSimPercentile(Remaining,$B82),NA())</f>
        <v>1302.1522320000381</v>
      </c>
    </row>
    <row r="83" spans="2:4" hidden="1" outlineLevel="1" x14ac:dyDescent="0.45">
      <c r="B83" s="80">
        <v>0.49</v>
      </c>
      <c r="C83" s="80">
        <f t="shared" si="0"/>
        <v>0.51</v>
      </c>
      <c r="D83" s="81" cm="1">
        <f t="array" aca="1" ref="D83" ca="1">IF(ISNUMBER(_xll.VoseSimPercentile(Remaining,$B83)),_xll.VoseSimPercentile(Remaining,$B83),NA())</f>
        <v>1310.5429447186855</v>
      </c>
    </row>
    <row r="84" spans="2:4" hidden="1" outlineLevel="1" x14ac:dyDescent="0.45">
      <c r="B84" s="80">
        <v>0.51</v>
      </c>
      <c r="C84" s="80">
        <f t="shared" si="0"/>
        <v>0.49</v>
      </c>
      <c r="D84" s="81" cm="1">
        <f t="array" aca="1" ref="D84" ca="1">IF(ISNUMBER(_xll.VoseSimPercentile(Remaining,$B84)),_xll.VoseSimPercentile(Remaining,$B84),NA())</f>
        <v>1318.4155567715018</v>
      </c>
    </row>
    <row r="85" spans="2:4" hidden="1" outlineLevel="1" x14ac:dyDescent="0.45">
      <c r="B85" s="80">
        <v>0.53</v>
      </c>
      <c r="C85" s="80">
        <f t="shared" si="0"/>
        <v>0.47</v>
      </c>
      <c r="D85" s="81" cm="1">
        <f t="array" aca="1" ref="D85" ca="1">IF(ISNUMBER(_xll.VoseSimPercentile(Remaining,$B85)),_xll.VoseSimPercentile(Remaining,$B85),NA())</f>
        <v>1326.4007979182909</v>
      </c>
    </row>
    <row r="86" spans="2:4" hidden="1" outlineLevel="1" x14ac:dyDescent="0.45">
      <c r="B86" s="80">
        <v>0.55000000000000004</v>
      </c>
      <c r="C86" s="80">
        <f t="shared" si="0"/>
        <v>0.44999999999999996</v>
      </c>
      <c r="D86" s="81" cm="1">
        <f t="array" aca="1" ref="D86" ca="1">IF(ISNUMBER(_xll.VoseSimPercentile(Remaining,$B86)),_xll.VoseSimPercentile(Remaining,$B86),NA())</f>
        <v>1335.1626492503588</v>
      </c>
    </row>
    <row r="87" spans="2:4" hidden="1" outlineLevel="1" x14ac:dyDescent="0.45">
      <c r="B87" s="80">
        <v>0.56999999999999995</v>
      </c>
      <c r="C87" s="80">
        <f t="shared" si="0"/>
        <v>0.43000000000000005</v>
      </c>
      <c r="D87" s="81" cm="1">
        <f t="array" aca="1" ref="D87" ca="1">IF(ISNUMBER(_xll.VoseSimPercentile(Remaining,$B87)),_xll.VoseSimPercentile(Remaining,$B87),NA())</f>
        <v>1343.7989950648368</v>
      </c>
    </row>
    <row r="88" spans="2:4" hidden="1" outlineLevel="1" x14ac:dyDescent="0.45">
      <c r="B88" s="80">
        <v>0.59</v>
      </c>
      <c r="C88" s="80">
        <f t="shared" si="0"/>
        <v>0.41000000000000003</v>
      </c>
      <c r="D88" s="81" cm="1">
        <f t="array" aca="1" ref="D88" ca="1">IF(ISNUMBER(_xll.VoseSimPercentile(Remaining,$B88)),_xll.VoseSimPercentile(Remaining,$B88),NA())</f>
        <v>1352.6145740642596</v>
      </c>
    </row>
    <row r="89" spans="2:4" hidden="1" outlineLevel="1" x14ac:dyDescent="0.45">
      <c r="B89" s="80">
        <v>0.61</v>
      </c>
      <c r="C89" s="80">
        <f t="shared" si="0"/>
        <v>0.39</v>
      </c>
      <c r="D89" s="81" cm="1">
        <f t="array" aca="1" ref="D89" ca="1">IF(ISNUMBER(_xll.VoseSimPercentile(Remaining,$B89)),_xll.VoseSimPercentile(Remaining,$B89),NA())</f>
        <v>1361.1952325013522</v>
      </c>
    </row>
    <row r="90" spans="2:4" hidden="1" outlineLevel="1" x14ac:dyDescent="0.45">
      <c r="B90" s="80">
        <v>0.63</v>
      </c>
      <c r="C90" s="80">
        <f t="shared" si="0"/>
        <v>0.37</v>
      </c>
      <c r="D90" s="81" cm="1">
        <f t="array" aca="1" ref="D90" ca="1">IF(ISNUMBER(_xll.VoseSimPercentile(Remaining,$B90)),_xll.VoseSimPercentile(Remaining,$B90),NA())</f>
        <v>1370.7613820575082</v>
      </c>
    </row>
    <row r="91" spans="2:4" hidden="1" outlineLevel="1" x14ac:dyDescent="0.45">
      <c r="B91" s="80">
        <v>0.65</v>
      </c>
      <c r="C91" s="80">
        <f t="shared" ref="C91:C122" si="1">1-B91</f>
        <v>0.35</v>
      </c>
      <c r="D91" s="81" cm="1">
        <f t="array" aca="1" ref="D91" ca="1">IF(ISNUMBER(_xll.VoseSimPercentile(Remaining,$B91)),_xll.VoseSimPercentile(Remaining,$B91),NA())</f>
        <v>1381.2592706088408</v>
      </c>
    </row>
    <row r="92" spans="2:4" hidden="1" outlineLevel="1" x14ac:dyDescent="0.45">
      <c r="B92" s="80">
        <v>0.67</v>
      </c>
      <c r="C92" s="80">
        <f t="shared" si="1"/>
        <v>0.32999999999999996</v>
      </c>
      <c r="D92" s="81" cm="1">
        <f t="array" aca="1" ref="D92" ca="1">IF(ISNUMBER(_xll.VoseSimPercentile(Remaining,$B92)),_xll.VoseSimPercentile(Remaining,$B92),NA())</f>
        <v>1391.3330324064234</v>
      </c>
    </row>
    <row r="93" spans="2:4" hidden="1" outlineLevel="1" x14ac:dyDescent="0.45">
      <c r="B93" s="80">
        <v>0.69</v>
      </c>
      <c r="C93" s="80">
        <f t="shared" si="1"/>
        <v>0.31000000000000005</v>
      </c>
      <c r="D93" s="81" cm="1">
        <f t="array" aca="1" ref="D93" ca="1">IF(ISNUMBER(_xll.VoseSimPercentile(Remaining,$B93)),_xll.VoseSimPercentile(Remaining,$B93),NA())</f>
        <v>1400.5896732656327</v>
      </c>
    </row>
    <row r="94" spans="2:4" hidden="1" outlineLevel="1" x14ac:dyDescent="0.45">
      <c r="B94" s="80">
        <v>0.71</v>
      </c>
      <c r="C94" s="80">
        <f t="shared" si="1"/>
        <v>0.29000000000000004</v>
      </c>
      <c r="D94" s="81" cm="1">
        <f t="array" aca="1" ref="D94" ca="1">IF(ISNUMBER(_xll.VoseSimPercentile(Remaining,$B94)),_xll.VoseSimPercentile(Remaining,$B94),NA())</f>
        <v>1410.8092615725184</v>
      </c>
    </row>
    <row r="95" spans="2:4" hidden="1" outlineLevel="1" x14ac:dyDescent="0.45">
      <c r="B95" s="80">
        <v>0.73</v>
      </c>
      <c r="C95" s="80">
        <f t="shared" si="1"/>
        <v>0.27</v>
      </c>
      <c r="D95" s="81" cm="1">
        <f t="array" aca="1" ref="D95" ca="1">IF(ISNUMBER(_xll.VoseSimPercentile(Remaining,$B95)),_xll.VoseSimPercentile(Remaining,$B95),NA())</f>
        <v>1421.747934489453</v>
      </c>
    </row>
    <row r="96" spans="2:4" hidden="1" outlineLevel="1" x14ac:dyDescent="0.45">
      <c r="B96" s="80">
        <v>0.75</v>
      </c>
      <c r="C96" s="80">
        <f t="shared" si="1"/>
        <v>0.25</v>
      </c>
      <c r="D96" s="81" cm="1">
        <f t="array" aca="1" ref="D96" ca="1">IF(ISNUMBER(_xll.VoseSimPercentile(Remaining,$B96)),_xll.VoseSimPercentile(Remaining,$B96),NA())</f>
        <v>1433.3172892130219</v>
      </c>
    </row>
    <row r="97" spans="2:7" hidden="1" outlineLevel="1" x14ac:dyDescent="0.45">
      <c r="B97" s="80">
        <v>0.77</v>
      </c>
      <c r="C97" s="80">
        <f t="shared" si="1"/>
        <v>0.22999999999999998</v>
      </c>
      <c r="D97" s="81" cm="1">
        <f t="array" aca="1" ref="D97" ca="1">IF(ISNUMBER(_xll.VoseSimPercentile(Remaining,$B97)),_xll.VoseSimPercentile(Remaining,$B97),NA())</f>
        <v>1445.3643312986833</v>
      </c>
    </row>
    <row r="98" spans="2:7" hidden="1" outlineLevel="1" x14ac:dyDescent="0.45">
      <c r="B98" s="80">
        <v>0.79</v>
      </c>
      <c r="C98" s="80">
        <f t="shared" si="1"/>
        <v>0.20999999999999996</v>
      </c>
      <c r="D98" s="81" cm="1">
        <f t="array" aca="1" ref="D98" ca="1">IF(ISNUMBER(_xll.VoseSimPercentile(Remaining,$B98)),_xll.VoseSimPercentile(Remaining,$B98),NA())</f>
        <v>1457.9880317007671</v>
      </c>
    </row>
    <row r="99" spans="2:7" hidden="1" outlineLevel="1" x14ac:dyDescent="0.45">
      <c r="B99" s="80">
        <v>0.81</v>
      </c>
      <c r="C99" s="80">
        <f t="shared" si="1"/>
        <v>0.18999999999999995</v>
      </c>
      <c r="D99" s="81" cm="1">
        <f t="array" aca="1" ref="D99" ca="1">IF(ISNUMBER(_xll.VoseSimPercentile(Remaining,$B99)),_xll.VoseSimPercentile(Remaining,$B99),NA())</f>
        <v>1472.3726041840807</v>
      </c>
    </row>
    <row r="100" spans="2:7" hidden="1" outlineLevel="1" x14ac:dyDescent="0.45">
      <c r="B100" s="80">
        <v>0.83</v>
      </c>
      <c r="C100" s="80">
        <f t="shared" si="1"/>
        <v>0.17000000000000004</v>
      </c>
      <c r="D100" s="81" cm="1">
        <f t="array" aca="1" ref="D100" ca="1">IF(ISNUMBER(_xll.VoseSimPercentile(Remaining,$B100)),_xll.VoseSimPercentile(Remaining,$B100),NA())</f>
        <v>1485.6522617625799</v>
      </c>
    </row>
    <row r="101" spans="2:7" hidden="1" outlineLevel="1" x14ac:dyDescent="0.45">
      <c r="B101" s="80">
        <v>0.85</v>
      </c>
      <c r="C101" s="80">
        <f t="shared" si="1"/>
        <v>0.15000000000000002</v>
      </c>
      <c r="D101" s="81" cm="1">
        <f t="array" aca="1" ref="D101" ca="1">IF(ISNUMBER(_xll.VoseSimPercentile(Remaining,$B101)),_xll.VoseSimPercentile(Remaining,$B101),NA())</f>
        <v>1498.9074217145462</v>
      </c>
    </row>
    <row r="102" spans="2:7" hidden="1" outlineLevel="1" x14ac:dyDescent="0.45">
      <c r="B102" s="80">
        <v>0.87</v>
      </c>
      <c r="C102" s="80">
        <f t="shared" si="1"/>
        <v>0.13</v>
      </c>
      <c r="D102" s="81" cm="1">
        <f t="array" aca="1" ref="D102" ca="1">IF(ISNUMBER(_xll.VoseSimPercentile(Remaining,$B102)),_xll.VoseSimPercentile(Remaining,$B102),NA())</f>
        <v>1516.1306661022365</v>
      </c>
    </row>
    <row r="103" spans="2:7" hidden="1" outlineLevel="1" x14ac:dyDescent="0.45">
      <c r="B103" s="80">
        <v>0.89</v>
      </c>
      <c r="C103" s="80">
        <f t="shared" si="1"/>
        <v>0.10999999999999999</v>
      </c>
      <c r="D103" s="81" cm="1">
        <f t="array" aca="1" ref="D103" ca="1">IF(ISNUMBER(_xll.VoseSimPercentile(Remaining,$B103)),_xll.VoseSimPercentile(Remaining,$B103),NA())</f>
        <v>1534.2949502009408</v>
      </c>
    </row>
    <row r="104" spans="2:7" hidden="1" outlineLevel="1" x14ac:dyDescent="0.45">
      <c r="B104" s="80">
        <v>0.91</v>
      </c>
      <c r="C104" s="80">
        <f t="shared" si="1"/>
        <v>8.9999999999999969E-2</v>
      </c>
      <c r="D104" s="81" cm="1">
        <f t="array" aca="1" ref="D104" ca="1">IF(ISNUMBER(_xll.VoseSimPercentile(Remaining,$B104)),_xll.VoseSimPercentile(Remaining,$B104),NA())</f>
        <v>1555.2882580915414</v>
      </c>
    </row>
    <row r="105" spans="2:7" hidden="1" outlineLevel="1" x14ac:dyDescent="0.45">
      <c r="B105" s="80">
        <v>0.93</v>
      </c>
      <c r="C105" s="80">
        <f t="shared" si="1"/>
        <v>6.9999999999999951E-2</v>
      </c>
      <c r="D105" s="81" cm="1">
        <f t="array" aca="1" ref="D105" ca="1">IF(ISNUMBER(_xll.VoseSimPercentile(Remaining,$B105)),_xll.VoseSimPercentile(Remaining,$B105),NA())</f>
        <v>1580.2101221138694</v>
      </c>
    </row>
    <row r="106" spans="2:7" hidden="1" outlineLevel="1" x14ac:dyDescent="0.45">
      <c r="B106" s="80">
        <v>0.95</v>
      </c>
      <c r="C106" s="80">
        <f t="shared" si="1"/>
        <v>5.0000000000000044E-2</v>
      </c>
      <c r="D106" s="81" cm="1">
        <f t="array" aca="1" ref="D106" ca="1">IF(ISNUMBER(_xll.VoseSimPercentile(Remaining,$B106)),_xll.VoseSimPercentile(Remaining,$B106),NA())</f>
        <v>1615.8795882705547</v>
      </c>
    </row>
    <row r="107" spans="2:7" hidden="1" outlineLevel="1" x14ac:dyDescent="0.45">
      <c r="B107" s="80">
        <v>0.97</v>
      </c>
      <c r="C107" s="80">
        <f t="shared" si="1"/>
        <v>3.0000000000000027E-2</v>
      </c>
      <c r="D107" s="81" cm="1">
        <f t="array" aca="1" ref="D107" ca="1">IF(ISNUMBER(_xll.VoseSimPercentile(Remaining,$B107)),_xll.VoseSimPercentile(Remaining,$B107),NA())</f>
        <v>1663.0452530214707</v>
      </c>
    </row>
    <row r="108" spans="2:7" hidden="1" outlineLevel="1" x14ac:dyDescent="0.45">
      <c r="B108" s="80">
        <v>0.99</v>
      </c>
      <c r="C108" s="80">
        <f t="shared" si="1"/>
        <v>1.0000000000000009E-2</v>
      </c>
      <c r="D108" s="81" cm="1">
        <f t="array" aca="1" ref="D108" ca="1">IF(ISNUMBER(_xll.VoseSimPercentile(Remaining,$B108)),_xll.VoseSimPercentile(Remaining,$B108),NA())</f>
        <v>1757.2528901746552</v>
      </c>
    </row>
    <row r="109" spans="2:7" hidden="1" outlineLevel="1" x14ac:dyDescent="0.45"/>
    <row r="110" spans="2:7" hidden="1" outlineLevel="1" x14ac:dyDescent="0.45">
      <c r="B110" s="82" t="s">
        <v>284</v>
      </c>
      <c r="D110" s="83" cm="1">
        <f t="array" aca="1" ref="D110" ca="1">_xll.VoseSimMean(Remaining)</f>
        <v>1314.2725728531184</v>
      </c>
    </row>
    <row r="111" spans="2:7" ht="18" hidden="1" customHeight="1" outlineLevel="1" x14ac:dyDescent="0.45">
      <c r="B111" s="23" t="s">
        <v>285</v>
      </c>
      <c r="C111" s="5"/>
      <c r="D111" s="5"/>
      <c r="E111" s="5"/>
      <c r="F111" s="24" t="s">
        <v>286</v>
      </c>
      <c r="G111" s="24" t="s">
        <v>287</v>
      </c>
    </row>
    <row r="112" spans="2:7" hidden="1" outlineLevel="1" x14ac:dyDescent="0.45">
      <c r="B112" s="84" t="str">
        <f ca="1">B29</f>
        <v>Темп падения</v>
      </c>
      <c r="F112" s="85">
        <f ca="1">IFERROR(D29-$D$110,NA())</f>
        <v>251.81109032742938</v>
      </c>
      <c r="G112" s="85">
        <f ca="1">IFERROR(C29-$D$110,NA())</f>
        <v>-210.70643864743943</v>
      </c>
    </row>
    <row r="113" spans="2:7" hidden="1" outlineLevel="1" x14ac:dyDescent="0.45">
      <c r="B113" s="84" t="str">
        <f ca="1">B30</f>
        <v>Начальный дебит</v>
      </c>
      <c r="F113" s="85">
        <f ca="1">IFERROR(D30-$D$110,NA())</f>
        <v>236.70146846950911</v>
      </c>
      <c r="G113" s="85">
        <f ca="1">IFERROR(C30-$D$110,NA())</f>
        <v>-202.49649541946792</v>
      </c>
    </row>
    <row r="114" spans="2:7" hidden="1" outlineLevel="1" x14ac:dyDescent="0.45">
      <c r="B114" s="84" t="str">
        <f ca="1">B31</f>
        <v>Прорыв воды</v>
      </c>
      <c r="F114" s="85">
        <f ca="1">IFERROR(D31-$D$110,NA())</f>
        <v>79.008476535526142</v>
      </c>
      <c r="G114" s="85">
        <f ca="1">IFERROR(C31-$D$110,NA())</f>
        <v>-143.30012373325803</v>
      </c>
    </row>
    <row r="115" spans="2:7" hidden="1" outlineLevel="1" x14ac:dyDescent="0.45">
      <c r="B115" s="84" t="str">
        <f ca="1">B32</f>
        <v>Время до прорыва</v>
      </c>
      <c r="F115" s="85">
        <f ca="1">IFERROR(D32-$D$110,NA())</f>
        <v>48.1900614065014</v>
      </c>
      <c r="G115" s="85">
        <f ca="1">IFERROR(C32-$D$110,NA())</f>
        <v>-52.660837488059087</v>
      </c>
    </row>
    <row r="116" spans="2:7" hidden="1" outlineLevel="1" x14ac:dyDescent="0.45">
      <c r="B116" s="84" t="str">
        <f ca="1">B33</f>
        <v>Коэффициент падения при прорыве</v>
      </c>
      <c r="F116" s="85">
        <f ca="1">IFERROR(D33-$D$110,NA())</f>
        <v>22.227842057401176</v>
      </c>
      <c r="G116" s="85">
        <f ca="1">IFERROR(C33-$D$110,NA())</f>
        <v>-28.034996242232637</v>
      </c>
    </row>
    <row r="117" spans="2:7" hidden="1" outlineLevel="1" x14ac:dyDescent="0.45"/>
    <row r="118" spans="2:7" ht="28.05" hidden="1" customHeight="1" outlineLevel="1" x14ac:dyDescent="0.45">
      <c r="B118" s="23" t="s">
        <v>288</v>
      </c>
      <c r="C118" s="24" t="s">
        <v>261</v>
      </c>
      <c r="D118" s="24" t="s">
        <v>289</v>
      </c>
      <c r="E118" s="24" t="s">
        <v>263</v>
      </c>
      <c r="F118" s="24" t="s">
        <v>131</v>
      </c>
      <c r="G118" s="5"/>
    </row>
    <row r="119" spans="2:7" hidden="1" outlineLevel="1" x14ac:dyDescent="0.45">
      <c r="B119" s="84">
        <f>'Прогноз'!F7</f>
        <v>2027</v>
      </c>
      <c r="C119" s="81" cm="1">
        <f t="array" aca="1" ref="C119" ca="1">IF(ISNUMBER(_xll.VoseSimPercentile('Прогноз'!F26,0.1)),_xll.VoseSimPercentile('Прогноз'!F26,0.1),NA())</f>
        <v>308.01698689430867</v>
      </c>
      <c r="D119" s="81" cm="1">
        <f t="array" aca="1" ref="D119" ca="1">IF(ISNUMBER(_xll.VoseSimPercentile('Прогноз'!F26,0.5)),_xll.VoseSimPercentile('Прогноз'!F26,0.5),NA())</f>
        <v>322.16127988192682</v>
      </c>
      <c r="E119" s="81" cm="1">
        <f t="array" aca="1" ref="E119" ca="1">IF(ISNUMBER(_xll.VoseSimPercentile('Прогноз'!F26,0.9)),_xll.VoseSimPercentile('Прогноз'!F26,0.9),NA())</f>
        <v>337.10607340516043</v>
      </c>
      <c r="F119" s="81" cm="1">
        <f t="array" aca="1" ref="F119" ca="1">IF(ISNUMBER(_xll.VoseSimMean('Прогноз'!F26)),_xll.VoseSimMean('Прогноз'!F26),NA())</f>
        <v>322.37447827728926</v>
      </c>
    </row>
    <row r="120" spans="2:7" hidden="1" outlineLevel="1" x14ac:dyDescent="0.45">
      <c r="B120" s="84">
        <f>'Прогноз'!G7</f>
        <v>2028</v>
      </c>
      <c r="C120" s="81" cm="1">
        <f t="array" aca="1" ref="C120" ca="1">IF(ISNUMBER(_xll.VoseSimPercentile('Прогноз'!G26,0.1)),_xll.VoseSimPercentile('Прогноз'!G26,0.1),NA())</f>
        <v>241.328197341471</v>
      </c>
      <c r="D120" s="81" cm="1">
        <f t="array" aca="1" ref="D120" ca="1">IF(ISNUMBER(_xll.VoseSimPercentile('Прогноз'!G26,0.5)),_xll.VoseSimPercentile('Прогноз'!G26,0.5),NA())</f>
        <v>258.07798821546515</v>
      </c>
      <c r="E120" s="81" cm="1">
        <f t="array" aca="1" ref="E120" ca="1">IF(ISNUMBER(_xll.VoseSimPercentile('Прогноз'!G26,0.9)),_xll.VoseSimPercentile('Прогноз'!G26,0.9),NA())</f>
        <v>275.59021576163309</v>
      </c>
      <c r="F120" s="81" cm="1">
        <f t="array" aca="1" ref="F120" ca="1">IF(ISNUMBER(_xll.VoseSimMean('Прогноз'!G26)),_xll.VoseSimMean('Прогноз'!G26),NA())</f>
        <v>258.25630191503609</v>
      </c>
    </row>
    <row r="121" spans="2:7" hidden="1" outlineLevel="1" x14ac:dyDescent="0.45">
      <c r="B121" s="84">
        <f>'Прогноз'!H7</f>
        <v>2029</v>
      </c>
      <c r="C121" s="81" cm="1">
        <f t="array" aca="1" ref="C121" ca="1">IF(ISNUMBER(_xll.VoseSimPercentile('Прогноз'!H26,0.1)),_xll.VoseSimPercentile('Прогноз'!H26,0.1),NA())</f>
        <v>186.30238930655477</v>
      </c>
      <c r="D121" s="81" cm="1">
        <f t="array" aca="1" ref="D121" ca="1">IF(ISNUMBER(_xll.VoseSimPercentile('Прогноз'!H26,0.5)),_xll.VoseSimPercentile('Прогноз'!H26,0.5),NA())</f>
        <v>205.54506638023352</v>
      </c>
      <c r="E121" s="81" cm="1">
        <f t="array" aca="1" ref="E121" ca="1">IF(ISNUMBER(_xll.VoseSimPercentile('Прогноз'!H26,0.9)),_xll.VoseSimPercentile('Прогноз'!H26,0.9),NA())</f>
        <v>224.84085767333062</v>
      </c>
      <c r="F121" s="81" cm="1">
        <f t="array" aca="1" ref="F121" ca="1">IF(ISNUMBER(_xll.VoseSimMean('Прогноз'!H26)),_xll.VoseSimMean('Прогноз'!H26),NA())</f>
        <v>205.37449547259129</v>
      </c>
    </row>
    <row r="122" spans="2:7" hidden="1" outlineLevel="1" x14ac:dyDescent="0.45">
      <c r="B122" s="84">
        <f>'Прогноз'!I7</f>
        <v>2030</v>
      </c>
      <c r="C122" s="81" cm="1">
        <f t="array" aca="1" ref="C122" ca="1">IF(ISNUMBER(_xll.VoseSimPercentile('Прогноз'!I26,0.1)),_xll.VoseSimPercentile('Прогноз'!I26,0.1),NA())</f>
        <v>139.24445268771311</v>
      </c>
      <c r="D122" s="81" cm="1">
        <f t="array" aca="1" ref="D122" ca="1">IF(ISNUMBER(_xll.VoseSimPercentile('Прогноз'!I26,0.5)),_xll.VoseSimPercentile('Прогноз'!I26,0.5),NA())</f>
        <v>162.973912062045</v>
      </c>
      <c r="E122" s="81" cm="1">
        <f t="array" aca="1" ref="E122" ca="1">IF(ISNUMBER(_xll.VoseSimPercentile('Прогноз'!I26,0.9)),_xll.VoseSimPercentile('Прогноз'!I26,0.9),NA())</f>
        <v>183.01650594562054</v>
      </c>
      <c r="F122" s="81" cm="1">
        <f t="array" aca="1" ref="F122" ca="1">IF(ISNUMBER(_xll.VoseSimMean('Прогноз'!I26)),_xll.VoseSimMean('Прогноз'!I26),NA())</f>
        <v>161.70114008229893</v>
      </c>
    </row>
    <row r="123" spans="2:7" hidden="1" outlineLevel="1" x14ac:dyDescent="0.45">
      <c r="B123" s="84">
        <f>'Прогноз'!J7</f>
        <v>2031</v>
      </c>
      <c r="C123" s="81" cm="1">
        <f t="array" aca="1" ref="C123" ca="1">IF(ISNUMBER(_xll.VoseSimPercentile('Прогноз'!J26,0.1)),_xll.VoseSimPercentile('Прогноз'!J26,0.1),NA())</f>
        <v>99.477584296586798</v>
      </c>
      <c r="D123" s="81" cm="1">
        <f t="array" aca="1" ref="D123" ca="1">IF(ISNUMBER(_xll.VoseSimPercentile('Прогноз'!J26,0.5)),_xll.VoseSimPercentile('Прогноз'!J26,0.5),NA())</f>
        <v>128.39533257130844</v>
      </c>
      <c r="E123" s="81" cm="1">
        <f t="array" aca="1" ref="E123" ca="1">IF(ISNUMBER(_xll.VoseSimPercentile('Прогноз'!J26,0.9)),_xll.VoseSimPercentile('Прогноз'!J26,0.9),NA())</f>
        <v>148.89814635654352</v>
      </c>
      <c r="F123" s="81" cm="1">
        <f t="array" aca="1" ref="F123" ca="1">IF(ISNUMBER(_xll.VoseSimMean('Прогноз'!J26)),_xll.VoseSimMean('Прогноз'!J26),NA())</f>
        <v>126.26962327000668</v>
      </c>
    </row>
    <row r="124" spans="2:7" hidden="1" outlineLevel="1" x14ac:dyDescent="0.45">
      <c r="B124" s="84">
        <f>'Прогноз'!K7</f>
        <v>2032</v>
      </c>
      <c r="C124" s="81" cm="1">
        <f t="array" aca="1" ref="C124" ca="1">IF(ISNUMBER(_xll.VoseSimPercentile('Прогноз'!K26,0.1)),_xll.VoseSimPercentile('Прогноз'!K26,0.1),NA())</f>
        <v>70.001481956220218</v>
      </c>
      <c r="D124" s="81" cm="1">
        <f t="array" aca="1" ref="D124" ca="1">IF(ISNUMBER(_xll.VoseSimPercentile('Прогноз'!K26,0.5)),_xll.VoseSimPercentile('Прогноз'!K26,0.5),NA())</f>
        <v>101.03937968693737</v>
      </c>
      <c r="E124" s="81" cm="1">
        <f t="array" aca="1" ref="E124" ca="1">IF(ISNUMBER(_xll.VoseSimPercentile('Прогноз'!K26,0.9)),_xll.VoseSimPercentile('Прогноз'!K26,0.9),NA())</f>
        <v>121.06560444716862</v>
      </c>
      <c r="F124" s="81" cm="1">
        <f t="array" aca="1" ref="F124" ca="1">IF(ISNUMBER(_xll.VoseSimMean('Прогноз'!K26)),_xll.VoseSimMean('Прогноз'!K26),NA())</f>
        <v>96.768804603498808</v>
      </c>
    </row>
    <row r="125" spans="2:7" hidden="1" outlineLevel="1" x14ac:dyDescent="0.45">
      <c r="B125" s="84">
        <f>'Прогноз'!L7</f>
        <v>2033</v>
      </c>
      <c r="C125" s="81" cm="1">
        <f t="array" aca="1" ref="C125" ca="1">IF(ISNUMBER(_xll.VoseSimPercentile('Прогноз'!L26,0.1)),_xll.VoseSimPercentile('Прогноз'!L26,0.1),NA())</f>
        <v>9.6804370185443567</v>
      </c>
      <c r="D125" s="81" cm="1">
        <f t="array" aca="1" ref="D125" ca="1">IF(ISNUMBER(_xll.VoseSimPercentile('Прогноз'!L26,0.5)),_xll.VoseSimPercentile('Прогноз'!L26,0.5),NA())</f>
        <v>79.418209281503778</v>
      </c>
      <c r="E125" s="81" cm="1">
        <f t="array" aca="1" ref="E125" ca="1">IF(ISNUMBER(_xll.VoseSimPercentile('Прогноз'!L26,0.9)),_xll.VoseSimPercentile('Прогноз'!L26,0.9),NA())</f>
        <v>98.48179575059109</v>
      </c>
      <c r="F125" s="81" cm="1">
        <f t="array" aca="1" ref="F125" ca="1">IF(ISNUMBER(_xll.VoseSimMean('Прогноз'!L26)),_xll.VoseSimMean('Прогноз'!L26),NA())</f>
        <v>69.849254606712165</v>
      </c>
    </row>
    <row r="126" spans="2:7" hidden="1" outlineLevel="1" x14ac:dyDescent="0.45">
      <c r="B126" s="84">
        <f>'Прогноз'!M7</f>
        <v>2034</v>
      </c>
      <c r="C126" s="81" cm="1">
        <f t="array" aca="1" ref="C126" ca="1">IF(ISNUMBER(_xll.VoseSimPercentile('Прогноз'!M26,0.1)),_xll.VoseSimPercentile('Прогноз'!M26,0.1),NA())</f>
        <v>0</v>
      </c>
      <c r="D126" s="81" cm="1">
        <f t="array" aca="1" ref="D126" ca="1">IF(ISNUMBER(_xll.VoseSimPercentile('Прогноз'!M26,0.5)),_xll.VoseSimPercentile('Прогноз'!M26,0.5),NA())</f>
        <v>62.548555566365387</v>
      </c>
      <c r="E126" s="81" cm="1">
        <f t="array" aca="1" ref="E126" ca="1">IF(ISNUMBER(_xll.VoseSimPercentile('Прогноз'!M26,0.9)),_xll.VoseSimPercentile('Прогноз'!M26,0.9),NA())</f>
        <v>80.239360792772217</v>
      </c>
      <c r="F126" s="81" cm="1">
        <f t="array" aca="1" ref="F126" ca="1">IF(ISNUMBER(_xll.VoseSimMean('Прогноз'!M26)),_xll.VoseSimMean('Прогноз'!M26),NA())</f>
        <v>45.886514306465926</v>
      </c>
    </row>
    <row r="127" spans="2:7" hidden="1" outlineLevel="1" x14ac:dyDescent="0.45">
      <c r="B127" s="84">
        <f>'Прогноз'!N7</f>
        <v>2035</v>
      </c>
      <c r="C127" s="81" cm="1">
        <f t="array" aca="1" ref="C127" ca="1">IF(ISNUMBER(_xll.VoseSimPercentile('Прогноз'!N26,0.1)),_xll.VoseSimPercentile('Прогноз'!N26,0.1),NA())</f>
        <v>0</v>
      </c>
      <c r="D127" s="81" cm="1">
        <f t="array" aca="1" ref="D127" ca="1">IF(ISNUMBER(_xll.VoseSimPercentile('Прогноз'!N26,0.5)),_xll.VoseSimPercentile('Прогноз'!N26,0.5),NA())</f>
        <v>3.3011026532588179</v>
      </c>
      <c r="E127" s="81" cm="1">
        <f t="array" aca="1" ref="E127" ca="1">IF(ISNUMBER(_xll.VoseSimPercentile('Прогноз'!N26,0.9)),_xll.VoseSimPercentile('Прогноз'!N26,0.9),NA())</f>
        <v>65.468453183211707</v>
      </c>
      <c r="F127" s="81" cm="1">
        <f t="array" aca="1" ref="F127" ca="1">IF(ISNUMBER(_xll.VoseSimMean('Прогноз'!N26)),_xll.VoseSimMean('Прогноз'!N26),NA())</f>
        <v>21.743899506520165</v>
      </c>
    </row>
    <row r="128" spans="2:7" hidden="1" outlineLevel="1" x14ac:dyDescent="0.45">
      <c r="B128" s="84">
        <f>'Прогноз'!O7</f>
        <v>2036</v>
      </c>
      <c r="C128" s="81" cm="1">
        <f t="array" aca="1" ref="C128" ca="1">IF(ISNUMBER(_xll.VoseSimPercentile('Прогноз'!O26,0.1)),_xll.VoseSimPercentile('Прогноз'!O26,0.1),NA())</f>
        <v>0</v>
      </c>
      <c r="D128" s="81" cm="1">
        <f t="array" aca="1" ref="D128" ca="1">IF(ISNUMBER(_xll.VoseSimPercentile('Прогноз'!O26,0.5)),_xll.VoseSimPercentile('Прогноз'!O26,0.5),NA())</f>
        <v>0</v>
      </c>
      <c r="E128" s="81" cm="1">
        <f t="array" aca="1" ref="E128" ca="1">IF(ISNUMBER(_xll.VoseSimPercentile('Прогноз'!O26,0.9)),_xll.VoseSimPercentile('Прогноз'!O26,0.9),NA())</f>
        <v>20.822876577920123</v>
      </c>
      <c r="F128" s="81" cm="1">
        <f t="array" aca="1" ref="F128" ca="1">IF(ISNUMBER(_xll.VoseSimMean('Прогноз'!O26)),_xll.VoseSimMean('Прогноз'!O26),NA())</f>
        <v>5.2988945944967254</v>
      </c>
    </row>
    <row r="129" spans="2:7" hidden="1" outlineLevel="1" x14ac:dyDescent="0.45">
      <c r="B129" s="84">
        <f>'Прогноз'!P7</f>
        <v>2037</v>
      </c>
      <c r="C129" s="81" cm="1">
        <f t="array" aca="1" ref="C129" ca="1">IF(ISNUMBER(_xll.VoseSimPercentile('Прогноз'!P26,0.1)),_xll.VoseSimPercentile('Прогноз'!P26,0.1),NA())</f>
        <v>0</v>
      </c>
      <c r="D129" s="81" cm="1">
        <f t="array" aca="1" ref="D129" ca="1">IF(ISNUMBER(_xll.VoseSimPercentile('Прогноз'!P26,0.5)),_xll.VoseSimPercentile('Прогноз'!P26,0.5),NA())</f>
        <v>0</v>
      </c>
      <c r="E129" s="81" cm="1">
        <f t="array" aca="1" ref="E129" ca="1">IF(ISNUMBER(_xll.VoseSimPercentile('Прогноз'!P26,0.9)),_xll.VoseSimPercentile('Прогноз'!P26,0.9),NA())</f>
        <v>0</v>
      </c>
      <c r="F129" s="81" cm="1">
        <f t="array" aca="1" ref="F129" ca="1">IF(ISNUMBER(_xll.VoseSimMean('Прогноз'!P26)),_xll.VoseSimMean('Прогноз'!P26),NA())</f>
        <v>0.69312124017137955</v>
      </c>
    </row>
    <row r="130" spans="2:7" hidden="1" outlineLevel="1" x14ac:dyDescent="0.45">
      <c r="B130" s="84">
        <f>'Прогноз'!Q7</f>
        <v>2038</v>
      </c>
      <c r="C130" s="81" cm="1">
        <f t="array" aca="1" ref="C130" ca="1">IF(ISNUMBER(_xll.VoseSimPercentile('Прогноз'!Q26,0.1)),_xll.VoseSimPercentile('Прогноз'!Q26,0.1),NA())</f>
        <v>0</v>
      </c>
      <c r="D130" s="81" cm="1">
        <f t="array" aca="1" ref="D130" ca="1">IF(ISNUMBER(_xll.VoseSimPercentile('Прогноз'!Q26,0.5)),_xll.VoseSimPercentile('Прогноз'!Q26,0.5),NA())</f>
        <v>0</v>
      </c>
      <c r="E130" s="81" cm="1">
        <f t="array" aca="1" ref="E130" ca="1">IF(ISNUMBER(_xll.VoseSimPercentile('Прогноз'!Q26,0.9)),_xll.VoseSimPercentile('Прогноз'!Q26,0.9),NA())</f>
        <v>0</v>
      </c>
      <c r="F130" s="81" cm="1">
        <f t="array" aca="1" ref="F130" ca="1">IF(ISNUMBER(_xll.VoseSimMean('Прогноз'!Q26)),_xll.VoseSimMean('Прогноз'!Q26),NA())</f>
        <v>5.5179823240567825E-2</v>
      </c>
    </row>
    <row r="131" spans="2:7" hidden="1" outlineLevel="1" x14ac:dyDescent="0.45"/>
    <row r="132" spans="2:7" ht="18" hidden="1" customHeight="1" outlineLevel="1" x14ac:dyDescent="0.45">
      <c r="B132" s="23" t="s">
        <v>290</v>
      </c>
      <c r="C132" s="24" t="s">
        <v>282</v>
      </c>
      <c r="D132" s="24" t="s">
        <v>155</v>
      </c>
      <c r="E132" s="5"/>
      <c r="F132" s="5"/>
      <c r="G132" s="5"/>
    </row>
    <row r="133" spans="2:7" hidden="1" outlineLevel="1" x14ac:dyDescent="0.45">
      <c r="B133" s="82" t="s">
        <v>261</v>
      </c>
      <c r="C133" s="80">
        <v>0.9</v>
      </c>
      <c r="D133" s="81" cm="1">
        <f t="array" aca="1" ref="D133" ca="1">IF(ISNUMBER(_xll.VoseSimPercentile(Remaining,0.1)),_xll.VoseSimPercentile(Remaining,0.1),NA())</f>
        <v>1078.4806009248157</v>
      </c>
    </row>
    <row r="134" spans="2:7" hidden="1" outlineLevel="1" x14ac:dyDescent="0.45">
      <c r="B134" s="82" t="s">
        <v>262</v>
      </c>
      <c r="C134" s="80">
        <v>0.5</v>
      </c>
      <c r="D134" s="81" cm="1">
        <f t="array" aca="1" ref="D134" ca="1">IF(ISNUMBER(_xll.VoseSimPercentile(Remaining,0.5)),_xll.VoseSimPercentile(Remaining,0.5),NA())</f>
        <v>1314.4310463773681</v>
      </c>
    </row>
    <row r="135" spans="2:7" hidden="1" outlineLevel="1" x14ac:dyDescent="0.45">
      <c r="B135" s="82" t="s">
        <v>263</v>
      </c>
      <c r="C135" s="80">
        <v>0.1</v>
      </c>
      <c r="D135" s="81" cm="1">
        <f t="array" aca="1" ref="D135" ca="1">IF(ISNUMBER(_xll.VoseSimPercentile(Remaining,0.9)),_xll.VoseSimPercentile(Remaining,0.9),NA())</f>
        <v>1545.8156892636212</v>
      </c>
    </row>
  </sheetData>
  <mergeCells count="5">
    <mergeCell ref="B42:G42"/>
    <mergeCell ref="B45:G45"/>
    <mergeCell ref="B41:G41"/>
    <mergeCell ref="B43:G43"/>
    <mergeCell ref="B44:G44"/>
  </mergeCells>
  <conditionalFormatting sqref="B7">
    <cfRule type="expression" dxfId="5" priority="2">
      <formula>LEFT($B$7,1)="✗"</formula>
    </cfRule>
  </conditionalFormatting>
  <conditionalFormatting sqref="B6:G6">
    <cfRule type="expression" dxfId="4" priority="1">
      <formula>LEFT($B$6,1)&lt;&gt;"✔"</formula>
    </cfRule>
  </conditionalFormatting>
  <conditionalFormatting sqref="C119:F130">
    <cfRule type="expression" dxfId="3" priority="5">
      <formula>ISNA(C119)</formula>
    </cfRule>
  </conditionalFormatting>
  <conditionalFormatting sqref="D59:D108">
    <cfRule type="expression" dxfId="2" priority="3">
      <formula>ISNA(D59)</formula>
    </cfRule>
  </conditionalFormatting>
  <conditionalFormatting sqref="D133:D135">
    <cfRule type="expression" dxfId="1" priority="6">
      <formula>ISNA(D133)</formula>
    </cfRule>
  </conditionalFormatting>
  <conditionalFormatting sqref="F112:G116">
    <cfRule type="expression" dxfId="0" priority="4">
      <formula>ISNA(F112)</formula>
    </cfRule>
  </conditionalFormatting>
  <hyperlinks>
    <hyperlink ref="B4" location="'Прогноз'!A1" display="◂  Прогноз" xr:uid="{00000000-0004-0000-0400-000000000000}"/>
  </hyperlinks>
  <printOptions horizontalCentered="1"/>
  <pageMargins left="0.4" right="0.4" top="0.5" bottom="0.6" header="0.25" footer="0.25"/>
  <pageSetup paperSize="9" scale="73" fitToHeight="0" orientation="landscape" r:id="rId1"/>
  <headerFooter>
    <oddFooter>&amp;L&amp;K3F5876&amp;8&amp;F · &amp;A&amp;R&amp;K3F5876&amp;8Page &amp;P of &amp;N</oddFooter>
  </headerFooter>
  <rowBreaks count="1" manualBreakCount="1">
    <brk id="39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9E020-7E7F-477F-A2B1-EBB2D5BD0830}">
  <dimension ref="A1:B1"/>
  <sheetViews>
    <sheetView workbookViewId="0"/>
  </sheetViews>
  <sheetFormatPr defaultRowHeight="14.25" x14ac:dyDescent="0.45"/>
  <sheetData>
    <row r="1" spans="1:2" x14ac:dyDescent="0.45">
      <c r="A1" s="90" t="s">
        <v>291</v>
      </c>
      <c r="B1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1E5DA-BFF8-42FF-880D-F0BE81E2B18F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0C8CF-AE07-4588-A378-629DA98C2A19}">
  <dimension ref="B3:B202"/>
  <sheetViews>
    <sheetView workbookViewId="0"/>
  </sheetViews>
  <sheetFormatPr defaultRowHeight="14.25" x14ac:dyDescent="0.45"/>
  <sheetData>
    <row r="3" spans="2:2" x14ac:dyDescent="0.45">
      <c r="B3">
        <v>15</v>
      </c>
    </row>
    <row r="4" spans="2:2" x14ac:dyDescent="0.45">
      <c r="B4">
        <v>40</v>
      </c>
    </row>
    <row r="5" spans="2:2" x14ac:dyDescent="0.45">
      <c r="B5">
        <v>160</v>
      </c>
    </row>
    <row r="6" spans="2:2" x14ac:dyDescent="0.45">
      <c r="B6">
        <v>324</v>
      </c>
    </row>
    <row r="7" spans="2:2" x14ac:dyDescent="0.45">
      <c r="B7">
        <v>471</v>
      </c>
    </row>
    <row r="8" spans="2:2" x14ac:dyDescent="0.45">
      <c r="B8">
        <v>498</v>
      </c>
    </row>
    <row r="9" spans="2:2" x14ac:dyDescent="0.45">
      <c r="B9">
        <v>304</v>
      </c>
    </row>
    <row r="10" spans="2:2" x14ac:dyDescent="0.45">
      <c r="B10">
        <v>134</v>
      </c>
    </row>
    <row r="11" spans="2:2" x14ac:dyDescent="0.45">
      <c r="B11">
        <v>43</v>
      </c>
    </row>
    <row r="12" spans="2:2" x14ac:dyDescent="0.45">
      <c r="B12">
        <v>11</v>
      </c>
    </row>
    <row r="13" spans="2:2" x14ac:dyDescent="0.45">
      <c r="B13">
        <v>3</v>
      </c>
    </row>
    <row r="14" spans="2:2" x14ac:dyDescent="0.45">
      <c r="B14">
        <v>36</v>
      </c>
    </row>
    <row r="15" spans="2:2" x14ac:dyDescent="0.45">
      <c r="B15">
        <v>123</v>
      </c>
    </row>
    <row r="16" spans="2:2" x14ac:dyDescent="0.45">
      <c r="B16">
        <v>338</v>
      </c>
    </row>
    <row r="17" spans="2:2" x14ac:dyDescent="0.45">
      <c r="B17">
        <v>522</v>
      </c>
    </row>
    <row r="18" spans="2:2" x14ac:dyDescent="0.45">
      <c r="B18">
        <v>509</v>
      </c>
    </row>
    <row r="19" spans="2:2" x14ac:dyDescent="0.45">
      <c r="B19">
        <v>297</v>
      </c>
    </row>
    <row r="20" spans="2:2" x14ac:dyDescent="0.45">
      <c r="B20">
        <v>129</v>
      </c>
    </row>
    <row r="21" spans="2:2" x14ac:dyDescent="0.45">
      <c r="B21">
        <v>34</v>
      </c>
    </row>
    <row r="22" spans="2:2" x14ac:dyDescent="0.45">
      <c r="B22">
        <v>9</v>
      </c>
    </row>
    <row r="23" spans="2:2" x14ac:dyDescent="0.45">
      <c r="B23">
        <v>1306</v>
      </c>
    </row>
    <row r="24" spans="2:2" x14ac:dyDescent="0.45">
      <c r="B24">
        <v>0</v>
      </c>
    </row>
    <row r="25" spans="2:2" x14ac:dyDescent="0.45">
      <c r="B25">
        <v>0</v>
      </c>
    </row>
    <row r="26" spans="2:2" x14ac:dyDescent="0.45">
      <c r="B26">
        <v>0</v>
      </c>
    </row>
    <row r="27" spans="2:2" x14ac:dyDescent="0.45">
      <c r="B27">
        <v>0</v>
      </c>
    </row>
    <row r="28" spans="2:2" x14ac:dyDescent="0.45">
      <c r="B28">
        <v>0</v>
      </c>
    </row>
    <row r="29" spans="2:2" x14ac:dyDescent="0.45">
      <c r="B29">
        <v>0</v>
      </c>
    </row>
    <row r="30" spans="2:2" x14ac:dyDescent="0.45">
      <c r="B30">
        <v>0</v>
      </c>
    </row>
    <row r="31" spans="2:2" x14ac:dyDescent="0.45">
      <c r="B31">
        <v>0</v>
      </c>
    </row>
    <row r="32" spans="2:2" x14ac:dyDescent="0.45">
      <c r="B32">
        <v>694</v>
      </c>
    </row>
    <row r="33" spans="2:2" x14ac:dyDescent="0.45">
      <c r="B33">
        <v>6</v>
      </c>
    </row>
    <row r="34" spans="2:2" x14ac:dyDescent="0.45">
      <c r="B34">
        <v>36</v>
      </c>
    </row>
    <row r="35" spans="2:2" x14ac:dyDescent="0.45">
      <c r="B35">
        <v>138</v>
      </c>
    </row>
    <row r="36" spans="2:2" x14ac:dyDescent="0.45">
      <c r="B36">
        <v>366</v>
      </c>
    </row>
    <row r="37" spans="2:2" x14ac:dyDescent="0.45">
      <c r="B37">
        <v>523</v>
      </c>
    </row>
    <row r="38" spans="2:2" x14ac:dyDescent="0.45">
      <c r="B38">
        <v>496</v>
      </c>
    </row>
    <row r="39" spans="2:2" x14ac:dyDescent="0.45">
      <c r="B39">
        <v>283</v>
      </c>
    </row>
    <row r="40" spans="2:2" x14ac:dyDescent="0.45">
      <c r="B40">
        <v>112</v>
      </c>
    </row>
    <row r="41" spans="2:2" x14ac:dyDescent="0.45">
      <c r="B41">
        <v>32</v>
      </c>
    </row>
    <row r="42" spans="2:2" x14ac:dyDescent="0.45">
      <c r="B42">
        <v>8</v>
      </c>
    </row>
    <row r="43" spans="2:2" x14ac:dyDescent="0.45">
      <c r="B43">
        <v>1</v>
      </c>
    </row>
    <row r="44" spans="2:2" x14ac:dyDescent="0.45">
      <c r="B44">
        <v>10</v>
      </c>
    </row>
    <row r="45" spans="2:2" x14ac:dyDescent="0.45">
      <c r="B45">
        <v>41</v>
      </c>
    </row>
    <row r="46" spans="2:2" x14ac:dyDescent="0.45">
      <c r="B46">
        <v>190</v>
      </c>
    </row>
    <row r="47" spans="2:2" x14ac:dyDescent="0.45">
      <c r="B47">
        <v>488</v>
      </c>
    </row>
    <row r="48" spans="2:2" x14ac:dyDescent="0.45">
      <c r="B48">
        <v>618</v>
      </c>
    </row>
    <row r="49" spans="2:2" x14ac:dyDescent="0.45">
      <c r="B49">
        <v>417</v>
      </c>
    </row>
    <row r="50" spans="2:2" x14ac:dyDescent="0.45">
      <c r="B50">
        <v>175</v>
      </c>
    </row>
    <row r="51" spans="2:2" x14ac:dyDescent="0.45">
      <c r="B51">
        <v>51</v>
      </c>
    </row>
    <row r="52" spans="2:2" x14ac:dyDescent="0.45">
      <c r="B52">
        <v>9</v>
      </c>
    </row>
    <row r="53" spans="2:2" x14ac:dyDescent="0.45">
      <c r="B53">
        <v>2</v>
      </c>
    </row>
    <row r="54" spans="2:2" x14ac:dyDescent="0.45">
      <c r="B54">
        <v>7</v>
      </c>
    </row>
    <row r="55" spans="2:2" x14ac:dyDescent="0.45">
      <c r="B55">
        <v>19</v>
      </c>
    </row>
    <row r="56" spans="2:2" x14ac:dyDescent="0.45">
      <c r="B56">
        <v>36</v>
      </c>
    </row>
    <row r="57" spans="2:2" x14ac:dyDescent="0.45">
      <c r="B57">
        <v>180</v>
      </c>
    </row>
    <row r="58" spans="2:2" x14ac:dyDescent="0.45">
      <c r="B58">
        <v>611</v>
      </c>
    </row>
    <row r="59" spans="2:2" x14ac:dyDescent="0.45">
      <c r="B59">
        <v>691</v>
      </c>
    </row>
    <row r="60" spans="2:2" x14ac:dyDescent="0.45">
      <c r="B60">
        <v>344</v>
      </c>
    </row>
    <row r="61" spans="2:2" x14ac:dyDescent="0.45">
      <c r="B61">
        <v>100</v>
      </c>
    </row>
    <row r="62" spans="2:2" x14ac:dyDescent="0.45">
      <c r="B62">
        <v>10</v>
      </c>
    </row>
    <row r="63" spans="2:2" x14ac:dyDescent="0.45">
      <c r="B63">
        <v>2</v>
      </c>
    </row>
    <row r="64" spans="2:2" x14ac:dyDescent="0.45">
      <c r="B64">
        <v>6</v>
      </c>
    </row>
    <row r="65" spans="2:2" x14ac:dyDescent="0.45">
      <c r="B65">
        <v>29</v>
      </c>
    </row>
    <row r="66" spans="2:2" x14ac:dyDescent="0.45">
      <c r="B66">
        <v>54</v>
      </c>
    </row>
    <row r="67" spans="2:2" x14ac:dyDescent="0.45">
      <c r="B67">
        <v>161</v>
      </c>
    </row>
    <row r="68" spans="2:2" x14ac:dyDescent="0.45">
      <c r="B68">
        <v>510</v>
      </c>
    </row>
    <row r="69" spans="2:2" x14ac:dyDescent="0.45">
      <c r="B69">
        <v>743</v>
      </c>
    </row>
    <row r="70" spans="2:2" x14ac:dyDescent="0.45">
      <c r="B70">
        <v>372</v>
      </c>
    </row>
    <row r="71" spans="2:2" x14ac:dyDescent="0.45">
      <c r="B71">
        <v>111</v>
      </c>
    </row>
    <row r="72" spans="2:2" x14ac:dyDescent="0.45">
      <c r="B72">
        <v>12</v>
      </c>
    </row>
    <row r="73" spans="2:2" x14ac:dyDescent="0.45">
      <c r="B73">
        <v>2</v>
      </c>
    </row>
    <row r="74" spans="2:2" x14ac:dyDescent="0.45">
      <c r="B74">
        <v>3</v>
      </c>
    </row>
    <row r="75" spans="2:2" x14ac:dyDescent="0.45">
      <c r="B75">
        <v>5</v>
      </c>
    </row>
    <row r="76" spans="2:2" x14ac:dyDescent="0.45">
      <c r="B76">
        <v>25</v>
      </c>
    </row>
    <row r="77" spans="2:2" x14ac:dyDescent="0.45">
      <c r="B77">
        <v>81</v>
      </c>
    </row>
    <row r="78" spans="2:2" x14ac:dyDescent="0.45">
      <c r="B78">
        <v>249</v>
      </c>
    </row>
    <row r="79" spans="2:2" x14ac:dyDescent="0.45">
      <c r="B79">
        <v>705</v>
      </c>
    </row>
    <row r="80" spans="2:2" x14ac:dyDescent="0.45">
      <c r="B80">
        <v>698</v>
      </c>
    </row>
    <row r="81" spans="2:2" x14ac:dyDescent="0.45">
      <c r="B81">
        <v>206</v>
      </c>
    </row>
    <row r="82" spans="2:2" x14ac:dyDescent="0.45">
      <c r="B82">
        <v>26</v>
      </c>
    </row>
    <row r="83" spans="2:2" x14ac:dyDescent="0.45">
      <c r="B83">
        <v>40</v>
      </c>
    </row>
    <row r="84" spans="2:2" x14ac:dyDescent="0.45">
      <c r="B84">
        <v>18</v>
      </c>
    </row>
    <row r="85" spans="2:2" x14ac:dyDescent="0.45">
      <c r="B85">
        <v>35</v>
      </c>
    </row>
    <row r="86" spans="2:2" x14ac:dyDescent="0.45">
      <c r="B86">
        <v>39</v>
      </c>
    </row>
    <row r="87" spans="2:2" x14ac:dyDescent="0.45">
      <c r="B87">
        <v>185</v>
      </c>
    </row>
    <row r="88" spans="2:2" x14ac:dyDescent="0.45">
      <c r="B88">
        <v>365</v>
      </c>
    </row>
    <row r="89" spans="2:2" x14ac:dyDescent="0.45">
      <c r="B89">
        <v>732</v>
      </c>
    </row>
    <row r="90" spans="2:2" x14ac:dyDescent="0.45">
      <c r="B90">
        <v>445</v>
      </c>
    </row>
    <row r="91" spans="2:2" x14ac:dyDescent="0.45">
      <c r="B91">
        <v>128</v>
      </c>
    </row>
    <row r="92" spans="2:2" x14ac:dyDescent="0.45">
      <c r="B92">
        <v>13</v>
      </c>
    </row>
    <row r="93" spans="2:2" x14ac:dyDescent="0.45">
      <c r="B93">
        <v>216</v>
      </c>
    </row>
    <row r="94" spans="2:2" x14ac:dyDescent="0.45">
      <c r="B94">
        <v>76</v>
      </c>
    </row>
    <row r="95" spans="2:2" x14ac:dyDescent="0.45">
      <c r="B95">
        <v>61</v>
      </c>
    </row>
    <row r="96" spans="2:2" x14ac:dyDescent="0.45">
      <c r="B96">
        <v>68</v>
      </c>
    </row>
    <row r="97" spans="2:2" x14ac:dyDescent="0.45">
      <c r="B97">
        <v>99</v>
      </c>
    </row>
    <row r="98" spans="2:2" x14ac:dyDescent="0.45">
      <c r="B98">
        <v>483</v>
      </c>
    </row>
    <row r="99" spans="2:2" x14ac:dyDescent="0.45">
      <c r="B99">
        <v>609</v>
      </c>
    </row>
    <row r="100" spans="2:2" x14ac:dyDescent="0.45">
      <c r="B100">
        <v>297</v>
      </c>
    </row>
    <row r="101" spans="2:2" x14ac:dyDescent="0.45">
      <c r="B101">
        <v>80</v>
      </c>
    </row>
    <row r="102" spans="2:2" x14ac:dyDescent="0.45">
      <c r="B102">
        <v>11</v>
      </c>
    </row>
    <row r="103" spans="2:2" x14ac:dyDescent="0.45">
      <c r="B103">
        <v>538</v>
      </c>
    </row>
    <row r="104" spans="2:2" x14ac:dyDescent="0.45">
      <c r="B104">
        <v>72</v>
      </c>
    </row>
    <row r="105" spans="2:2" x14ac:dyDescent="0.45">
      <c r="B105">
        <v>99</v>
      </c>
    </row>
    <row r="106" spans="2:2" x14ac:dyDescent="0.45">
      <c r="B106">
        <v>96</v>
      </c>
    </row>
    <row r="107" spans="2:2" x14ac:dyDescent="0.45">
      <c r="B107">
        <v>104</v>
      </c>
    </row>
    <row r="108" spans="2:2" x14ac:dyDescent="0.45">
      <c r="B108">
        <v>357</v>
      </c>
    </row>
    <row r="109" spans="2:2" x14ac:dyDescent="0.45">
      <c r="B109">
        <v>461</v>
      </c>
    </row>
    <row r="110" spans="2:2" x14ac:dyDescent="0.45">
      <c r="B110">
        <v>207</v>
      </c>
    </row>
    <row r="111" spans="2:2" x14ac:dyDescent="0.45">
      <c r="B111">
        <v>57</v>
      </c>
    </row>
    <row r="112" spans="2:2" x14ac:dyDescent="0.45">
      <c r="B112">
        <v>9</v>
      </c>
    </row>
    <row r="113" spans="2:2" x14ac:dyDescent="0.45">
      <c r="B113">
        <v>1068</v>
      </c>
    </row>
    <row r="114" spans="2:2" x14ac:dyDescent="0.45">
      <c r="B114">
        <v>131</v>
      </c>
    </row>
    <row r="115" spans="2:2" x14ac:dyDescent="0.45">
      <c r="B115">
        <v>131</v>
      </c>
    </row>
    <row r="116" spans="2:2" x14ac:dyDescent="0.45">
      <c r="B116">
        <v>87</v>
      </c>
    </row>
    <row r="117" spans="2:2" x14ac:dyDescent="0.45">
      <c r="B117">
        <v>95</v>
      </c>
    </row>
    <row r="118" spans="2:2" x14ac:dyDescent="0.45">
      <c r="B118">
        <v>85</v>
      </c>
    </row>
    <row r="119" spans="2:2" x14ac:dyDescent="0.45">
      <c r="B119">
        <v>208</v>
      </c>
    </row>
    <row r="120" spans="2:2" x14ac:dyDescent="0.45">
      <c r="B120">
        <v>155</v>
      </c>
    </row>
    <row r="121" spans="2:2" x14ac:dyDescent="0.45">
      <c r="B121">
        <v>33</v>
      </c>
    </row>
    <row r="122" spans="2:2" x14ac:dyDescent="0.45">
      <c r="B122">
        <v>7</v>
      </c>
    </row>
    <row r="123" spans="2:2" x14ac:dyDescent="0.45">
      <c r="B123">
        <v>1689</v>
      </c>
    </row>
    <row r="124" spans="2:2" x14ac:dyDescent="0.45">
      <c r="B124">
        <v>53</v>
      </c>
    </row>
    <row r="125" spans="2:2" x14ac:dyDescent="0.45">
      <c r="B125">
        <v>46</v>
      </c>
    </row>
    <row r="126" spans="2:2" x14ac:dyDescent="0.45">
      <c r="B126">
        <v>48</v>
      </c>
    </row>
    <row r="127" spans="2:2" x14ac:dyDescent="0.45">
      <c r="B127">
        <v>28</v>
      </c>
    </row>
    <row r="128" spans="2:2" x14ac:dyDescent="0.45">
      <c r="B128">
        <v>26</v>
      </c>
    </row>
    <row r="129" spans="2:2" x14ac:dyDescent="0.45">
      <c r="B129">
        <v>22</v>
      </c>
    </row>
    <row r="130" spans="2:2" x14ac:dyDescent="0.45">
      <c r="B130">
        <v>56</v>
      </c>
    </row>
    <row r="131" spans="2:2" x14ac:dyDescent="0.45">
      <c r="B131">
        <v>25</v>
      </c>
    </row>
    <row r="132" spans="2:2" x14ac:dyDescent="0.45">
      <c r="B132">
        <v>7</v>
      </c>
    </row>
    <row r="133" spans="2:2" x14ac:dyDescent="0.45">
      <c r="B133">
        <v>1940</v>
      </c>
    </row>
    <row r="134" spans="2:2" x14ac:dyDescent="0.45">
      <c r="B134">
        <v>20</v>
      </c>
    </row>
    <row r="135" spans="2:2" x14ac:dyDescent="0.45">
      <c r="B135">
        <v>8</v>
      </c>
    </row>
    <row r="136" spans="2:2" x14ac:dyDescent="0.45">
      <c r="B136">
        <v>2</v>
      </c>
    </row>
    <row r="137" spans="2:2" x14ac:dyDescent="0.45">
      <c r="B137">
        <v>8</v>
      </c>
    </row>
    <row r="138" spans="2:2" x14ac:dyDescent="0.45">
      <c r="B138">
        <v>7</v>
      </c>
    </row>
    <row r="139" spans="2:2" x14ac:dyDescent="0.45">
      <c r="B139">
        <v>2</v>
      </c>
    </row>
    <row r="140" spans="2:2" x14ac:dyDescent="0.45">
      <c r="B140">
        <v>2</v>
      </c>
    </row>
    <row r="141" spans="2:2" x14ac:dyDescent="0.45">
      <c r="B141">
        <v>5</v>
      </c>
    </row>
    <row r="142" spans="2:2" x14ac:dyDescent="0.45">
      <c r="B142">
        <v>6</v>
      </c>
    </row>
    <row r="143" spans="2:2" x14ac:dyDescent="0.45">
      <c r="B143">
        <v>1994</v>
      </c>
    </row>
    <row r="144" spans="2:2" x14ac:dyDescent="0.45">
      <c r="B144">
        <v>1</v>
      </c>
    </row>
    <row r="145" spans="2:2" x14ac:dyDescent="0.45">
      <c r="B145">
        <v>2</v>
      </c>
    </row>
    <row r="146" spans="2:2" x14ac:dyDescent="0.45">
      <c r="B146">
        <v>1</v>
      </c>
    </row>
    <row r="147" spans="2:2" x14ac:dyDescent="0.45">
      <c r="B147">
        <v>0</v>
      </c>
    </row>
    <row r="148" spans="2:2" x14ac:dyDescent="0.45">
      <c r="B148">
        <v>0</v>
      </c>
    </row>
    <row r="149" spans="2:2" x14ac:dyDescent="0.45">
      <c r="B149">
        <v>0</v>
      </c>
    </row>
    <row r="150" spans="2:2" x14ac:dyDescent="0.45">
      <c r="B150">
        <v>1</v>
      </c>
    </row>
    <row r="151" spans="2:2" x14ac:dyDescent="0.45">
      <c r="B151">
        <v>0</v>
      </c>
    </row>
    <row r="152" spans="2:2" x14ac:dyDescent="0.45">
      <c r="B152">
        <v>1</v>
      </c>
    </row>
    <row r="153" spans="2:2" x14ac:dyDescent="0.45">
      <c r="B153">
        <v>5</v>
      </c>
    </row>
    <row r="154" spans="2:2" x14ac:dyDescent="0.45">
      <c r="B154">
        <v>48</v>
      </c>
    </row>
    <row r="155" spans="2:2" x14ac:dyDescent="0.45">
      <c r="B155">
        <v>138</v>
      </c>
    </row>
    <row r="156" spans="2:2" x14ac:dyDescent="0.45">
      <c r="B156">
        <v>390</v>
      </c>
    </row>
    <row r="157" spans="2:2" x14ac:dyDescent="0.45">
      <c r="B157">
        <v>594</v>
      </c>
    </row>
    <row r="158" spans="2:2" x14ac:dyDescent="0.45">
      <c r="B158">
        <v>471</v>
      </c>
    </row>
    <row r="159" spans="2:2" x14ac:dyDescent="0.45">
      <c r="B159">
        <v>242</v>
      </c>
    </row>
    <row r="160" spans="2:2" x14ac:dyDescent="0.45">
      <c r="B160">
        <v>84</v>
      </c>
    </row>
    <row r="161" spans="2:2" x14ac:dyDescent="0.45">
      <c r="B161">
        <v>22</v>
      </c>
    </row>
    <row r="162" spans="2:2" x14ac:dyDescent="0.45">
      <c r="B162">
        <v>6</v>
      </c>
    </row>
    <row r="163" spans="2:2" x14ac:dyDescent="0.45">
      <c r="B163">
        <v>5</v>
      </c>
    </row>
    <row r="164" spans="2:2" x14ac:dyDescent="0.45">
      <c r="B164">
        <v>48</v>
      </c>
    </row>
    <row r="165" spans="2:2" x14ac:dyDescent="0.45">
      <c r="B165">
        <v>138</v>
      </c>
    </row>
    <row r="166" spans="2:2" x14ac:dyDescent="0.45">
      <c r="B166">
        <v>390</v>
      </c>
    </row>
    <row r="167" spans="2:2" x14ac:dyDescent="0.45">
      <c r="B167">
        <v>594</v>
      </c>
    </row>
    <row r="168" spans="2:2" x14ac:dyDescent="0.45">
      <c r="B168">
        <v>471</v>
      </c>
    </row>
    <row r="169" spans="2:2" x14ac:dyDescent="0.45">
      <c r="B169">
        <v>242</v>
      </c>
    </row>
    <row r="170" spans="2:2" x14ac:dyDescent="0.45">
      <c r="B170">
        <v>84</v>
      </c>
    </row>
    <row r="171" spans="2:2" x14ac:dyDescent="0.45">
      <c r="B171">
        <v>22</v>
      </c>
    </row>
    <row r="172" spans="2:2" x14ac:dyDescent="0.45">
      <c r="B172">
        <v>6</v>
      </c>
    </row>
    <row r="173" spans="2:2" x14ac:dyDescent="0.45">
      <c r="B173">
        <v>7</v>
      </c>
    </row>
    <row r="174" spans="2:2" x14ac:dyDescent="0.45">
      <c r="B174">
        <v>51</v>
      </c>
    </row>
    <row r="175" spans="2:2" x14ac:dyDescent="0.45">
      <c r="B175">
        <v>179</v>
      </c>
    </row>
    <row r="176" spans="2:2" x14ac:dyDescent="0.45">
      <c r="B176">
        <v>262</v>
      </c>
    </row>
    <row r="177" spans="2:2" x14ac:dyDescent="0.45">
      <c r="B177">
        <v>381</v>
      </c>
    </row>
    <row r="178" spans="2:2" x14ac:dyDescent="0.45">
      <c r="B178">
        <v>541</v>
      </c>
    </row>
    <row r="179" spans="2:2" x14ac:dyDescent="0.45">
      <c r="B179">
        <v>372</v>
      </c>
    </row>
    <row r="180" spans="2:2" x14ac:dyDescent="0.45">
      <c r="B180">
        <v>166</v>
      </c>
    </row>
    <row r="181" spans="2:2" x14ac:dyDescent="0.45">
      <c r="B181">
        <v>33</v>
      </c>
    </row>
    <row r="182" spans="2:2" x14ac:dyDescent="0.45">
      <c r="B182">
        <v>8</v>
      </c>
    </row>
    <row r="183" spans="2:2" x14ac:dyDescent="0.45">
      <c r="B183">
        <v>122</v>
      </c>
    </row>
    <row r="184" spans="2:2" x14ac:dyDescent="0.45">
      <c r="B184">
        <v>255</v>
      </c>
    </row>
    <row r="185" spans="2:2" x14ac:dyDescent="0.45">
      <c r="B185">
        <v>331</v>
      </c>
    </row>
    <row r="186" spans="2:2" x14ac:dyDescent="0.45">
      <c r="B186">
        <v>369</v>
      </c>
    </row>
    <row r="187" spans="2:2" x14ac:dyDescent="0.45">
      <c r="B187">
        <v>290</v>
      </c>
    </row>
    <row r="188" spans="2:2" x14ac:dyDescent="0.45">
      <c r="B188">
        <v>271</v>
      </c>
    </row>
    <row r="189" spans="2:2" x14ac:dyDescent="0.45">
      <c r="B189">
        <v>184</v>
      </c>
    </row>
    <row r="190" spans="2:2" x14ac:dyDescent="0.45">
      <c r="B190">
        <v>105</v>
      </c>
    </row>
    <row r="191" spans="2:2" x14ac:dyDescent="0.45">
      <c r="B191">
        <v>56</v>
      </c>
    </row>
    <row r="192" spans="2:2" x14ac:dyDescent="0.45">
      <c r="B192">
        <v>17</v>
      </c>
    </row>
    <row r="193" spans="2:2" x14ac:dyDescent="0.45">
      <c r="B193">
        <v>125</v>
      </c>
    </row>
    <row r="194" spans="2:2" x14ac:dyDescent="0.45">
      <c r="B194">
        <v>240</v>
      </c>
    </row>
    <row r="195" spans="2:2" x14ac:dyDescent="0.45">
      <c r="B195">
        <v>337</v>
      </c>
    </row>
    <row r="196" spans="2:2" x14ac:dyDescent="0.45">
      <c r="B196">
        <v>360</v>
      </c>
    </row>
    <row r="197" spans="2:2" x14ac:dyDescent="0.45">
      <c r="B197">
        <v>303</v>
      </c>
    </row>
    <row r="198" spans="2:2" x14ac:dyDescent="0.45">
      <c r="B198">
        <v>248</v>
      </c>
    </row>
    <row r="199" spans="2:2" x14ac:dyDescent="0.45">
      <c r="B199">
        <v>201</v>
      </c>
    </row>
    <row r="200" spans="2:2" x14ac:dyDescent="0.45">
      <c r="B200">
        <v>103</v>
      </c>
    </row>
    <row r="201" spans="2:2" x14ac:dyDescent="0.45">
      <c r="B201">
        <v>61</v>
      </c>
    </row>
    <row r="202" spans="2:2" x14ac:dyDescent="0.45">
      <c r="B202">
        <v>22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r:ModelRisk xmlns:mr="ModelRisk">
  <mr:Charts xmlns:mr="ModelRisk" enc="base64" len="716">PABGAEkATABUAEUAUgBTAD4ADQAKADwALwBDAE4AVAA6ADAADQAKAEYASQBMAFQARQBSAFMAPgANAAoAPABQAEEARwBFAFMAPgANAAoAQwBOAFQAOgAxAA0ACgBDAFUAUgBQAEEARwBFADoAMAANAAoATgA6ADEADQAKAFQAWQBQAEUAOgAyAA0ACgBOAE0AOgBIAGkAcwB0AG8AZwByAGEAbQANAAoAUwBJAE0ASQBEADoAMAANAAoAUwBFAEwAUwA6ADAADQAKAEMAVQBSAFMARQBMADoAMAANAAoAPABPAFAAVABJAE8ATgBTAD4ADQAKAEMATgBUADoAOAANAAoATgBNADoAQwBoAGEAcgB0AF8AVABpAHQAbABlAA0ACgBUAFAAOgAyAA0ACgBWAEEATAA6AA0ACgBOAE0AOgBzAGwAaQBkAGUAcgBzAA0ACgBUAFAAOgAwAA0ACgBWAEEATAA6ADEADQAKAE4ATQA6AHMAbABpAGQAZQByAHMAXwBjAHUAbQB1AGwADQAKAFQAUAA6ADAADQAKAFYAQQBMADoAMAANAAoATgBNADoAbABlAGcAZQBuAGQADQAKAFQAUAA6ADAADQAKAFYAQQBMADoAMAANAAoATgBNADoATgBCAGEAcgBzAA0ACgBUAFAAOgAwAA0ACgBWAEEATAA6AC0AMQANAAoATgBNADoATABpAG4AZQBzAA0ACgBUAFAAOgAwAA0ACgBWAEEATAA6ADAADQAKAE4ATQA6AFkATABhAGIAZQBsAA0ACgBUAFAAOgAyAA0ACgBWAEEATAA6AA0ACgBOAE0AOgBPAHYAZQByAGwAYQB5AFYAYQByAHMADQAKAFQAUAA6ADAADQAKAFYAQQBMADoAMwANAAoAPAAvAE8AUABUAEkATwBOAFMAPgANAAoAPAAvAFAAQQBHAEUAUwA+AA0ACgA=</mr:Charts>
</mr:ModelRisk>
</file>

<file path=customXml/itemProps1.xml><?xml version="1.0" encoding="utf-8"?>
<ds:datastoreItem xmlns:ds="http://schemas.openxmlformats.org/officeDocument/2006/customXml" ds:itemID="{8F734246-676D-4820-932C-BDF46BEB3A53}">
  <ds:schemaRefs>
    <ds:schemaRef ds:uri="ModelRisk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54</vt:i4>
      </vt:variant>
    </vt:vector>
  </HeadingPairs>
  <TitlesOfParts>
    <vt:vector size="62" baseType="lpstr">
      <vt:lpstr>Описание</vt:lpstr>
      <vt:lpstr>Исходные данные</vt:lpstr>
      <vt:lpstr>История</vt:lpstr>
      <vt:lpstr>Прогноз</vt:lpstr>
      <vt:lpstr>Результаты</vt:lpstr>
      <vt:lpstr>ModelRiskDSN</vt:lpstr>
      <vt:lpstr>ModelRiskSYS1</vt:lpstr>
      <vt:lpstr>ModelRiskCharts</vt:lpstr>
      <vt:lpstr>Checks</vt:lpstr>
      <vt:lpstr>DaysPerMonth</vt:lpstr>
      <vt:lpstr>Decline</vt:lpstr>
      <vt:lpstr>Det_Remaining</vt:lpstr>
      <vt:lpstr>EconLimit</vt:lpstr>
      <vt:lpstr>FirstForecastYear</vt:lpstr>
      <vt:lpstr>Fit_Cov</vt:lpstr>
      <vt:lpstr>Fit_Decline</vt:lpstr>
      <vt:lpstr>Fit_DeclineYr</vt:lpstr>
      <vt:lpstr>Fit_EndRate</vt:lpstr>
      <vt:lpstr>Fit_Intercept</vt:lpstr>
      <vt:lpstr>Fit_MeanMonth</vt:lpstr>
      <vt:lpstr>Fit_Means</vt:lpstr>
      <vt:lpstr>Fit_R2</vt:lpstr>
      <vt:lpstr>Fit_SE_Int</vt:lpstr>
      <vt:lpstr>Fit_SE_Slope</vt:lpstr>
      <vt:lpstr>Fit_SEy</vt:lpstr>
      <vt:lpstr>Fit_Slope</vt:lpstr>
      <vt:lpstr>Fit_StartRate</vt:lpstr>
      <vt:lpstr>Fit_StopRate</vt:lpstr>
      <vt:lpstr>ForecastYears</vt:lpstr>
      <vt:lpstr>Hist_Cum</vt:lpstr>
      <vt:lpstr>Hist_LastMonth</vt:lpstr>
      <vt:lpstr>Hist_LnRate</vt:lpstr>
      <vt:lpstr>Hist_Month</vt:lpstr>
      <vt:lpstr>Hist_Rate</vt:lpstr>
      <vt:lpstr>InputMeans</vt:lpstr>
      <vt:lpstr>Line_Int</vt:lpstr>
      <vt:lpstr>Line_Slope</vt:lpstr>
      <vt:lpstr>MN_Int</vt:lpstr>
      <vt:lpstr>MN_Slope</vt:lpstr>
      <vt:lpstr>Results!Print_Area</vt:lpstr>
      <vt:lpstr>Forecast!Print_Titles</vt:lpstr>
      <vt:lpstr>History!Print_Titles</vt:lpstr>
      <vt:lpstr>Inputs!Print_Titles</vt:lpstr>
      <vt:lpstr>Results!Print_Titles</vt:lpstr>
      <vt:lpstr>Prob_WBT</vt:lpstr>
      <vt:lpstr>Remaining</vt:lpstr>
      <vt:lpstr>RemainingLife</vt:lpstr>
      <vt:lpstr>StartRate</vt:lpstr>
      <vt:lpstr>UltimateRecovery</vt:lpstr>
      <vt:lpstr>UseFitUncertainty</vt:lpstr>
      <vt:lpstr>WBT_Factor</vt:lpstr>
      <vt:lpstr>WBT_Factor_Hi</vt:lpstr>
      <vt:lpstr>WBT_Factor_Lo</vt:lpstr>
      <vt:lpstr>WBT_Factor_Mean</vt:lpstr>
      <vt:lpstr>WBT_Factor_ML</vt:lpstr>
      <vt:lpstr>WBT_From</vt:lpstr>
      <vt:lpstr>WBT_Occurs</vt:lpstr>
      <vt:lpstr>WBT_Time</vt:lpstr>
      <vt:lpstr>WBT_Time_Hi</vt:lpstr>
      <vt:lpstr>WBT_Time_Lo</vt:lpstr>
      <vt:lpstr>WBT_Time_Mean</vt:lpstr>
      <vt:lpstr>WBT_Time_ML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OG-03 Прогноз добычи с неопределенностью кривой падения</dc:title>
  <dc:subject>Отраслевые примеры моделей МоделРиск — Нефть и газ</dc:subject>
  <dc:creator>ООО «Стратегия Риска»</dc:creator>
  <cp:keywords>МоделРиск; Монте-Карло; нефть и газ</cp:keywords>
  <dc:description>Прогноз добычи действующей скважины по кривой падения с неопределенностью параметров регрессии и риском прорыва воды.</dc:description>
  <cp:lastModifiedBy>ООО «Стратегия Риска»</cp:lastModifiedBy>
  <cp:lastPrinted>2026-10-05T16:42:16Z</cp:lastPrinted>
  <dcterms:created xsi:type="dcterms:W3CDTF">2026-10-05T16:38:09Z</dcterms:created>
  <dcterms:modified xsi:type="dcterms:W3CDTF">2026-10-05T16:42:18Z</dcterms:modified>
</cp:coreProperties>
</file>