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xr:revisionPtr revIDLastSave="0" documentId="8_{D0D71072-08EE-4646-877C-CCAC632E83E4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Описание" sheetId="1" r:id="rId1"/>
    <sheet name="Исходные данные" sheetId="2" r:id="rId2"/>
    <sheet name="Исходы" sheetId="3" r:id="rId3"/>
    <sheet name="Результаты" sheetId="4" r:id="rId4"/>
    <sheet name="ModelRiskDSN" sheetId="5" state="hidden" r:id="rId5"/>
    <sheet name="ModelRiskSYS1" sheetId="6" state="hidden" r:id="rId6"/>
    <sheet name="ModelRiskCharts" sheetId="7" state="hidden" r:id="rId7"/>
  </sheets>
  <definedNames>
    <definedName name="AnySuccess">'Исходы'!$D$24</definedName>
    <definedName name="BothSuccess">'Исходы'!$D$25</definedName>
    <definedName name="BreakEven">'Исходы'!$D$34</definedName>
    <definedName name="Chance_Charge">'Исходные данные'!$D$11</definedName>
    <definedName name="Chance_L_Res">'Исходные данные'!$D$23</definedName>
    <definedName name="Chance_L_Trap">'Исходные данные'!$D$24</definedName>
    <definedName name="Chance_U_Res">'Исходные данные'!$D$16</definedName>
    <definedName name="Chance_U_Trap">'Исходные данные'!$D$17</definedName>
    <definedName name="Charge">'Исходы'!$D$19</definedName>
    <definedName name="Cost_Well">'Исходные данные'!$D$30</definedName>
    <definedName name="Cost_Well_Hi">'Исходные данные'!$H$30</definedName>
    <definedName name="Cost_Well_Lo">'Исходные данные'!$F$30</definedName>
    <definedName name="Cost_Well_Mean">'Исходные данные'!$I$30</definedName>
    <definedName name="Cost_Well_ML">'Исходные данные'!$G$30</definedName>
    <definedName name="InputMeans">'Исходные данные'!$I$18:$I$31</definedName>
    <definedName name="L_Local">'Исходы'!$D$21</definedName>
    <definedName name="L_Success">'Исходы'!$D$23</definedName>
    <definedName name="Outcome">'Исходы'!$D$26</definedName>
    <definedName name="P_Any">'Исходы'!$D$13</definedName>
    <definedName name="P_Any_Indep">'Исходы'!$E$13</definedName>
    <definedName name="P_Both">'Исходы'!$D$14</definedName>
    <definedName name="P_Both_Indep">'Исходы'!$E$14</definedName>
    <definedName name="P_L">'Исходы'!$D$12</definedName>
    <definedName name="P_L_Indep">'Исходы'!$E$12</definedName>
    <definedName name="P_L_Own">'Исходы'!$D$10</definedName>
    <definedName name="P_L_Own_Indep">'Исходы'!$E$10</definedName>
    <definedName name="P_U">'Исходы'!$D$11</definedName>
    <definedName name="P_U_Indep">'Исходы'!$E$11</definedName>
    <definedName name="P_U_Own">'Исходы'!$D$9</definedName>
    <definedName name="P_U_Own_Indep">'Исходы'!$E$9</definedName>
    <definedName name="_xlnm.Print_Area" localSheetId="3">'Результаты'!$A$1:$R$43</definedName>
    <definedName name="_xlnm.Print_Titles" localSheetId="1">'Исходные данные'!$1:$4</definedName>
    <definedName name="_xlnm.Print_Titles" localSheetId="2">'Исходы'!$1:$4</definedName>
    <definedName name="_xlnm.Print_Titles" localSheetId="3">'Результаты'!$1:$4</definedName>
    <definedName name="SimOpt_AccountDomain" hidden="1">""</definedName>
    <definedName name="SimOpt_AccountName" hidden="1">""</definedName>
    <definedName name="SimOpt_AccountPassword" hidden="1">""</definedName>
    <definedName name="SimOpt_CheckPrecisionAfter" hidden="1">10</definedName>
    <definedName name="SimOpt_GotoSample" hidden="1">0</definedName>
    <definedName name="SimOpt_Macros0" hidden="1">""</definedName>
    <definedName name="SimOpt_Macros1" hidden="1">""</definedName>
    <definedName name="SimOpt_Macros2" hidden="1">""</definedName>
    <definedName name="SimOpt_Macros3" hidden="1">""</definedName>
    <definedName name="SimOpt_MacrosUsage" hidden="1">0</definedName>
    <definedName name="SimOpt_MinSimBufferSize" hidden="1">0</definedName>
    <definedName name="SimOpt_RefreshExcel" hidden="1">0</definedName>
    <definedName name="SimOpt_RefreshRate" hidden="1">1</definedName>
    <definedName name="SimOpt_SamplesCount" hidden="1">10000</definedName>
    <definedName name="SimOpt_Seed0" hidden="1">1</definedName>
    <definedName name="SimOpt_SeedFixed" hidden="1">1</definedName>
    <definedName name="SimOpt_SeedMultiplyType" hidden="1">0</definedName>
    <definedName name="SimOpt_ServerAddress" hidden="1">""</definedName>
    <definedName name="SimOpt_ShowResultsAtEnd" hidden="1">1</definedName>
    <definedName name="SimOpt_ShowSparklines" hidden="1">0</definedName>
    <definedName name="SimOpt_SimsCount" hidden="1">1</definedName>
    <definedName name="SimOpt_SkipTurboConsistency" hidden="1">0</definedName>
    <definedName name="SimOpt_StopOnOutputError" hidden="1">0</definedName>
    <definedName name="SimOpt_TurboParityChecked" hidden="1">0</definedName>
    <definedName name="SimOpt_UploadEnabled" hidden="1">0</definedName>
    <definedName name="SimOpt_UploadModel" hidden="1">0</definedName>
    <definedName name="SimOpt_UploadProfile" hidden="1">"MODELRISK"</definedName>
    <definedName name="SimOpt_UploadRemotely" hidden="1">0</definedName>
    <definedName name="SimOpt_UseTurboByDefault" hidden="1">0</definedName>
    <definedName name="U_Local">'Исходы'!$D$20</definedName>
    <definedName name="U_Success">'Исходы'!$D$22</definedName>
    <definedName name="Value">'Исходы'!$D$33</definedName>
    <definedName name="ValuePerBbl">'Исходные данные'!$D$31</definedName>
    <definedName name="ValuePerBbl_Hi">'Исходные данные'!$H$31</definedName>
    <definedName name="ValuePerBbl_Lo">'Исходные данные'!$F$31</definedName>
    <definedName name="ValuePerBbl_Mean">'Исходные данные'!$I$31</definedName>
    <definedName name="ValuePerBbl_ML">'Исходные данные'!$G$31</definedName>
    <definedName name="Vol_L">'Исходные данные'!$D$25</definedName>
    <definedName name="Vol_L_Hi">'Исходные данные'!$H$25</definedName>
    <definedName name="Vol_L_Lo">'Исходные данные'!$F$25</definedName>
    <definedName name="Vol_L_Mean">'Исходные данные'!$I$25</definedName>
    <definedName name="Vol_U">'Исходные данные'!$D$18</definedName>
    <definedName name="Vol_U_Hi">'Исходные данные'!$H$18</definedName>
    <definedName name="Vol_U_Lo">'Исходные данные'!$F$18</definedName>
    <definedName name="Vol_U_Mean">'Исходные данные'!$I$18</definedName>
    <definedName name="Volume">'Исходы'!$D$32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8" i="4" l="1"/>
  <c r="C97" i="4"/>
  <c r="C96" i="4"/>
  <c r="C95" i="4"/>
  <c r="C94" i="4"/>
  <c r="C93" i="4"/>
  <c r="C92" i="4"/>
  <c r="C91" i="4"/>
  <c r="C90" i="4"/>
  <c r="C89" i="4"/>
  <c r="C88" i="4"/>
  <c r="C87" i="4"/>
  <c r="C86" i="4"/>
  <c r="C85" i="4"/>
  <c r="C84" i="4"/>
  <c r="C83" i="4"/>
  <c r="C82" i="4"/>
  <c r="C81" i="4"/>
  <c r="C80" i="4"/>
  <c r="C79" i="4"/>
  <c r="C78" i="4"/>
  <c r="C77" i="4"/>
  <c r="C76" i="4"/>
  <c r="C75" i="4"/>
  <c r="C74" i="4"/>
  <c r="C73" i="4"/>
  <c r="C72" i="4"/>
  <c r="C71" i="4"/>
  <c r="C70" i="4"/>
  <c r="C69" i="4"/>
  <c r="C68" i="4"/>
  <c r="C67" i="4"/>
  <c r="C66" i="4"/>
  <c r="C65" i="4"/>
  <c r="C64" i="4"/>
  <c r="C63" i="4"/>
  <c r="C62" i="4"/>
  <c r="C61" i="4"/>
  <c r="C60" i="4"/>
  <c r="C59" i="4"/>
  <c r="C58" i="4"/>
  <c r="C57" i="4"/>
  <c r="C56" i="4"/>
  <c r="C55" i="4"/>
  <c r="C54" i="4"/>
  <c r="C53" i="4"/>
  <c r="C52" i="4"/>
  <c r="C51" i="4"/>
  <c r="C50" i="4"/>
  <c r="C49" i="4"/>
  <c r="E10" i="3"/>
  <c r="D10" i="3"/>
  <c r="E12" i="3" s="1"/>
  <c r="E12" i="4" s="1"/>
  <c r="E9" i="3"/>
  <c r="D9" i="3"/>
  <c r="D11" i="3" s="1"/>
  <c r="D11" i="4" s="1"/>
  <c r="D19" i="3" a="1"/>
  <c r="D21" i="3" a="1"/>
  <c r="D20" i="3" a="1"/>
  <c r="D18" i="2" a="1"/>
  <c r="D30" i="2" a="1"/>
  <c r="I25" i="2" a="1"/>
  <c r="I31" i="2" a="1"/>
  <c r="D25" i="2" a="1"/>
  <c r="D31" i="2" a="1"/>
  <c r="I30" i="2" a="1"/>
  <c r="I18" i="2" a="1"/>
  <c r="D20" i="3" l="1"/>
  <c r="D21" i="3"/>
  <c r="D19" i="3"/>
  <c r="E11" i="3"/>
  <c r="E11" i="4" s="1"/>
  <c r="D12" i="3"/>
  <c r="D14" i="3"/>
  <c r="D14" i="4" s="1"/>
  <c r="D13" i="3"/>
  <c r="D13" i="4" s="1"/>
  <c r="I18" i="2"/>
  <c r="I30" i="2"/>
  <c r="D31" i="2"/>
  <c r="D25" i="2"/>
  <c r="I31" i="2"/>
  <c r="I25" i="2"/>
  <c r="D30" i="2"/>
  <c r="D18" i="2"/>
  <c r="E14" i="3" l="1"/>
  <c r="E14" i="4" s="1"/>
  <c r="D12" i="4"/>
  <c r="B42" i="4"/>
  <c r="D35" i="4"/>
  <c r="D34" i="3"/>
  <c r="D23" i="3"/>
  <c r="D22" i="3"/>
  <c r="E13" i="3"/>
  <c r="E13" i="4" s="1"/>
  <c r="F12" i="4" a="1"/>
  <c r="F11" i="4" a="1"/>
  <c r="F11" i="4" l="1"/>
  <c r="F12" i="4"/>
  <c r="D32" i="3" a="1"/>
  <c r="D32" i="3" s="1"/>
  <c r="D25" i="3" a="1"/>
  <c r="D25" i="3" s="1"/>
  <c r="D24" i="3" a="1"/>
  <c r="D24" i="3" s="1"/>
  <c r="D26" i="3" a="1"/>
  <c r="D26" i="3" s="1"/>
  <c r="F14" i="4" a="1"/>
  <c r="F13" i="4" a="1"/>
  <c r="D31" i="4" a="1"/>
  <c r="D103" i="4" a="1"/>
  <c r="D101" i="4" a="1"/>
  <c r="D102" i="4" a="1"/>
  <c r="E80" i="4" a="1"/>
  <c r="E79" i="4" a="1"/>
  <c r="E53" i="4" a="1"/>
  <c r="E77" i="4" a="1"/>
  <c r="E69" i="4" a="1"/>
  <c r="E89" i="4" a="1"/>
  <c r="E62" i="4" a="1"/>
  <c r="E78" i="4" a="1"/>
  <c r="E94" i="4" a="1"/>
  <c r="E49" i="4" a="1"/>
  <c r="E96" i="4" a="1"/>
  <c r="E51" i="4" a="1"/>
  <c r="E73" i="4" a="1"/>
  <c r="E93" i="4" a="1"/>
  <c r="E66" i="4" a="1"/>
  <c r="E82" i="4" a="1"/>
  <c r="E98" i="4" a="1"/>
  <c r="E55" i="4" a="1"/>
  <c r="E97" i="4" a="1"/>
  <c r="E68" i="4" a="1"/>
  <c r="E84" i="4" a="1"/>
  <c r="E61" i="4" a="1"/>
  <c r="E59" i="4" a="1"/>
  <c r="E71" i="4" a="1"/>
  <c r="E56" i="4" a="1"/>
  <c r="E81" i="4" a="1"/>
  <c r="E52" i="4" a="1"/>
  <c r="E70" i="4" a="1"/>
  <c r="E86" i="4" a="1"/>
  <c r="E67" i="4" a="1"/>
  <c r="E65" i="4" a="1"/>
  <c r="E91" i="4" a="1"/>
  <c r="E72" i="4" a="1"/>
  <c r="E75" i="4" a="1"/>
  <c r="E57" i="4" a="1"/>
  <c r="E85" i="4" a="1"/>
  <c r="E58" i="4" a="1"/>
  <c r="E74" i="4" a="1"/>
  <c r="E90" i="4" a="1"/>
  <c r="E95" i="4" a="1"/>
  <c r="E64" i="4" a="1"/>
  <c r="E50" i="4" a="1"/>
  <c r="E83" i="4" a="1"/>
  <c r="E54" i="4" a="1"/>
  <c r="E88" i="4" a="1"/>
  <c r="E63" i="4" a="1"/>
  <c r="E87" i="4" a="1"/>
  <c r="E60" i="4" a="1"/>
  <c r="E76" i="4" a="1"/>
  <c r="E92" i="4" a="1"/>
  <c r="D30" i="4" a="1"/>
  <c r="D30" i="4" l="1"/>
  <c r="E92" i="4"/>
  <c r="E76" i="4"/>
  <c r="E60" i="4"/>
  <c r="E87" i="4"/>
  <c r="E63" i="4"/>
  <c r="E88" i="4"/>
  <c r="E54" i="4"/>
  <c r="E83" i="4"/>
  <c r="E50" i="4"/>
  <c r="E64" i="4"/>
  <c r="E95" i="4"/>
  <c r="E90" i="4"/>
  <c r="E74" i="4"/>
  <c r="E58" i="4"/>
  <c r="E85" i="4"/>
  <c r="E57" i="4"/>
  <c r="E75" i="4"/>
  <c r="E72" i="4"/>
  <c r="E91" i="4"/>
  <c r="E65" i="4"/>
  <c r="E67" i="4"/>
  <c r="E86" i="4"/>
  <c r="E70" i="4"/>
  <c r="E52" i="4"/>
  <c r="E81" i="4"/>
  <c r="E56" i="4"/>
  <c r="E71" i="4"/>
  <c r="E59" i="4"/>
  <c r="E61" i="4"/>
  <c r="E84" i="4"/>
  <c r="E68" i="4"/>
  <c r="E97" i="4"/>
  <c r="E55" i="4"/>
  <c r="E98" i="4"/>
  <c r="E82" i="4"/>
  <c r="E66" i="4"/>
  <c r="E93" i="4"/>
  <c r="E73" i="4"/>
  <c r="E51" i="4"/>
  <c r="E96" i="4"/>
  <c r="E49" i="4"/>
  <c r="E94" i="4"/>
  <c r="E78" i="4"/>
  <c r="E62" i="4"/>
  <c r="E89" i="4"/>
  <c r="E69" i="4"/>
  <c r="E77" i="4"/>
  <c r="E53" i="4"/>
  <c r="E79" i="4"/>
  <c r="E80" i="4"/>
  <c r="D102" i="4"/>
  <c r="D101" i="4"/>
  <c r="D19" i="4" s="1"/>
  <c r="D103" i="4"/>
  <c r="D31" i="4"/>
  <c r="D33" i="4" s="1"/>
  <c r="F13" i="4"/>
  <c r="F14" i="4"/>
  <c r="D33" i="3" a="1"/>
  <c r="D33" i="3" s="1"/>
  <c r="D27" i="3"/>
  <c r="D90" i="4" a="1"/>
  <c r="D58" i="4" a="1"/>
  <c r="D95" i="4" a="1"/>
  <c r="D29" i="4" a="1"/>
  <c r="D72" i="4" a="1"/>
  <c r="D86" i="4" a="1"/>
  <c r="D91" i="4" a="1"/>
  <c r="D68" i="4" a="1"/>
  <c r="D82" i="4" a="1"/>
  <c r="D50" i="4" a="1"/>
  <c r="D87" i="4" a="1"/>
  <c r="D92" i="4" a="1"/>
  <c r="D76" i="4" a="1"/>
  <c r="D60" i="4" a="1"/>
  <c r="D97" i="4" a="1"/>
  <c r="D81" i="4" a="1"/>
  <c r="D65" i="4" a="1"/>
  <c r="D49" i="4" a="1"/>
  <c r="D28" i="4" a="1"/>
  <c r="D93" i="4" a="1"/>
  <c r="D75" i="4" a="1"/>
  <c r="D52" i="4" a="1"/>
  <c r="D79" i="4" a="1"/>
  <c r="D56" i="4" a="1"/>
  <c r="D77" i="4" a="1"/>
  <c r="D54" i="4" a="1"/>
  <c r="D59" i="4" a="1"/>
  <c r="D66" i="4" a="1"/>
  <c r="D55" i="4" a="1"/>
  <c r="B6" i="4" a="1"/>
  <c r="D69" i="4" a="1"/>
  <c r="D53" i="4" a="1"/>
  <c r="D74" i="4" a="1"/>
  <c r="D63" i="4" a="1"/>
  <c r="D88" i="4" a="1"/>
  <c r="D61" i="4" a="1"/>
  <c r="D70" i="4" a="1"/>
  <c r="D84" i="4" a="1"/>
  <c r="D89" i="4" a="1"/>
  <c r="D73" i="4" a="1"/>
  <c r="D57" i="4" a="1"/>
  <c r="D98" i="4" a="1"/>
  <c r="D71" i="4" a="1"/>
  <c r="D96" i="4" a="1"/>
  <c r="D80" i="4" a="1"/>
  <c r="D64" i="4" a="1"/>
  <c r="D85" i="4" a="1"/>
  <c r="D94" i="4" a="1"/>
  <c r="D78" i="4" a="1"/>
  <c r="D62" i="4" a="1"/>
  <c r="D34" i="4" a="1"/>
  <c r="D83" i="4" a="1"/>
  <c r="D67" i="4" a="1"/>
  <c r="D51" i="4" a="1"/>
  <c r="D20" i="4" l="1"/>
  <c r="D51" i="4"/>
  <c r="D67" i="4"/>
  <c r="D83" i="4"/>
  <c r="D34" i="4"/>
  <c r="D62" i="4"/>
  <c r="D78" i="4"/>
  <c r="D94" i="4"/>
  <c r="D85" i="4"/>
  <c r="D64" i="4"/>
  <c r="D80" i="4"/>
  <c r="D96" i="4"/>
  <c r="D71" i="4"/>
  <c r="D98" i="4"/>
  <c r="D57" i="4"/>
  <c r="D73" i="4"/>
  <c r="D89" i="4"/>
  <c r="D84" i="4"/>
  <c r="D70" i="4"/>
  <c r="D61" i="4"/>
  <c r="D88" i="4"/>
  <c r="D63" i="4"/>
  <c r="D74" i="4"/>
  <c r="D53" i="4"/>
  <c r="D69" i="4"/>
  <c r="B6" i="4"/>
  <c r="D55" i="4"/>
  <c r="D66" i="4"/>
  <c r="D59" i="4"/>
  <c r="D54" i="4"/>
  <c r="D77" i="4"/>
  <c r="D56" i="4"/>
  <c r="D79" i="4"/>
  <c r="D52" i="4"/>
  <c r="D75" i="4"/>
  <c r="D93" i="4"/>
  <c r="D28" i="4"/>
  <c r="D36" i="4" s="1"/>
  <c r="D49" i="4"/>
  <c r="D65" i="4"/>
  <c r="D81" i="4"/>
  <c r="D97" i="4"/>
  <c r="D60" i="4"/>
  <c r="D76" i="4"/>
  <c r="D92" i="4"/>
  <c r="D87" i="4"/>
  <c r="D50" i="4"/>
  <c r="D82" i="4"/>
  <c r="D68" i="4"/>
  <c r="D91" i="4"/>
  <c r="D86" i="4"/>
  <c r="D72" i="4"/>
  <c r="D29" i="4"/>
  <c r="D95" i="4"/>
  <c r="D58" i="4"/>
  <c r="D90" i="4"/>
  <c r="D32" i="4"/>
  <c r="D21" i="4"/>
  <c r="D22" i="4"/>
  <c r="D23" i="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<sst xmlns="http://schemas.openxmlformats.org/spreadsheetml/2006/main" count="322" uniqueCount="225">
  <si>
    <t xml:space="preserve">Вероятность успеха при общем риске</t>
  </si>
  <si>
    <t xml:space="preserve">Пример МоделРиск  ·  Нефть и газ  ·  OG-02</t>
  </si>
  <si>
    <t xml:space="preserve">Одна скважина, две залегающие друг над другом цели с общей нефтематеринской породой.  Каковы реальные шансы на успех и сколько стоит скважина?</t>
  </si>
  <si>
    <t xml:space="preserve">Далее:  Исходные данные  ▸</t>
  </si>
  <si>
    <t xml:space="preserve">Карточка модели</t>
  </si>
  <si>
    <t xml:space="preserve">Отрасль</t>
  </si>
  <si>
    <t xml:space="preserve">Нефть и газ</t>
  </si>
  <si>
    <t xml:space="preserve">Сложность</t>
  </si>
  <si>
    <t xml:space="preserve">★★☆☆☆   Зависимые геологические факторы: один общий риск и два независимых, объемы и ценность с учетом риска.</t>
  </si>
  <si>
    <t xml:space="preserve">Вопрос бизнеса</t>
  </si>
  <si>
    <t xml:space="preserve">Скважина «Лунь» проверяет две залегающие друг над другом цели, которые зависят от одной нефтематеринской породы. Какова вероятность найти нефть хотя бы в одной цели, в обеих и какова ожидаемая ценность бурения?</t>
  </si>
  <si>
    <t xml:space="preserve">Для кого</t>
  </si>
  <si>
    <t xml:space="preserve">Специалистам по оценке перспективных объектов, руководителям геологоразведки и всем, кто объединяет геологические вероятности для нескольких целей или объектов.</t>
  </si>
  <si>
    <t xml:space="preserve">Основные результаты</t>
  </si>
  <si>
    <t xml:space="preserve">Вероятность успеха по каждой цели, хотя бы одного открытия и обеих · вероятности исходов · объем с учетом риска · ожидаемая ценность скважины.</t>
  </si>
  <si>
    <t xml:space="preserve">Приемы МоделРиск</t>
  </si>
  <si>
    <t xml:space="preserve">Испытания Бернулли для общих и независимых рисков · логнормальные объемы при успехе по P90 и P10 · ценность с учетом риска · сравнение смоделированных и аналитических вероятностей.</t>
  </si>
  <si>
    <t xml:space="preserve">Файл</t>
  </si>
  <si>
    <t xml:space="preserve">OG-02 Вероятность успеха при общем риске  ·  Версия 1.0  ·  Ноябрь 2026  ·  создано в МоделРиск</t>
  </si>
  <si>
    <t xml:space="preserve">Вопрос бизнеса</t>
  </si>
  <si>
    <t xml:space="preserve">Поисковая скважина «Лунь» проверит две залегающие друг над другом песчаные цели — верхнюю и нижнюю. Для обеих нужно, чтобы нефть образовалась и мигрировала в структуру, — это один общий риск. Кроме того, каждой цели нужны свой коллектор и своя ловушка с покрышкой, которые не зависят от элементов другой цели. Распространенная ошибка — перемножать общие вероятности каждой цели и считать цели независимыми. Поскольку риск генерации и миграции общий, это завышает вероятность найти нефть хотя бы в одной цели и занижает вероятность найти ее в обеих. Модель показывает разницу, а затем оценивает скважину по объему открытия с учетом риска.</t>
  </si>
  <si>
    <t xml:space="preserve">Как устроена модель</t>
  </si>
  <si>
    <t xml:space="preserve">Дальше три листа, слева направо. Каждый передает данные следующему.</t>
  </si>
  <si>
    <t xml:space="preserve">1  Исходные данные</t>
  </si>
  <si>
    <t xml:space="preserve">Геологические факторы — вероятности; объемы при успехе логнормальны по оценкам P90 и P10; стоимость скважины и ценность барреля — диапазоны PERT.</t>
  </si>
  <si>
    <t xml:space="preserve">2  Исходы</t>
  </si>
  <si>
    <t xml:space="preserve">Сначала вероятности объединяются аналитически — один раз правильно, с общим риском генерации и миграции, и один раз как будто цели независимы. Затем моделируется одна скважина: испытание Бернулли для общей генерации и миграции и по одному для собственных элементов каждой цели. Цель успешна, только если генерация и миграция сработали и ее собственные элементы есть.</t>
  </si>
  <si>
    <t xml:space="preserve">3  Результаты</t>
  </si>
  <si>
    <t xml:space="preserve">Моделирование подтверждает цифры для общего риска. Ценность бурения — объем открытия, умноженный на ценность барреля, минус стоимость скважины; ее среднее по всем итерациям — ожидаемая ценность.</t>
  </si>
  <si>
    <t xml:space="preserve">Как пользоваться моделью</t>
  </si>
  <si>
    <t xml:space="preserve">Шаг 1</t>
  </si>
  <si>
    <t xml:space="preserve">Измените геологические факторы, объемы и затраты на листе «Исходные данные».</t>
  </si>
  <si>
    <t xml:space="preserve">Шаг 2</t>
  </si>
  <si>
    <t xml:space="preserve">Нажимайте F9 и смотрите на лист «Исходы»: каждый пересчет — один возможный результат бурения скважины «Лунь».</t>
  </si>
  <si>
    <t xml:space="preserve">Шаг 3</t>
  </si>
  <si>
    <t xml:space="preserve">Запустите моделирование на ленте МоделРиск (уже заданы 10 000 итераций и фиксированное начальное число генератора).</t>
  </si>
  <si>
    <t xml:space="preserve">Шаг 4</t>
  </si>
  <si>
    <t xml:space="preserve">Сравните три столбца таблицы вероятностей успеха на листе «Результаты».</t>
  </si>
  <si>
    <t xml:space="preserve">Структура модели</t>
  </si>
  <si>
    <t xml:space="preserve">Исходные данные</t>
  </si>
  <si>
    <t xml:space="preserve">Геологические факторы, объемы при успехе, стоимость скважины и ценность барреля.</t>
  </si>
  <si>
    <t xml:space="preserve">Исходы</t>
  </si>
  <si>
    <t xml:space="preserve">Аналитические вероятности успеха и один смоделированный исход скважины.</t>
  </si>
  <si>
    <t xml:space="preserve">Результаты</t>
  </si>
  <si>
    <t xml:space="preserve">Вероятности успеха, вероятности исходов, объем и ценность с учетом риска, графики.</t>
  </si>
  <si>
    <t xml:space="preserve">Цветовые обозначения</t>
  </si>
  <si>
    <t xml:space="preserve">Исходное значение</t>
  </si>
  <si>
    <t xml:space="preserve">Допущение, которое можно менять. Исходные данные — только в этих ячейках.</t>
  </si>
  <si>
    <t xml:space="preserve">Неопределенная величина</t>
  </si>
  <si>
    <t xml:space="preserve">Распределение МоделРиск: новое случайное значение выбирается при каждом пересчете (F9) и в каждой итерации моделирования.</t>
  </si>
  <si>
    <t xml:space="preserve">Расчет</t>
  </si>
  <si>
    <t xml:space="preserve">Формула. Не перезаписывайте.</t>
  </si>
  <si>
    <t xml:space="preserve">Ключевой результат</t>
  </si>
  <si>
    <t xml:space="preserve">Отмечен функцией VoseOutput: при моделировании сохраняется его полное распределение.</t>
  </si>
  <si>
    <t xml:space="preserve">Результат моделирования</t>
  </si>
  <si>
    <t xml:space="preserve">Функция VoseSim…: статистика последнего моделирования, заполняется автоматически.</t>
  </si>
  <si>
    <t xml:space="preserve">Единицы и обозначения</t>
  </si>
  <si>
    <t xml:space="preserve">Геологические факторы</t>
  </si>
  <si>
    <t xml:space="preserve">Вероятности наличия элемента. Цель успешна, только если присутствуют все нужные ей элементы.</t>
  </si>
  <si>
    <t xml:space="preserve">Объемы</t>
  </si>
  <si>
    <t xml:space="preserve">Извлекаемая нефть при успехе цели, млн баррелей (млн барр.); P90 — низкая оценка, P10 — высокая.</t>
  </si>
  <si>
    <t xml:space="preserve">Значение</t>
  </si>
  <si>
    <t xml:space="preserve">Миллионы долларов США; ценность барреля — NPV разработки на баррель открытой нефти.</t>
  </si>
  <si>
    <t xml:space="preserve">Основные допущения и ограничения</t>
  </si>
  <si>
    <t xml:space="preserve">Зависимость</t>
  </si>
  <si>
    <t xml:space="preserve">Общая только генерация и миграция. На практике ловушка и покрышка тоже могут быть частично общими — для этого добавьте еще одно общее испытание Бернулли.</t>
  </si>
  <si>
    <t xml:space="preserve">Ценность барреля постоянна; экономика разработки каждого размера открытия не моделируется (см. OG-05).</t>
  </si>
  <si>
    <t xml:space="preserve">Объемы двух целей не зависят друг от друга.</t>
  </si>
  <si>
    <t xml:space="preserve">Данные</t>
  </si>
  <si>
    <t xml:space="preserve">Все цифры условные. «Лунь» — не реальный объект.</t>
  </si>
  <si>
    <t xml:space="preserve">Функции МоделРиск в модели</t>
  </si>
  <si>
    <t>VoseBernoulli</t>
  </si>
  <si>
    <t xml:space="preserve">Сработали ли общие генерация и миграция и есть ли собственные элементы каждой цели.</t>
  </si>
  <si>
    <t>VoseLognormalAlt</t>
  </si>
  <si>
    <t xml:space="preserve">Объемы при успехе по оценкам P90 и P10.</t>
  </si>
  <si>
    <t>VosePERT</t>
  </si>
  <si>
    <t xml:space="preserve">Стоимость скважины и ценность барреля.</t>
  </si>
  <si>
    <t>VoseInput, VoseOutput</t>
  </si>
  <si>
    <t xml:space="preserve">Обозначить неопределенные величины и выходы.</t>
  </si>
  <si>
    <t>VoseSimMean, VoseSimProbability, VoseSimPercentile</t>
  </si>
  <si>
    <t xml:space="preserve">Статистики моделирования на листе «Результаты».</t>
  </si>
  <si>
    <t xml:space="preserve">Что почитать</t>
  </si>
  <si>
    <t xml:space="preserve">Геологоразведка</t>
  </si>
  <si>
    <t>Rose, P. R. (2001). Risk Analysis and Management of Petroleum Exploration Ventures. AAPG Methods in Exploration 12.</t>
  </si>
  <si>
    <t xml:space="preserve">Зависимые риски</t>
  </si>
  <si>
    <t xml:space="preserve">Корреляция рисков: зачем и как учитывать в модели (статья)</t>
  </si>
  <si>
    <t xml:space="preserve">Следующая модель</t>
  </si>
  <si>
    <t xml:space="preserve">Тот же подход к общему риску можно распространить на портфель перспективных объектов в нескольких нефтегазоносных комплексах.</t>
  </si>
  <si>
    <t xml:space="preserve">© 2026 ООО «Стратегия Риска»   ·   www.riskstrategy.ru   ·   Учебный пример: цифры придуманы для обучения и не описывают реальную компанию, проект или актив.</t>
  </si>
  <si>
    <t xml:space="preserve">ИСХОДНЫЕ ДАННЫЕ   ·   Все допущения модели, их неопределенность и обоснование. Меняйте только желтые ячейки.</t>
  </si>
  <si>
    <t xml:space="preserve">◂  Описание</t>
  </si>
  <si>
    <t xml:space="preserve">Далее:  Исходы  ▸</t>
  </si>
  <si>
    <t xml:space="preserve">Как читать этот лист:  желтые ячейки — исходные данные.  В оранжевых ячейках распределения МоделРиск, они показывают текущее случайное значение (F9 — выбрать заново).  Мин. / Наиболее вероятное / Макс. — минимум, наиболее вероятное значение и максимум для PERT; для логнормального — оценки P90 (низкая) и P10 (высокая), P90 означает вероятность превышения 90%.  Среднее — среднее значение распределения (VoseMean); если диапазон задан неверно, показывается ✗.</t>
  </si>
  <si>
    <t xml:space="preserve">1   Общий геологический фактор</t>
  </si>
  <si>
    <t xml:space="preserve">Относится сразу к обеим целям: если генерация и миграция не сработали, ни одна цель не может содержать нефть.</t>
  </si>
  <si>
    <t xml:space="preserve">Допущение</t>
  </si>
  <si>
    <t xml:space="preserve">Ед. изм.</t>
  </si>
  <si>
    <t xml:space="preserve">Значение в модели</t>
  </si>
  <si>
    <t xml:space="preserve">Неопределенность</t>
  </si>
  <si>
    <t xml:space="preserve">Обоснование / источник (условно)</t>
  </si>
  <si>
    <t xml:space="preserve">Нефтематеринская порода, генерация и миграция</t>
  </si>
  <si>
    <t xml:space="preserve">вероятность</t>
  </si>
  <si>
    <t xml:space="preserve">Константа</t>
  </si>
  <si>
    <t xml:space="preserve">Нефтематеринская порода доказана рядом; сомнение в том, мигрировала ли нефть в структуру «Лунь».</t>
  </si>
  <si>
    <t xml:space="preserve">2   Верхняя цель</t>
  </si>
  <si>
    <t xml:space="preserve">Элементы этой цели, не зависящие от нижней цели.</t>
  </si>
  <si>
    <t xml:space="preserve">Мин.</t>
  </si>
  <si>
    <t xml:space="preserve">Наиболее вероятное</t>
  </si>
  <si>
    <t xml:space="preserve">Макс.</t>
  </si>
  <si>
    <t xml:space="preserve">Среднее</t>
  </si>
  <si>
    <t xml:space="preserve">Наличие и качество коллектора</t>
  </si>
  <si>
    <t xml:space="preserve">Русловые песчаники видны на сейсмике.</t>
  </si>
  <si>
    <t xml:space="preserve">Ловушка и покрышка</t>
  </si>
  <si>
    <t xml:space="preserve">Замыкание по падению под тонкой глинистой покрышкой.</t>
  </si>
  <si>
    <t xml:space="preserve">Извлекаемый объем при успехе</t>
  </si>
  <si>
    <t xml:space="preserve">млн барр.</t>
  </si>
  <si>
    <t xml:space="preserve">Логнормальное  · P90, P10</t>
  </si>
  <si>
    <t>–</t>
  </si>
  <si>
    <t xml:space="preserve">Диапазон объемов для верхней цели.</t>
  </si>
  <si>
    <t xml:space="preserve">3   Нижняя цель</t>
  </si>
  <si>
    <t xml:space="preserve">Элементы этой цели, не зависящие от верхней цели.</t>
  </si>
  <si>
    <t xml:space="preserve">Песчаники глубже; пористость может быть ухудшена.</t>
  </si>
  <si>
    <t xml:space="preserve">Тектонически экранированное замыкание; экранирующая способность разлома неопределенна.</t>
  </si>
  <si>
    <t xml:space="preserve">Диапазон объемов для нижней цели.</t>
  </si>
  <si>
    <t xml:space="preserve">4   Экономика</t>
  </si>
  <si>
    <t xml:space="preserve">Стоимость скважины и ценность каждого открытого барреля (долл., в реальном выражении).</t>
  </si>
  <si>
    <t xml:space="preserve">Стоимость поисковой скважины</t>
  </si>
  <si>
    <t xml:space="preserve">млн долл.</t>
  </si>
  <si>
    <t>PERT</t>
  </si>
  <si>
    <t xml:space="preserve">Более глубокая скважина, чтобы вскрыть обе цели; тратится при любом результате.</t>
  </si>
  <si>
    <t xml:space="preserve">Ценность открытого барреля</t>
  </si>
  <si>
    <t xml:space="preserve">долл./барр.</t>
  </si>
  <si>
    <t xml:space="preserve">NPV разработки на баррель по экспресс-оценке экономики похожих открытий.</t>
  </si>
  <si>
    <t xml:space="preserve">ИСХОДЫ   ·   Вероятности успеха, рассчитанные аналитически, затем один смоделированный исход бурения скважины.</t>
  </si>
  <si>
    <t xml:space="preserve">◂  Исходные данные</t>
  </si>
  <si>
    <t xml:space="preserve">Далее:  Результаты  ▸</t>
  </si>
  <si>
    <t xml:space="preserve">1   Вероятность успеха, рассчитанная аналитически</t>
  </si>
  <si>
    <t xml:space="preserve">Одни и те же исходные данные, объединенные двумя способами: правильно, с общими генерацией и миграцией, и как будто цели независимы.</t>
  </si>
  <si>
    <t xml:space="preserve">Вероятность</t>
  </si>
  <si>
    <t xml:space="preserve">Общая генерация</t>
  </si>
  <si>
    <t xml:space="preserve">Если независимы</t>
  </si>
  <si>
    <t xml:space="preserve">Как рассчитывается</t>
  </si>
  <si>
    <t xml:space="preserve">Собственные элементы верхней цели</t>
  </si>
  <si>
    <t xml:space="preserve">Коллектор × ловушка: все, кроме общих генерации и миграции</t>
  </si>
  <si>
    <t xml:space="preserve">Собственные элементы нижней цели</t>
  </si>
  <si>
    <t xml:space="preserve">Нефть в верхней цели</t>
  </si>
  <si>
    <t xml:space="preserve">Генерация и миграция × собственные элементы — одинаково в обоих случаях</t>
  </si>
  <si>
    <t xml:space="preserve">Нефть в нижней цели</t>
  </si>
  <si>
    <t xml:space="preserve">Нефть хотя бы в одной цели</t>
  </si>
  <si>
    <t xml:space="preserve">Общий риск: генерация × (1 − собственные элементы обеих целей отсутствуют).  Независимо: 1 − обе цели неуспешны.</t>
  </si>
  <si>
    <t xml:space="preserve">Нефть в обеих целях</t>
  </si>
  <si>
    <t xml:space="preserve">Общий риск: генерация учитывается один раз.  Независимо: дважды.</t>
  </si>
  <si>
    <t xml:space="preserve">2   Одна смоделированная скважина</t>
  </si>
  <si>
    <t xml:space="preserve">Каждый пересчет разыгрывает, сработали ли общие генерация и миграция и есть ли собственные элементы каждой цели.</t>
  </si>
  <si>
    <t xml:space="preserve">Величина</t>
  </si>
  <si>
    <t xml:space="preserve">Генерация и миграция сработали?  (1 — да)</t>
  </si>
  <si>
    <t>1 / 0</t>
  </si>
  <si>
    <t xml:space="preserve">Испытание Бернулли с общей вероятностью</t>
  </si>
  <si>
    <t xml:space="preserve">Собственные элементы верхней цели есть?</t>
  </si>
  <si>
    <t xml:space="preserve">Испытание Бернулли с собственной вероятностью верхней цели (раздел 1)</t>
  </si>
  <si>
    <t xml:space="preserve">Собственные элементы нижней цели есть?</t>
  </si>
  <si>
    <t xml:space="preserve">Испытание Бернулли с собственной вероятностью нижней цели (раздел 1)</t>
  </si>
  <si>
    <t xml:space="preserve">Нефть в верхней цели?</t>
  </si>
  <si>
    <t xml:space="preserve">Нужны генерация И собственные элементы</t>
  </si>
  <si>
    <t xml:space="preserve">Нефть в нижней цели?</t>
  </si>
  <si>
    <t xml:space="preserve">Нефть хотя бы в одной цели?</t>
  </si>
  <si>
    <t xml:space="preserve">1, если хотя бы одна цель содержит нефть</t>
  </si>
  <si>
    <t xml:space="preserve">Нефть в обеих целях?</t>
  </si>
  <si>
    <t xml:space="preserve">1, если обе цели содержат нефть</t>
  </si>
  <si>
    <t xml:space="preserve">Исход  (код)</t>
  </si>
  <si>
    <t>1 – 4</t>
  </si>
  <si>
    <t xml:space="preserve">1 = сухая,  2 = только верхняя,  3 = только нижняя,  4 = обе</t>
  </si>
  <si>
    <t xml:space="preserve">Исход</t>
  </si>
  <si>
    <t xml:space="preserve">Исход этой итерации словами</t>
  </si>
  <si>
    <t xml:space="preserve">3   Объем и ценность</t>
  </si>
  <si>
    <t xml:space="preserve">Что находит скважина и сколько это стоит.</t>
  </si>
  <si>
    <t xml:space="preserve">Объем открытия</t>
  </si>
  <si>
    <t xml:space="preserve">Объем каждой успешной цели (с листа «Исходные данные»); ноль для сухой цели</t>
  </si>
  <si>
    <t xml:space="preserve">Ценность бурения скважины</t>
  </si>
  <si>
    <t xml:space="preserve">Объем открытия × ценность барреля − стоимость скважины. Ее среднее по всем итерациям — ожидаемая ценность.</t>
  </si>
  <si>
    <t xml:space="preserve">Безубыточный размер открытия</t>
  </si>
  <si>
    <t xml:space="preserve">Стоимость скважины ÷ ценность барреля: открытие меньшего размера не окупает скважину</t>
  </si>
  <si>
    <t xml:space="preserve">РЕЗУЛЬТАТЫ   ·   Заполняются автоматически по последнему моделированию. После изменения исходных данных запустите моделирование снова.</t>
  </si>
  <si>
    <t xml:space="preserve">◂  Исходы</t>
  </si>
  <si>
    <t xml:space="preserve">1   Вероятность успеха</t>
  </si>
  <si>
    <t xml:space="preserve">Ценность бурения — накопленная вероятность</t>
  </si>
  <si>
    <t xml:space="preserve">Аналитически с общей генерацией и миграцией, аналитически как будто независимо и по моделированию.</t>
  </si>
  <si>
    <t xml:space="preserve">Общая</t>
  </si>
  <si>
    <t xml:space="preserve">Независимые</t>
  </si>
  <si>
    <t xml:space="preserve">По моделированию</t>
  </si>
  <si>
    <t xml:space="preserve">2   Исходы бурения скважины</t>
  </si>
  <si>
    <t xml:space="preserve">Смоделированная доля скважин с каждым исходом.</t>
  </si>
  <si>
    <t xml:space="preserve">Вероятность</t>
  </si>
  <si>
    <t xml:space="preserve">Сухая скважина</t>
  </si>
  <si>
    <t xml:space="preserve">Только верхняя цель</t>
  </si>
  <si>
    <t xml:space="preserve">Только нижняя цель</t>
  </si>
  <si>
    <t xml:space="preserve">Обе цели</t>
  </si>
  <si>
    <t xml:space="preserve">Итого</t>
  </si>
  <si>
    <t xml:space="preserve">3   Ценность бурения</t>
  </si>
  <si>
    <t xml:space="preserve">Объем открытия — вероятность найти не меньше</t>
  </si>
  <si>
    <t xml:space="preserve">Ожидаемая ценность = средняя ценность по всем смоделированным скважинам, включая сухие.</t>
  </si>
  <si>
    <t xml:space="preserve">Показатель</t>
  </si>
  <si>
    <t xml:space="preserve">Ожидаемая ценность бурения скважины</t>
  </si>
  <si>
    <t xml:space="preserve">Ценность бурения, 90-й процентиль</t>
  </si>
  <si>
    <t xml:space="preserve">Объем с учетом риска  (сухие скважины считаются нулем)</t>
  </si>
  <si>
    <t xml:space="preserve">Вероятность открытия</t>
  </si>
  <si>
    <t xml:space="preserve">Средний объем, если нефть найдена</t>
  </si>
  <si>
    <t xml:space="preserve">Вероятность сухой скважины  (1 − вероятность открытия)</t>
  </si>
  <si>
    <t xml:space="preserve">Вероятность, что скважина убыточна</t>
  </si>
  <si>
    <t xml:space="preserve">Безубыточный размер  (средняя стоимость ÷ средняя ценность барреля)</t>
  </si>
  <si>
    <t xml:space="preserve">Рекомендация</t>
  </si>
  <si>
    <t xml:space="preserve">4   Как читать результаты</t>
  </si>
  <si>
    <t xml:space="preserve">•  Генерация и миграция общие, поэтому, если они не сработали, обе цели сухие одновременно. Если считать цели независимыми, риск генерации и миграции учитывается для «обеих» дважды, а одна цель может оказаться успешной, когда у другой генерация не сработала, — чего быть не может.</t>
  </si>
  <si>
    <t xml:space="preserve">•  Поэтому упрощение с независимыми целями завышает вероятность хотя бы одного открытия и занижает вероятность обоих. Столбец моделирования совпадает со столбцом общего риска, а не с независимым.</t>
  </si>
  <si>
    <t xml:space="preserve">•  Ожидаемая ценность учитывает все исходы, включая сухие скважины. «Средний объем, если нефть найдена» — это объем с учетом риска, деленный на вероятность открытия.</t>
  </si>
  <si>
    <t xml:space="preserve">•  График объема открытия в нуле падает вертикально: величина этого скачка — вероятность сухой скважины.</t>
  </si>
  <si>
    <t xml:space="preserve">Данные для графиков</t>
  </si>
  <si>
    <t xml:space="preserve">Статистика последнего моделирования для графиков и рейтинга выше. Строки сгруппированы: нажмите «+» на левом поле, чтобы их показать.</t>
  </si>
  <si>
    <t xml:space="preserve">Накопленная вероятность</t>
  </si>
  <si>
    <t xml:space="preserve">Вероятность превышения</t>
  </si>
  <si>
    <t xml:space="preserve">Объем</t>
  </si>
  <si>
    <t xml:space="preserve">Вспомогательное для исхода: Outcome</t>
  </si>
  <si>
    <t xml:space="preserve">Ниже</t>
  </si>
  <si>
    <t xml:space="preserve">Накопленная</t>
  </si>
  <si>
    <t>DSN Files Count: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</si>
</sst>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_);\(#,##0.0\);&quot;–&quot;_)"/>
    <numFmt numFmtId="165" formatCode="#,##0.00_);\(#,##0.00\);&quot;–&quot;_)"/>
    <numFmt numFmtId="166" formatCode="0.0%"/>
    <numFmt numFmtId="167" formatCode="0.0%;\-0.0%;0.0%;&quot;–&quot;"/>
    <numFmt numFmtId="168" formatCode="#,##0.0_);\(#,##0.0\);&quot;–&quot;_);&quot;–&quot;"/>
    <numFmt numFmtId="169" formatCode="0.0"/>
  </numFmts>
  <fonts count="23" x14ac:knownFonts="1">
    <font>
      <sz val="11"/>
      <color theme="1"/>
      <name val="Calibri"/>
      <family val="2"/>
      <scheme val="minor"/>
    </font>
    <font>
      <sz val="10"/>
      <color rgb="FF1F2328"/>
      <name val="Calibri"/>
    </font>
    <font>
      <sz val="10"/>
      <color rgb="FF9A3412"/>
      <name val="Calibri"/>
    </font>
    <font>
      <sz val="10"/>
      <color rgb="FF111214"/>
      <name val="Calibri"/>
    </font>
    <font>
      <b/>
      <sz val="10"/>
      <color rgb="FF14532D"/>
      <name val="Calibri"/>
    </font>
    <font>
      <b/>
      <sz val="16"/>
      <color rgb="FF111214"/>
      <name val="Calibri"/>
    </font>
    <font>
      <sz val="10"/>
      <color rgb="FF55585F"/>
      <name val="Calibri"/>
    </font>
    <font>
      <sz val="9"/>
      <color rgb="FF55585F"/>
      <name val="Calibri"/>
    </font>
    <font>
      <u/>
      <sz val="9"/>
      <color rgb="FF1F2328"/>
      <name val="Calibri"/>
    </font>
    <font>
      <b/>
      <sz val="20"/>
      <color rgb="FF111214"/>
      <name val="Calibri"/>
    </font>
    <font>
      <b/>
      <sz val="12"/>
      <color rgb="FF1F2328"/>
      <name val="Calibri"/>
    </font>
    <font>
      <b/>
      <sz val="10"/>
      <color rgb="FF55585F"/>
      <name val="Calibri"/>
    </font>
    <font>
      <b/>
      <sz val="10"/>
      <color rgb="FF111214"/>
      <name val="Calibri"/>
    </font>
    <font>
      <i/>
      <sz val="9"/>
      <color rgb="FF55585F"/>
      <name val="Calibri"/>
    </font>
    <font>
      <u/>
      <sz val="10"/>
      <color rgb="FF1F2328"/>
      <name val="Calibri"/>
    </font>
    <font>
      <b/>
      <sz val="10"/>
      <color rgb="FF1F2328"/>
      <name val="Calibri"/>
    </font>
    <font>
      <i/>
      <sz val="9"/>
      <color rgb="FF8B8E95"/>
      <name val="Calibri"/>
    </font>
    <font>
      <b/>
      <sz val="9"/>
      <color rgb="FF55585F"/>
      <name val="Calibri"/>
    </font>
    <font>
      <sz val="9"/>
      <color rgb="FF55585F"/>
      <name val="Calibri"/>
    </font>
    <font>
      <sz val="9"/>
      <color rgb="FF8B8E95"/>
      <name val="Calibri"/>
    </font>
    <font>
      <b/>
      <sz val="13"/>
      <color rgb="FF1F2328"/>
      <name val="Calibri"/>
    </font>
    <font>
      <sz val="10"/>
      <color rgb="FF55585F"/>
      <name val="Calibri"/>
    </font>
    <font>
      <b/>
      <sz val="11"/>
      <color rgb="FF1F2328"/>
      <name val="Calibri"/>
    </font>
  </fonts>
  <fills count="8">
    <fill>
      <patternFill patternType="none"/>
    </fill>
    <fill>
      <patternFill patternType="gray125"/>
    </fill>
    <fill>
      <patternFill patternType="solid">
        <fgColor rgb="FFFFF4CC"/>
        <bgColor rgb="FFFFF4CC"/>
      </patternFill>
    </fill>
    <fill>
      <patternFill patternType="solid">
        <fgColor rgb="FFFCE4D6"/>
        <bgColor rgb="FFFCE4D6"/>
      </patternFill>
    </fill>
    <fill>
      <patternFill patternType="solid">
        <fgColor rgb="FFE3F1E6"/>
        <bgColor rgb="FFE3F1E6"/>
      </patternFill>
    </fill>
    <fill>
      <patternFill patternType="solid">
        <fgColor rgb="FFEEF0F2"/>
        <bgColor rgb="FFEEF0F2"/>
      </patternFill>
    </fill>
    <fill>
      <patternFill patternType="solid">
        <fgColor rgb="FFF4F4F5"/>
        <bgColor rgb="FFF4F4F5"/>
      </patternFill>
    </fill>
    <fill>
      <patternFill patternType="solid">
        <fgColor rgb="FFF4F4F5"/>
        <bgColor rgb="FFF4F4F5"/>
      </patternFill>
    </fill>
  </fills>
  <borders count="12">
    <border>
      <left/>
      <right/>
      <top/>
      <bottom/>
      <diagonal/>
    </border>
    <border>
      <left style="thin">
        <color rgb="FFD9DADD"/>
      </left>
      <right style="thin">
        <color rgb="FFD9DADD"/>
      </right>
      <top style="thin">
        <color rgb="FFD9DADD"/>
      </top>
      <bottom style="thin">
        <color rgb="FFD9DADD"/>
      </bottom>
      <diagonal/>
    </border>
    <border>
      <left/>
      <right/>
      <top/>
      <bottom/>
      <diagonal/>
    </border>
    <border>
      <left style="thin">
        <color rgb="FF15803D"/>
      </left>
      <right style="thin">
        <color rgb="FF15803D"/>
      </right>
      <top style="thin">
        <color rgb="FF15803D"/>
      </top>
      <bottom style="thin">
        <color rgb="FF15803D"/>
      </bottom>
      <diagonal/>
    </border>
    <border>
      <left/>
      <right/>
      <top/>
      <bottom style="thin">
        <color rgb="FFD9DADD"/>
      </bottom>
      <diagonal/>
    </border>
    <border>
      <left/>
      <right/>
      <top/>
      <bottom style="medium">
        <color rgb="FF2F3136"/>
      </bottom>
      <diagonal/>
    </border>
    <border>
      <left/>
      <right/>
      <top/>
      <bottom style="thin">
        <color rgb="FFECEDEF"/>
      </bottom>
      <diagonal/>
    </border>
    <border>
      <left style="thin">
        <color rgb="FFD9DADD"/>
      </left>
      <right style="thin">
        <color rgb="FFD9DADD"/>
      </right>
      <top style="thin">
        <color rgb="FFD9DADD"/>
      </top>
      <bottom style="thin">
        <color rgb="FFECEDEF"/>
      </bottom>
      <diagonal/>
    </border>
    <border>
      <left/>
      <right/>
      <top/>
      <bottom style="thin">
        <color rgb="FFECEDEF"/>
      </bottom>
      <diagonal/>
    </border>
    <border>
      <left style="thin">
        <color rgb="FF15803D"/>
      </left>
      <right style="thin">
        <color rgb="FF15803D"/>
      </right>
      <top style="thin">
        <color rgb="FF15803D"/>
      </top>
      <bottom style="thin">
        <color rgb="FFECEDEF"/>
      </bottom>
      <diagonal/>
    </border>
    <border>
      <left/>
      <right/>
      <top style="thin">
        <color rgb="FFD9DADD"/>
      </top>
      <bottom style="thin">
        <color rgb="FFD9DADD"/>
      </bottom>
      <diagonal/>
    </border>
    <border>
      <left/>
      <right/>
      <top style="thin">
        <color rgb="FF6B6E75"/>
      </top>
      <bottom/>
      <diagonal/>
    </border>
  </borders>
  <cellStyleXfs count="6">
    <xf numFmtId="0" fontId="0" fillId="0" borderId="0"/>
    <xf numFmtId="0" fontId="1" fillId="2" borderId="1">
      <alignment horizontal="right" vertical="center"/>
    </xf>
    <xf numFmtId="0" fontId="2" fillId="3" borderId="1">
      <alignment horizontal="right" vertical="center"/>
    </xf>
    <xf numFmtId="0" fontId="3" fillId="0" borderId="2">
      <alignment horizontal="right" vertical="center"/>
    </xf>
    <xf numFmtId="0" fontId="4" fillId="4" borderId="3">
      <alignment horizontal="right" vertical="center"/>
    </xf>
    <xf numFmtId="0" fontId="1" fillId="5" borderId="1">
      <alignment horizontal="right" vertical="center"/>
    </xf>
  </cellStyleXfs>
  <cellXfs count="65">
    <xf numFmtId="0" fontId="0" fillId="0" borderId="0" xfId="0"/>
    <xf numFmtId="0" fontId="0" fillId="6" borderId="0" xfId="0" applyFill="1"/>
    <xf numFmtId="0" fontId="9" fillId="6" borderId="0" xfId="0" applyFont="1" applyFill="1" applyAlignment="1">
      <alignment vertical="center"/>
    </xf>
    <xf numFmtId="0" fontId="7" fillId="6" borderId="0" xfId="0" applyFont="1" applyFill="1" applyAlignment="1">
      <alignment horizontal="right" vertical="center"/>
    </xf>
    <xf numFmtId="0" fontId="6" fillId="6" borderId="0" xfId="0" applyFont="1" applyFill="1" applyAlignment="1">
      <alignment vertical="center"/>
    </xf>
    <xf numFmtId="0" fontId="0" fillId="7" borderId="4" xfId="0" applyFill="1" applyBorder="1"/>
    <xf numFmtId="0" fontId="8" fillId="7" borderId="4" xfId="0" applyFont="1" applyFill="1" applyBorder="1" applyAlignment="1">
      <alignment horizontal="right" vertical="center"/>
    </xf>
    <xf numFmtId="0" fontId="10" fillId="0" borderId="5" xfId="0" applyFont="1" applyBorder="1"/>
    <xf numFmtId="0" fontId="0" fillId="0" borderId="5" xfId="0" applyBorder="1"/>
    <xf numFmtId="0" fontId="11" fillId="0" borderId="6" xfId="0" applyFont="1" applyBorder="1" applyAlignment="1">
      <alignment horizontal="left" vertical="top" indent="1"/>
    </xf>
    <xf numFmtId="0" fontId="3" fillId="0" borderId="6" xfId="0" applyFont="1" applyBorder="1" applyAlignment="1">
      <alignment horizontal="left" vertical="top" wrapText="1" indent="1"/>
    </xf>
    <xf numFmtId="0" fontId="12" fillId="0" borderId="6" xfId="0" applyFont="1" applyBorder="1" applyAlignment="1">
      <alignment horizontal="left" vertical="top" wrapText="1" indent="1"/>
    </xf>
    <xf numFmtId="0" fontId="3" fillId="0" borderId="0" xfId="0" applyFont="1" applyAlignment="1">
      <alignment horizontal="left" vertical="top" wrapText="1" indent="1"/>
    </xf>
    <xf numFmtId="0" fontId="13" fillId="0" borderId="0" xfId="0" applyFont="1" applyAlignment="1">
      <alignment vertical="center"/>
    </xf>
    <xf numFmtId="0" fontId="14" fillId="0" borderId="6" xfId="0" applyFont="1" applyBorder="1" applyAlignment="1">
      <alignment horizontal="left" vertical="center" indent="1"/>
    </xf>
    <xf numFmtId="0" fontId="1" fillId="2" borderId="1" xfId="1" applyAlignment="1">
      <alignment horizontal="center" vertical="center"/>
    </xf>
    <xf numFmtId="0" fontId="2" fillId="3" borderId="1" xfId="2" applyAlignment="1">
      <alignment horizontal="center" vertical="center"/>
    </xf>
    <xf numFmtId="0" fontId="3" fillId="0" borderId="2" xfId="3" applyAlignment="1">
      <alignment horizontal="center" vertical="center"/>
    </xf>
    <xf numFmtId="0" fontId="4" fillId="4" borderId="3" xfId="4" applyAlignment="1">
      <alignment horizontal="center" vertical="center"/>
    </xf>
    <xf numFmtId="0" fontId="1" fillId="5" borderId="1" xfId="5" applyAlignment="1">
      <alignment horizontal="center" vertical="center"/>
    </xf>
    <xf numFmtId="0" fontId="15" fillId="0" borderId="6" xfId="0" applyFont="1" applyBorder="1" applyAlignment="1">
      <alignment horizontal="left" vertical="top" wrapText="1" indent="1"/>
    </xf>
    <xf numFmtId="0" fontId="5" fillId="6" borderId="0" xfId="0" applyFont="1" applyFill="1" applyAlignment="1">
      <alignment vertical="center"/>
    </xf>
    <xf numFmtId="0" fontId="8" fillId="7" borderId="4" xfId="0" applyFont="1" applyFill="1" applyBorder="1" applyAlignment="1">
      <alignment vertical="center"/>
    </xf>
    <xf numFmtId="0" fontId="17" fillId="7" borderId="4" xfId="0" applyFont="1" applyFill="1" applyBorder="1" applyAlignment="1">
      <alignment horizontal="left" vertical="center" wrapText="1" indent="1"/>
    </xf>
    <xf numFmtId="0" fontId="17" fillId="7" borderId="4" xfId="0" applyFont="1" applyFill="1" applyBorder="1" applyAlignment="1">
      <alignment horizontal="right" vertical="center" wrapText="1"/>
    </xf>
    <xf numFmtId="0" fontId="3" fillId="0" borderId="6" xfId="0" applyFont="1" applyBorder="1" applyAlignment="1">
      <alignment horizontal="left" vertical="center" indent="1"/>
    </xf>
    <xf numFmtId="0" fontId="18" fillId="0" borderId="6" xfId="0" applyFont="1" applyBorder="1" applyAlignment="1">
      <alignment horizontal="left" vertical="center" indent="1"/>
    </xf>
    <xf numFmtId="9" fontId="1" fillId="2" borderId="7" xfId="1" applyNumberFormat="1" applyBorder="1">
      <alignment horizontal="right" vertical="center"/>
    </xf>
    <xf numFmtId="0" fontId="0" fillId="0" borderId="6" xfId="0" applyBorder="1"/>
    <xf numFmtId="0" fontId="18" fillId="0" borderId="6" xfId="0" applyFont="1" applyBorder="1" applyAlignment="1">
      <alignment horizontal="left" vertical="center" wrapText="1" indent="1"/>
    </xf>
    <xf numFmtId="164" fontId="2" fillId="3" borderId="7" xfId="2" applyNumberFormat="1" applyBorder="1">
      <alignment horizontal="right" vertical="center"/>
    </xf>
    <xf numFmtId="164" fontId="1" fillId="2" borderId="7" xfId="1" applyNumberFormat="1" applyBorder="1">
      <alignment horizontal="right" vertical="center"/>
    </xf>
    <xf numFmtId="0" fontId="19" fillId="0" borderId="6" xfId="0" applyFont="1" applyBorder="1" applyAlignment="1">
      <alignment horizontal="center" vertical="center"/>
    </xf>
    <xf numFmtId="164" fontId="3" fillId="0" borderId="8" xfId="3" applyNumberFormat="1" applyBorder="1">
      <alignment horizontal="right" vertical="center"/>
    </xf>
    <xf numFmtId="165" fontId="2" fillId="3" borderId="7" xfId="2" applyNumberFormat="1" applyBorder="1">
      <alignment horizontal="right" vertical="center"/>
    </xf>
    <xf numFmtId="165" fontId="1" fillId="2" borderId="7" xfId="1" applyNumberFormat="1" applyBorder="1">
      <alignment horizontal="right" vertical="center"/>
    </xf>
    <xf numFmtId="165" fontId="3" fillId="0" borderId="8" xfId="3" applyNumberFormat="1" applyBorder="1">
      <alignment horizontal="right" vertical="center"/>
    </xf>
    <xf numFmtId="166" fontId="3" fillId="0" borderId="8" xfId="3" applyNumberFormat="1" applyBorder="1">
      <alignment horizontal="right" vertical="center"/>
    </xf>
    <xf numFmtId="1" fontId="2" fillId="3" borderId="7" xfId="2" applyNumberFormat="1" applyBorder="1">
      <alignment horizontal="right" vertical="center"/>
    </xf>
    <xf numFmtId="1" fontId="3" fillId="0" borderId="8" xfId="3" applyNumberFormat="1" applyBorder="1">
      <alignment horizontal="right" vertical="center"/>
    </xf>
    <xf numFmtId="1" fontId="4" fillId="4" borderId="9" xfId="4" applyNumberFormat="1" applyBorder="1">
      <alignment horizontal="right" vertical="center"/>
    </xf>
    <xf numFmtId="0" fontId="12" fillId="0" borderId="8" xfId="3" applyFont="1" applyBorder="1">
      <alignment horizontal="right" vertical="center"/>
    </xf>
    <xf numFmtId="164" fontId="4" fillId="4" borderId="9" xfId="4" applyNumberFormat="1" applyBorder="1">
      <alignment horizontal="right" vertical="center"/>
    </xf>
    <xf numFmtId="0" fontId="15" fillId="5" borderId="10" xfId="0" applyFont="1" applyFill="1" applyBorder="1" applyAlignment="1">
      <alignment horizontal="left" vertical="center" indent="1"/>
    </xf>
    <xf numFmtId="0" fontId="0" fillId="5" borderId="10" xfId="0" applyFill="1" applyBorder="1"/>
    <xf numFmtId="0" fontId="22" fillId="0" borderId="5" xfId="0" applyFont="1" applyBorder="1"/>
    <xf numFmtId="167" fontId="1" fillId="5" borderId="7" xfId="5" applyNumberFormat="1" applyBorder="1">
      <alignment horizontal="right" vertical="center"/>
    </xf>
    <xf numFmtId="0" fontId="12" fillId="0" borderId="6" xfId="0" applyFont="1" applyBorder="1" applyAlignment="1">
      <alignment horizontal="left" vertical="center" indent="1"/>
    </xf>
    <xf numFmtId="167" fontId="1" fillId="5" borderId="1" xfId="5" applyNumberFormat="1">
      <alignment horizontal="right" vertical="center"/>
    </xf>
    <xf numFmtId="0" fontId="12" fillId="0" borderId="11" xfId="0" applyFont="1" applyBorder="1" applyAlignment="1">
      <alignment horizontal="left" vertical="center" indent="1"/>
    </xf>
    <xf numFmtId="0" fontId="0" fillId="0" borderId="11" xfId="0" applyBorder="1"/>
    <xf numFmtId="167" fontId="12" fillId="0" borderId="11" xfId="3" applyNumberFormat="1" applyFont="1" applyBorder="1">
      <alignment horizontal="right" vertical="center"/>
    </xf>
    <xf numFmtId="168" fontId="20" fillId="5" borderId="7" xfId="5" applyNumberFormat="1" applyFont="1" applyBorder="1">
      <alignment horizontal="right" vertical="center"/>
    </xf>
    <xf numFmtId="168" fontId="1" fillId="5" borderId="7" xfId="5" applyNumberFormat="1" applyBorder="1">
      <alignment horizontal="right" vertical="center"/>
    </xf>
    <xf numFmtId="0" fontId="21" fillId="0" borderId="6" xfId="0" applyFont="1" applyBorder="1" applyAlignment="1">
      <alignment horizontal="left" vertical="center" indent="1"/>
    </xf>
    <xf numFmtId="9" fontId="3" fillId="0" borderId="2" xfId="3" applyNumberFormat="1">
      <alignment horizontal="right" vertical="center"/>
    </xf>
    <xf numFmtId="4" fontId="3" fillId="0" borderId="2" xfId="3" applyNumberFormat="1">
      <alignment horizontal="right" vertical="center"/>
    </xf>
    <xf numFmtId="0" fontId="21" fillId="0" borderId="0" xfId="0" applyFont="1"/>
    <xf numFmtId="169" fontId="3" fillId="0" borderId="2" xfId="3" applyNumberFormat="1">
      <alignment horizontal="right" vertical="center"/>
    </xf>
    <xf numFmtId="167" fontId="3" fillId="0" borderId="2" xfId="3" applyNumberFormat="1">
      <alignment horizontal="right" vertical="center"/>
    </xf>
    <xf numFmtId="0" fontId="3" fillId="0" borderId="0" xfId="0" applyFont="1" applyAlignment="1">
      <alignment horizontal="left" vertical="top" wrapText="1" indent="1"/>
    </xf>
    <xf numFmtId="0" fontId="0" fillId="0" borderId="0" xfId="0"/>
    <xf numFmtId="0" fontId="16" fillId="0" borderId="0" xfId="0" applyFont="1"/>
    <xf numFmtId="0" fontId="13" fillId="0" borderId="0" xfId="0" applyFont="1" applyAlignment="1">
      <alignment horizontal="left" vertical="center" wrapText="1" indent="1"/>
    </xf>
    <xf numFmtId="0" fontId="0" fillId="0" borderId="0" xfId="0" applyAlignment="1"/>
  </cellXfs>
  <cellStyles count="6">
    <cellStyle name="Normal" xfId="0" builtinId="0"/>
    <cellStyle name="Расчет" xfId="3" xr:uid="{00000000-0005-0000-0000-000003000000}"/>
    <cellStyle name="Исходное значение" xfId="1" xr:uid="{00000000-0005-0000-0000-000001000000}"/>
    <cellStyle name="Ключевой результат" xfId="4" xr:uid="{00000000-0005-0000-0000-000004000000}"/>
    <cellStyle name="Результат моделирования" xfId="5" xr:uid="{00000000-0005-0000-0000-000005000000}"/>
    <cellStyle name="Неопределенная величина" xfId="2" xr:uid="{00000000-0005-0000-0000-000002000000}"/>
  </cellStyles>
  <dxfs count="9">
    <dxf>
      <font>
        <color rgb="FF8B8E95"/>
      </font>
    </dxf>
    <dxf>
      <font>
        <color rgb="FFB91C1C"/>
      </font>
    </dxf>
    <dxf>
      <font>
        <color rgb="FF15803D"/>
      </font>
    </dxf>
    <dxf>
      <font>
        <color rgb="FFB45309"/>
      </font>
      <fill>
        <patternFill patternType="solid">
          <fgColor rgb="FFFEF3C7"/>
          <bgColor rgb="FFFEF3C7"/>
        </patternFill>
      </fill>
    </dxf>
    <dxf>
      <font>
        <color rgb="FF15803D"/>
      </font>
      <fill>
        <patternFill patternType="solid">
          <fgColor rgb="FFDCFCE7"/>
          <bgColor rgb="FFDCFCE7"/>
        </patternFill>
      </fill>
    </dxf>
    <dxf>
      <font>
        <color rgb="FFB91C1C"/>
      </font>
      <fill>
        <patternFill patternType="solid">
          <fgColor rgb="FFFEE2E2"/>
          <bgColor rgb="FFFEE2E2"/>
        </patternFill>
      </fill>
    </dxf>
    <dxf>
      <font>
        <b/>
        <color rgb="FFB91C1C"/>
      </font>
      <fill>
        <patternFill patternType="solid">
          <fgColor rgb="FFFEE2E2"/>
          <bgColor rgb="FFFEE2E2"/>
        </patternFill>
      </fill>
    </dxf>
    <dxf>
      <font>
        <b/>
        <color rgb="FFB91C1C"/>
      </font>
      <fill>
        <patternFill patternType="solid">
          <fgColor rgb="FFFEE2E2"/>
          <bgColor rgb="FFFEE2E2"/>
        </patternFill>
      </fill>
    </dxf>
    <dxf>
      <font>
        <b/>
        <color rgb="FFB91C1C"/>
      </font>
      <fill>
        <patternFill patternType="solid">
          <fgColor rgb="FFFEE2E2"/>
          <bgColor rgb="FFFEE2E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13"/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v>Ценность бурения скважины</c:v>
          </c:tx>
          <c:spPr>
            <a:ln w="25400">
              <a:solidFill>
                <a:srgbClr val="2F3136"/>
              </a:solidFill>
              <a:prstDash val="solid"/>
            </a:ln>
          </c:spPr>
          <c:marker>
            <c:symbol val="none"/>
          </c:marker>
          <c:xVal>
            <c:numRef>
              <c:f>'Результаты'!$D$49:$D$98</c:f>
              <c:numCache>
                <c:formatCode>#,##0.00</c:formatCode>
                <c:ptCount val="50"/>
                <c:pt idx="0">
                  <c:v>-44.989416930507588</c:v>
                </c:pt>
                <c:pt idx="1">
                  <c:v>-43.407375880425761</c:v>
                </c:pt>
                <c:pt idx="2">
                  <c:v>-42.219169449023425</c:v>
                </c:pt>
                <c:pt idx="3">
                  <c:v>-41.287083208835845</c:v>
                </c:pt>
                <c:pt idx="4">
                  <c:v>-40.600133698895426</c:v>
                </c:pt>
                <c:pt idx="5">
                  <c:v>-40.009921548198946</c:v>
                </c:pt>
                <c:pt idx="6">
                  <c:v>-39.488691539684673</c:v>
                </c:pt>
                <c:pt idx="7">
                  <c:v>-38.948664955125039</c:v>
                </c:pt>
                <c:pt idx="8">
                  <c:v>-38.500038913544543</c:v>
                </c:pt>
                <c:pt idx="9">
                  <c:v>-38.024971081685749</c:v>
                </c:pt>
                <c:pt idx="10">
                  <c:v>-37.607479111043283</c:v>
                </c:pt>
                <c:pt idx="11">
                  <c:v>-37.149346828743361</c:v>
                </c:pt>
                <c:pt idx="12">
                  <c:v>-36.735451263649423</c:v>
                </c:pt>
                <c:pt idx="13">
                  <c:v>-36.328299573888813</c:v>
                </c:pt>
                <c:pt idx="14">
                  <c:v>-35.937929236820644</c:v>
                </c:pt>
                <c:pt idx="15">
                  <c:v>-35.525698588933665</c:v>
                </c:pt>
                <c:pt idx="16">
                  <c:v>-35.07221039060974</c:v>
                </c:pt>
                <c:pt idx="17">
                  <c:v>-34.626327282947138</c:v>
                </c:pt>
                <c:pt idx="18">
                  <c:v>-34.197661042439869</c:v>
                </c:pt>
                <c:pt idx="19">
                  <c:v>-33.68769084588854</c:v>
                </c:pt>
                <c:pt idx="20">
                  <c:v>-33.1678520926557</c:v>
                </c:pt>
                <c:pt idx="21">
                  <c:v>-32.615878652062456</c:v>
                </c:pt>
                <c:pt idx="22">
                  <c:v>-32.019682925748675</c:v>
                </c:pt>
                <c:pt idx="23">
                  <c:v>-31.061240197673531</c:v>
                </c:pt>
                <c:pt idx="24">
                  <c:v>-7.2332042718274749</c:v>
                </c:pt>
                <c:pt idx="25">
                  <c:v>3.8329689327934915</c:v>
                </c:pt>
                <c:pt idx="26">
                  <c:v>12.502032385284082</c:v>
                </c:pt>
                <c:pt idx="27">
                  <c:v>21.041393187469467</c:v>
                </c:pt>
                <c:pt idx="28">
                  <c:v>28.519639838563428</c:v>
                </c:pt>
                <c:pt idx="29">
                  <c:v>36.073011835164628</c:v>
                </c:pt>
                <c:pt idx="30">
                  <c:v>43.0985813516821</c:v>
                </c:pt>
                <c:pt idx="31">
                  <c:v>50.09481060495564</c:v>
                </c:pt>
                <c:pt idx="32">
                  <c:v>58.102049424891781</c:v>
                </c:pt>
                <c:pt idx="33">
                  <c:v>66.786330158481491</c:v>
                </c:pt>
                <c:pt idx="34">
                  <c:v>75.321186700872317</c:v>
                </c:pt>
                <c:pt idx="35">
                  <c:v>84.290866483936654</c:v>
                </c:pt>
                <c:pt idx="36">
                  <c:v>93.921815943925523</c:v>
                </c:pt>
                <c:pt idx="37">
                  <c:v>104.69253364187711</c:v>
                </c:pt>
                <c:pt idx="38">
                  <c:v>116.66807559937588</c:v>
                </c:pt>
                <c:pt idx="39">
                  <c:v>129.99754084169234</c:v>
                </c:pt>
                <c:pt idx="40">
                  <c:v>144.4563819660581</c:v>
                </c:pt>
                <c:pt idx="41">
                  <c:v>159.71145326214634</c:v>
                </c:pt>
                <c:pt idx="42">
                  <c:v>175.62816990721035</c:v>
                </c:pt>
                <c:pt idx="43">
                  <c:v>194.00233192920467</c:v>
                </c:pt>
                <c:pt idx="44">
                  <c:v>213.53966007898845</c:v>
                </c:pt>
                <c:pt idx="45">
                  <c:v>238.53224642125218</c:v>
                </c:pt>
                <c:pt idx="46">
                  <c:v>273.06822635425772</c:v>
                </c:pt>
                <c:pt idx="47">
                  <c:v>314.6701243506451</c:v>
                </c:pt>
                <c:pt idx="48">
                  <c:v>379.50729513663396</c:v>
                </c:pt>
                <c:pt idx="49">
                  <c:v>521.68917483032067</c:v>
                </c:pt>
              </c:numCache>
            </c:numRef>
          </c:xVal>
          <c:yVal>
            <c:numRef>
              <c:f>'Результаты'!$B$49:$B$98</c:f>
              <c:numCache>
                <c:formatCode>0%</c:formatCode>
                <c:ptCount val="50"/>
                <c:pt idx="0">
                  <c:v>0.01</c:v>
                </c:pt>
                <c:pt idx="1">
                  <c:v>0.03</c:v>
                </c:pt>
                <c:pt idx="2">
                  <c:v>0.05</c:v>
                </c:pt>
                <c:pt idx="3">
                  <c:v>7.0000000000000007E-2</c:v>
                </c:pt>
                <c:pt idx="4">
                  <c:v>0.09</c:v>
                </c:pt>
                <c:pt idx="5">
                  <c:v>0.11</c:v>
                </c:pt>
                <c:pt idx="6">
                  <c:v>0.13</c:v>
                </c:pt>
                <c:pt idx="7">
                  <c:v>0.15</c:v>
                </c:pt>
                <c:pt idx="8">
                  <c:v>0.17</c:v>
                </c:pt>
                <c:pt idx="9">
                  <c:v>0.19</c:v>
                </c:pt>
                <c:pt idx="10">
                  <c:v>0.21</c:v>
                </c:pt>
                <c:pt idx="11">
                  <c:v>0.23</c:v>
                </c:pt>
                <c:pt idx="12">
                  <c:v>0.25</c:v>
                </c:pt>
                <c:pt idx="13">
                  <c:v>0.27</c:v>
                </c:pt>
                <c:pt idx="14">
                  <c:v>0.28999999999999998</c:v>
                </c:pt>
                <c:pt idx="15">
                  <c:v>0.31</c:v>
                </c:pt>
                <c:pt idx="16">
                  <c:v>0.33</c:v>
                </c:pt>
                <c:pt idx="17">
                  <c:v>0.35</c:v>
                </c:pt>
                <c:pt idx="18">
                  <c:v>0.37</c:v>
                </c:pt>
                <c:pt idx="19">
                  <c:v>0.39</c:v>
                </c:pt>
                <c:pt idx="20">
                  <c:v>0.41</c:v>
                </c:pt>
                <c:pt idx="21">
                  <c:v>0.43</c:v>
                </c:pt>
                <c:pt idx="22">
                  <c:v>0.45</c:v>
                </c:pt>
                <c:pt idx="23">
                  <c:v>0.47</c:v>
                </c:pt>
                <c:pt idx="24">
                  <c:v>0.49</c:v>
                </c:pt>
                <c:pt idx="25">
                  <c:v>0.51</c:v>
                </c:pt>
                <c:pt idx="26">
                  <c:v>0.53</c:v>
                </c:pt>
                <c:pt idx="27">
                  <c:v>0.55000000000000004</c:v>
                </c:pt>
                <c:pt idx="28">
                  <c:v>0.56999999999999995</c:v>
                </c:pt>
                <c:pt idx="29">
                  <c:v>0.59</c:v>
                </c:pt>
                <c:pt idx="30">
                  <c:v>0.61</c:v>
                </c:pt>
                <c:pt idx="31">
                  <c:v>0.63</c:v>
                </c:pt>
                <c:pt idx="32">
                  <c:v>0.65</c:v>
                </c:pt>
                <c:pt idx="33">
                  <c:v>0.67</c:v>
                </c:pt>
                <c:pt idx="34">
                  <c:v>0.69</c:v>
                </c:pt>
                <c:pt idx="35">
                  <c:v>0.71</c:v>
                </c:pt>
                <c:pt idx="36">
                  <c:v>0.73</c:v>
                </c:pt>
                <c:pt idx="37">
                  <c:v>0.75</c:v>
                </c:pt>
                <c:pt idx="38">
                  <c:v>0.77</c:v>
                </c:pt>
                <c:pt idx="39">
                  <c:v>0.79</c:v>
                </c:pt>
                <c:pt idx="40">
                  <c:v>0.81</c:v>
                </c:pt>
                <c:pt idx="41">
                  <c:v>0.83</c:v>
                </c:pt>
                <c:pt idx="42">
                  <c:v>0.85</c:v>
                </c:pt>
                <c:pt idx="43">
                  <c:v>0.87</c:v>
                </c:pt>
                <c:pt idx="44">
                  <c:v>0.89</c:v>
                </c:pt>
                <c:pt idx="45">
                  <c:v>0.91</c:v>
                </c:pt>
                <c:pt idx="46">
                  <c:v>0.93</c:v>
                </c:pt>
                <c:pt idx="47">
                  <c:v>0.95</c:v>
                </c:pt>
                <c:pt idx="48">
                  <c:v>0.97</c:v>
                </c:pt>
                <c:pt idx="49">
                  <c:v>0.99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1480-4C8C-9017-6DFA5A3670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"/>
        <c:axId val="20"/>
      </c:scatterChart>
      <c:valAx>
        <c:axId val="1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Ценность (млн долл.)</a:t>
                </a:r>
              </a:p>
            </c:rich>
          </c:tx>
          <c:overlay val="0"/>
        </c:title>
        <c:numFmt formatCode="#,##0" sourceLinked="0"/>
        <c:majorTickMark val="none"/>
        <c:minorTickMark val="none"/>
        <c:tickLblPos val="nextTo"/>
        <c:crossAx val="20"/>
        <c:crosses val="autoZero"/>
        <c:crossBetween val="midCat"/>
      </c:valAx>
      <c:valAx>
        <c:axId val="20"/>
        <c:scaling>
          <c:orientation val="minMax"/>
          <c:max val="1"/>
          <c:min val="0"/>
        </c:scaling>
        <c:delete val="0"/>
        <c:axPos val="l"/>
        <c:majorGridlines>
          <c:spPr>
            <a:ln>
              <a:solidFill>
                <a:srgbClr val="ECEDE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Накопленная вероятность</a:t>
                </a:r>
              </a:p>
            </c:rich>
          </c:tx>
          <c:overlay val="0"/>
        </c:title>
        <c:numFmt formatCode="0%" sourceLinked="0"/>
        <c:majorTickMark val="none"/>
        <c:minorTickMark val="none"/>
        <c:tickLblPos val="nextTo"/>
        <c:crossAx val="10"/>
        <c:crosses val="min"/>
        <c:crossBetween val="midCat"/>
      </c:valAx>
    </c:plotArea>
    <c:legend>
      <c:legendPos val="b"/>
      <c:overlay val="0"/>
    </c:legend>
    <c:plotVisOnly val="0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13"/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v>Вероятность объема не меньше этого</c:v>
          </c:tx>
          <c:spPr>
            <a:ln w="25400">
              <a:solidFill>
                <a:srgbClr val="2F3136"/>
              </a:solidFill>
              <a:prstDash val="solid"/>
            </a:ln>
          </c:spPr>
          <c:marker>
            <c:symbol val="none"/>
          </c:marker>
          <c:xVal>
            <c:numRef>
              <c:f>'Результаты'!$E$49:$E$98</c:f>
              <c:numCache>
                <c:formatCode>#,##0.00</c:formatCode>
                <c:ptCount val="5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6.492146737880649</c:v>
                </c:pt>
                <c:pt idx="25">
                  <c:v>8.4276352970374742</c:v>
                </c:pt>
                <c:pt idx="26">
                  <c:v>10.179162027367473</c:v>
                </c:pt>
                <c:pt idx="27">
                  <c:v>11.664245015146607</c:v>
                </c:pt>
                <c:pt idx="28">
                  <c:v>13.040688212832768</c:v>
                </c:pt>
                <c:pt idx="29">
                  <c:v>14.503659482628368</c:v>
                </c:pt>
                <c:pt idx="30">
                  <c:v>16.065610101500187</c:v>
                </c:pt>
                <c:pt idx="31">
                  <c:v>17.459092122680676</c:v>
                </c:pt>
                <c:pt idx="32">
                  <c:v>18.909902837018869</c:v>
                </c:pt>
                <c:pt idx="33">
                  <c:v>20.283614814122991</c:v>
                </c:pt>
                <c:pt idx="34">
                  <c:v>22.068421775261548</c:v>
                </c:pt>
                <c:pt idx="35">
                  <c:v>24.216570768187161</c:v>
                </c:pt>
                <c:pt idx="36">
                  <c:v>26.12987306812261</c:v>
                </c:pt>
                <c:pt idx="37">
                  <c:v>28.167789268624137</c:v>
                </c:pt>
                <c:pt idx="38">
                  <c:v>30.252131944863201</c:v>
                </c:pt>
                <c:pt idx="39">
                  <c:v>32.875937354454408</c:v>
                </c:pt>
                <c:pt idx="40">
                  <c:v>35.50800815461448</c:v>
                </c:pt>
                <c:pt idx="41">
                  <c:v>38.298125292761135</c:v>
                </c:pt>
                <c:pt idx="42">
                  <c:v>41.766797079766555</c:v>
                </c:pt>
                <c:pt idx="43">
                  <c:v>45.194015240487069</c:v>
                </c:pt>
                <c:pt idx="44">
                  <c:v>49.106537835939996</c:v>
                </c:pt>
                <c:pt idx="45">
                  <c:v>53.336672427138744</c:v>
                </c:pt>
                <c:pt idx="46">
                  <c:v>58.866195127152821</c:v>
                </c:pt>
                <c:pt idx="47">
                  <c:v>66.5974731019665</c:v>
                </c:pt>
                <c:pt idx="48">
                  <c:v>79.281513388067907</c:v>
                </c:pt>
                <c:pt idx="49">
                  <c:v>106.03529234486774</c:v>
                </c:pt>
              </c:numCache>
            </c:numRef>
          </c:xVal>
          <c:yVal>
            <c:numRef>
              <c:f>'Результаты'!$C$49:$C$98</c:f>
              <c:numCache>
                <c:formatCode>0%</c:formatCode>
                <c:ptCount val="50"/>
                <c:pt idx="0">
                  <c:v>0.99</c:v>
                </c:pt>
                <c:pt idx="1">
                  <c:v>0.97</c:v>
                </c:pt>
                <c:pt idx="2">
                  <c:v>0.95</c:v>
                </c:pt>
                <c:pt idx="3">
                  <c:v>0.92999999999999994</c:v>
                </c:pt>
                <c:pt idx="4">
                  <c:v>0.91</c:v>
                </c:pt>
                <c:pt idx="5">
                  <c:v>0.89</c:v>
                </c:pt>
                <c:pt idx="6">
                  <c:v>0.87</c:v>
                </c:pt>
                <c:pt idx="7">
                  <c:v>0.85</c:v>
                </c:pt>
                <c:pt idx="8">
                  <c:v>0.83</c:v>
                </c:pt>
                <c:pt idx="9">
                  <c:v>0.81</c:v>
                </c:pt>
                <c:pt idx="10">
                  <c:v>0.79</c:v>
                </c:pt>
                <c:pt idx="11">
                  <c:v>0.77</c:v>
                </c:pt>
                <c:pt idx="12">
                  <c:v>0.75</c:v>
                </c:pt>
                <c:pt idx="13">
                  <c:v>0.73</c:v>
                </c:pt>
                <c:pt idx="14">
                  <c:v>0.71</c:v>
                </c:pt>
                <c:pt idx="15">
                  <c:v>0.69</c:v>
                </c:pt>
                <c:pt idx="16">
                  <c:v>0.66999999999999993</c:v>
                </c:pt>
                <c:pt idx="17">
                  <c:v>0.65</c:v>
                </c:pt>
                <c:pt idx="18">
                  <c:v>0.63</c:v>
                </c:pt>
                <c:pt idx="19">
                  <c:v>0.61</c:v>
                </c:pt>
                <c:pt idx="20">
                  <c:v>0.59000000000000008</c:v>
                </c:pt>
                <c:pt idx="21">
                  <c:v>0.57000000000000006</c:v>
                </c:pt>
                <c:pt idx="22">
                  <c:v>0.55000000000000004</c:v>
                </c:pt>
                <c:pt idx="23">
                  <c:v>0.53</c:v>
                </c:pt>
                <c:pt idx="24">
                  <c:v>0.51</c:v>
                </c:pt>
                <c:pt idx="25">
                  <c:v>0.49</c:v>
                </c:pt>
                <c:pt idx="26">
                  <c:v>0.47</c:v>
                </c:pt>
                <c:pt idx="27">
                  <c:v>0.44999999999999996</c:v>
                </c:pt>
                <c:pt idx="28">
                  <c:v>0.43000000000000005</c:v>
                </c:pt>
                <c:pt idx="29">
                  <c:v>0.41000000000000003</c:v>
                </c:pt>
                <c:pt idx="30">
                  <c:v>0.39</c:v>
                </c:pt>
                <c:pt idx="31">
                  <c:v>0.37</c:v>
                </c:pt>
                <c:pt idx="32">
                  <c:v>0.35</c:v>
                </c:pt>
                <c:pt idx="33">
                  <c:v>0.32999999999999996</c:v>
                </c:pt>
                <c:pt idx="34">
                  <c:v>0.31000000000000005</c:v>
                </c:pt>
                <c:pt idx="35">
                  <c:v>0.29000000000000004</c:v>
                </c:pt>
                <c:pt idx="36">
                  <c:v>0.27</c:v>
                </c:pt>
                <c:pt idx="37">
                  <c:v>0.25</c:v>
                </c:pt>
                <c:pt idx="38">
                  <c:v>0.22999999999999998</c:v>
                </c:pt>
                <c:pt idx="39">
                  <c:v>0.20999999999999996</c:v>
                </c:pt>
                <c:pt idx="40">
                  <c:v>0.18999999999999995</c:v>
                </c:pt>
                <c:pt idx="41">
                  <c:v>0.17000000000000004</c:v>
                </c:pt>
                <c:pt idx="42">
                  <c:v>0.15000000000000002</c:v>
                </c:pt>
                <c:pt idx="43">
                  <c:v>0.13</c:v>
                </c:pt>
                <c:pt idx="44">
                  <c:v>0.10999999999999999</c:v>
                </c:pt>
                <c:pt idx="45">
                  <c:v>8.9999999999999969E-2</c:v>
                </c:pt>
                <c:pt idx="46">
                  <c:v>6.9999999999999951E-2</c:v>
                </c:pt>
                <c:pt idx="47">
                  <c:v>5.0000000000000044E-2</c:v>
                </c:pt>
                <c:pt idx="48">
                  <c:v>3.0000000000000027E-2</c:v>
                </c:pt>
                <c:pt idx="49">
                  <c:v>1.0000000000000009E-2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7FF8-4C4E-8228-912D0A14D9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"/>
        <c:axId val="20"/>
      </c:scatterChart>
      <c:valAx>
        <c:axId val="1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Объем открытия (млн барр.)</a:t>
                </a:r>
              </a:p>
            </c:rich>
          </c:tx>
          <c:overlay val="0"/>
        </c:title>
        <c:numFmt formatCode="#,##0" sourceLinked="0"/>
        <c:majorTickMark val="none"/>
        <c:minorTickMark val="none"/>
        <c:tickLblPos val="nextTo"/>
        <c:crossAx val="20"/>
        <c:crosses val="autoZero"/>
        <c:crossBetween val="midCat"/>
      </c:valAx>
      <c:valAx>
        <c:axId val="20"/>
        <c:scaling>
          <c:orientation val="minMax"/>
          <c:max val="1"/>
          <c:min val="0"/>
        </c:scaling>
        <c:delete val="0"/>
        <c:axPos val="l"/>
        <c:majorGridlines>
          <c:spPr>
            <a:ln>
              <a:solidFill>
                <a:srgbClr val="ECEDE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Вероятность значения не меньше этого</a:t>
                </a:r>
              </a:p>
            </c:rich>
          </c:tx>
          <c:overlay val="0"/>
        </c:title>
        <c:numFmt formatCode="0%" sourceLinked="0"/>
        <c:majorTickMark val="none"/>
        <c:minorTickMark val="none"/>
        <c:tickLblPos val="nextTo"/>
        <c:crossAx val="10"/>
        <c:crosses val="min"/>
        <c:crossBetween val="midCat"/>
      </c:valAx>
    </c:plotArea>
    <c:legend>
      <c:legendPos val="b"/>
      <c:overlay val="0"/>
    </c:legend>
    <c:plotVisOnly val="0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19</xdr:row>
      <xdr:rowOff>0</xdr:rowOff>
    </xdr:from>
    <xdr:ext cx="9144000" cy="15240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8</xdr:row>
      <xdr:rowOff>0</xdr:rowOff>
    </xdr:from>
    <xdr:ext cx="6263999" cy="252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8</xdr:col>
      <xdr:colOff>0</xdr:colOff>
      <xdr:row>25</xdr:row>
      <xdr:rowOff>0</xdr:rowOff>
    </xdr:from>
    <xdr:ext cx="6263999" cy="2376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2F3136"/>
    <pageSetUpPr fitToPage="1"/>
  </sheetPr>
  <dimension ref="A1:D73"/>
  <sheetViews>
    <sheetView showGridLines="0" tabSelected="1" workbookViewId="0">
      <pane ySplit="5" topLeftCell="A6" activePane="bottomLeft" state="frozen"/>
      <selection pane="bottomLeft"/>
    </sheetView>
  </sheetViews>
  <sheetFormatPr defaultRowHeight="14.25" x14ac:dyDescent="0.45"/>
  <cols>
    <col min="1" max="1" width="2" customWidth="1"/>
    <col min="2" max="2" width="26" customWidth="1"/>
    <col min="3" max="3" width="112" customWidth="1"/>
    <col min="4" max="4" width="2" customWidth="1"/>
    <col min="6" max="6" width="9.06640625" customWidth="1"/>
  </cols>
  <sheetData>
    <row r="1" spans="1:4" ht="6" customHeight="1" x14ac:dyDescent="0.45"/>
    <row r="2" spans="1:4" ht="34.049999999999997" customHeight="1" x14ac:dyDescent="0.45">
      <c r="A2" s="1"/>
      <c r="B2" s="2" t="s">
        <v>0</v>
      </c>
      <c r="C2" s="1"/>
      <c r="D2" s="3" t="s">
        <v>1</v>
      </c>
    </row>
    <row r="3" spans="1:4" ht="20" customHeight="1" x14ac:dyDescent="0.45">
      <c r="A3" s="1"/>
      <c r="B3" s="4" t="s">
        <v>2</v>
      </c>
      <c r="C3" s="1"/>
      <c r="D3" s="1"/>
    </row>
    <row r="4" spans="1:4" ht="20" customHeight="1" x14ac:dyDescent="0.45">
      <c r="A4" s="5"/>
      <c r="B4" s="5"/>
      <c r="C4" s="5"/>
      <c r="D4" s="6" t="s">
        <v>3</v>
      </c>
    </row>
    <row r="5" spans="1:4" ht="8" customHeight="1" x14ac:dyDescent="0.45"/>
    <row r="6" spans="1:4" ht="22.05" customHeight="1" x14ac:dyDescent="0.5">
      <c r="B6" s="7" t="s">
        <v>4</v>
      </c>
      <c r="C6" s="8"/>
    </row>
    <row r="7" spans="1:4" x14ac:dyDescent="0.45">
      <c r="B7" s="9" t="s">
        <v>5</v>
      </c>
      <c r="C7" s="10" t="s">
        <v>6</v>
      </c>
    </row>
    <row r="8" spans="1:4" x14ac:dyDescent="0.45">
      <c r="B8" s="9" t="s">
        <v>7</v>
      </c>
      <c r="C8" s="10" t="s">
        <v>8</v>
      </c>
    </row>
    <row r="9" spans="1:4" ht="26.25" x14ac:dyDescent="0.45">
      <c r="B9" s="9" t="s">
        <v>9</v>
      </c>
      <c r="C9" s="11" t="s">
        <v>10</v>
      </c>
    </row>
    <row r="10" spans="1:4" x14ac:dyDescent="0.45">
      <c r="B10" s="9" t="s">
        <v>11</v>
      </c>
      <c r="C10" s="10" t="s">
        <v>12</v>
      </c>
    </row>
    <row r="11" spans="1:4" x14ac:dyDescent="0.45">
      <c r="B11" s="9" t="s">
        <v>13</v>
      </c>
      <c r="C11" s="10" t="s">
        <v>14</v>
      </c>
    </row>
    <row r="12" spans="1:4" ht="26.25" x14ac:dyDescent="0.45">
      <c r="B12" s="9" t="s">
        <v>15</v>
      </c>
      <c r="C12" s="10" t="s">
        <v>16</v>
      </c>
    </row>
    <row r="13" spans="1:4" x14ac:dyDescent="0.45">
      <c r="B13" s="9" t="s">
        <v>17</v>
      </c>
      <c r="C13" s="10" t="s">
        <v>18</v>
      </c>
    </row>
    <row r="14" spans="1:4" ht="12" customHeight="1" x14ac:dyDescent="0.45"/>
    <row r="15" spans="1:4" ht="22.05" customHeight="1" x14ac:dyDescent="0.5">
      <c r="B15" s="7" t="s">
        <v>19</v>
      </c>
      <c r="C15" s="8"/>
    </row>
    <row r="16" spans="1:4" ht="57" customHeight="1" x14ac:dyDescent="0.45">
      <c r="B16" s="60" t="s">
        <v>20</v>
      </c>
      <c r="C16" s="61"/>
    </row>
    <row r="17" spans="2:3" ht="12" customHeight="1" x14ac:dyDescent="0.45"/>
    <row r="18" spans="2:3" ht="22.05" customHeight="1" x14ac:dyDescent="0.5">
      <c r="B18" s="7" t="s">
        <v>21</v>
      </c>
      <c r="C18" s="8"/>
    </row>
    <row r="19" spans="2:3" ht="18" customHeight="1" x14ac:dyDescent="0.45">
      <c r="B19" s="13" t="s">
        <v>22</v>
      </c>
    </row>
    <row r="20" spans="2:3" ht="15" customHeight="1" x14ac:dyDescent="0.45"/>
    <row r="21" spans="2:3" ht="15" customHeight="1" x14ac:dyDescent="0.45"/>
    <row r="22" spans="2:3" ht="15" customHeight="1" x14ac:dyDescent="0.45"/>
    <row r="23" spans="2:3" ht="15" customHeight="1" x14ac:dyDescent="0.45"/>
    <row r="24" spans="2:3" ht="15" customHeight="1" x14ac:dyDescent="0.45"/>
    <row r="25" spans="2:3" ht="15" customHeight="1" x14ac:dyDescent="0.45"/>
    <row r="26" spans="2:3" ht="15" customHeight="1" x14ac:dyDescent="0.45"/>
    <row r="27" spans="2:3" ht="15" customHeight="1" x14ac:dyDescent="0.45"/>
    <row r="28" spans="2:3" x14ac:dyDescent="0.45">
      <c r="B28" s="9" t="s">
        <v>23</v>
      </c>
      <c r="C28" s="10" t="s">
        <v>24</v>
      </c>
    </row>
    <row r="29" spans="2:3" ht="39.4" x14ac:dyDescent="0.45">
      <c r="B29" s="9" t="s">
        <v>25</v>
      </c>
      <c r="C29" s="10" t="s">
        <v>26</v>
      </c>
    </row>
    <row r="30" spans="2:3" ht="26.25" x14ac:dyDescent="0.45">
      <c r="B30" s="9" t="s">
        <v>27</v>
      </c>
      <c r="C30" s="10" t="s">
        <v>28</v>
      </c>
    </row>
    <row r="31" spans="2:3" ht="12" customHeight="1" x14ac:dyDescent="0.45"/>
    <row r="32" spans="2:3" ht="22.05" customHeight="1" x14ac:dyDescent="0.5">
      <c r="B32" s="7" t="s">
        <v>29</v>
      </c>
      <c r="C32" s="8"/>
    </row>
    <row r="33" spans="2:3" x14ac:dyDescent="0.45">
      <c r="B33" s="9" t="s">
        <v>30</v>
      </c>
      <c r="C33" s="10" t="s">
        <v>31</v>
      </c>
    </row>
    <row r="34" spans="2:3" x14ac:dyDescent="0.45">
      <c r="B34" s="9" t="s">
        <v>32</v>
      </c>
      <c r="C34" s="10" t="s">
        <v>33</v>
      </c>
    </row>
    <row r="35" spans="2:3" x14ac:dyDescent="0.45">
      <c r="B35" s="9" t="s">
        <v>34</v>
      </c>
      <c r="C35" s="10" t="s">
        <v>35</v>
      </c>
    </row>
    <row r="36" spans="2:3" x14ac:dyDescent="0.45">
      <c r="B36" s="9" t="s">
        <v>36</v>
      </c>
      <c r="C36" s="10" t="s">
        <v>37</v>
      </c>
    </row>
    <row r="37" spans="2:3" ht="12" customHeight="1" x14ac:dyDescent="0.45"/>
    <row r="38" spans="2:3" ht="22.05" customHeight="1" x14ac:dyDescent="0.5">
      <c r="B38" s="7" t="s">
        <v>38</v>
      </c>
      <c r="C38" s="8"/>
    </row>
    <row r="39" spans="2:3" x14ac:dyDescent="0.45">
      <c r="B39" s="14" t="s">
        <v>39</v>
      </c>
      <c r="C39" s="10" t="s">
        <v>40</v>
      </c>
    </row>
    <row r="40" spans="2:3" x14ac:dyDescent="0.45">
      <c r="B40" s="14" t="s">
        <v>41</v>
      </c>
      <c r="C40" s="10" t="s">
        <v>42</v>
      </c>
    </row>
    <row r="41" spans="2:3" x14ac:dyDescent="0.45">
      <c r="B41" s="14" t="s">
        <v>43</v>
      </c>
      <c r="C41" s="10" t="s">
        <v>44</v>
      </c>
    </row>
    <row r="42" spans="2:3" ht="12" customHeight="1" x14ac:dyDescent="0.45"/>
    <row r="43" spans="2:3" ht="22.05" customHeight="1" x14ac:dyDescent="0.5">
      <c r="B43" s="7" t="s">
        <v>45</v>
      </c>
      <c r="C43" s="8"/>
    </row>
    <row r="44" spans="2:3" x14ac:dyDescent="0.45">
      <c r="B44" s="15" t="s">
        <v>46</v>
      </c>
      <c r="C44" s="12" t="s">
        <v>47</v>
      </c>
    </row>
    <row r="45" spans="2:3" x14ac:dyDescent="0.45">
      <c r="B45" s="16" t="s">
        <v>48</v>
      </c>
      <c r="C45" s="12" t="s">
        <v>49</v>
      </c>
    </row>
    <row r="46" spans="2:3" x14ac:dyDescent="0.45">
      <c r="B46" s="17" t="s">
        <v>50</v>
      </c>
      <c r="C46" s="12" t="s">
        <v>51</v>
      </c>
    </row>
    <row r="47" spans="2:3" x14ac:dyDescent="0.45">
      <c r="B47" s="18" t="s">
        <v>52</v>
      </c>
      <c r="C47" s="12" t="s">
        <v>53</v>
      </c>
    </row>
    <row r="48" spans="2:3" x14ac:dyDescent="0.45">
      <c r="B48" s="19" t="s">
        <v>54</v>
      </c>
      <c r="C48" s="12" t="s">
        <v>55</v>
      </c>
    </row>
    <row r="49" spans="2:3" ht="12" customHeight="1" x14ac:dyDescent="0.45"/>
    <row r="50" spans="2:3" ht="22.05" customHeight="1" x14ac:dyDescent="0.5">
      <c r="B50" s="7" t="s">
        <v>56</v>
      </c>
      <c r="C50" s="8"/>
    </row>
    <row r="51" spans="2:3" x14ac:dyDescent="0.45">
      <c r="B51" s="9" t="s">
        <v>57</v>
      </c>
      <c r="C51" s="10" t="s">
        <v>58</v>
      </c>
    </row>
    <row r="52" spans="2:3" x14ac:dyDescent="0.45">
      <c r="B52" s="9" t="s">
        <v>59</v>
      </c>
      <c r="C52" s="10" t="s">
        <v>60</v>
      </c>
    </row>
    <row r="53" spans="2:3" x14ac:dyDescent="0.45">
      <c r="B53" s="9" t="s">
        <v>61</v>
      </c>
      <c r="C53" s="10" t="s">
        <v>62</v>
      </c>
    </row>
    <row r="54" spans="2:3" ht="12" customHeight="1" x14ac:dyDescent="0.45"/>
    <row r="55" spans="2:3" ht="22.05" customHeight="1" x14ac:dyDescent="0.5">
      <c r="B55" s="7" t="s">
        <v>63</v>
      </c>
      <c r="C55" s="8"/>
    </row>
    <row r="56" spans="2:3" x14ac:dyDescent="0.45">
      <c r="B56" s="9" t="s">
        <v>64</v>
      </c>
      <c r="C56" s="10" t="s">
        <v>65</v>
      </c>
    </row>
    <row r="57" spans="2:3" x14ac:dyDescent="0.45">
      <c r="B57" s="9" t="s">
        <v>61</v>
      </c>
      <c r="C57" s="10" t="s">
        <v>66</v>
      </c>
    </row>
    <row r="58" spans="2:3" x14ac:dyDescent="0.45">
      <c r="B58" s="9" t="s">
        <v>59</v>
      </c>
      <c r="C58" s="10" t="s">
        <v>67</v>
      </c>
    </row>
    <row r="59" spans="2:3" x14ac:dyDescent="0.45">
      <c r="B59" s="9" t="s">
        <v>68</v>
      </c>
      <c r="C59" s="10" t="s">
        <v>69</v>
      </c>
    </row>
    <row r="60" spans="2:3" ht="12" customHeight="1" x14ac:dyDescent="0.45"/>
    <row r="61" spans="2:3" ht="22.05" customHeight="1" x14ac:dyDescent="0.5">
      <c r="B61" s="7" t="s">
        <v>70</v>
      </c>
      <c r="C61" s="8"/>
    </row>
    <row r="62" spans="2:3" x14ac:dyDescent="0.45">
      <c r="B62" s="20" t="s">
        <v>71</v>
      </c>
      <c r="C62" s="10" t="s">
        <v>72</v>
      </c>
    </row>
    <row r="63" spans="2:3" x14ac:dyDescent="0.45">
      <c r="B63" s="20" t="s">
        <v>73</v>
      </c>
      <c r="C63" s="10" t="s">
        <v>74</v>
      </c>
    </row>
    <row r="64" spans="2:3" x14ac:dyDescent="0.45">
      <c r="B64" s="20" t="s">
        <v>75</v>
      </c>
      <c r="C64" s="10" t="s">
        <v>76</v>
      </c>
    </row>
    <row r="65" spans="2:3" x14ac:dyDescent="0.45">
      <c r="B65" s="20" t="s">
        <v>77</v>
      </c>
      <c r="C65" s="10" t="s">
        <v>78</v>
      </c>
    </row>
    <row r="66" spans="2:3" ht="39.4" x14ac:dyDescent="0.45">
      <c r="B66" s="20" t="s">
        <v>79</v>
      </c>
      <c r="C66" s="10" t="s">
        <v>80</v>
      </c>
    </row>
    <row r="67" spans="2:3" ht="12" customHeight="1" x14ac:dyDescent="0.45"/>
    <row r="68" spans="2:3" ht="22.05" customHeight="1" x14ac:dyDescent="0.5">
      <c r="B68" s="7" t="s">
        <v>81</v>
      </c>
      <c r="C68" s="8"/>
    </row>
    <row r="69" spans="2:3" x14ac:dyDescent="0.45">
      <c r="B69" s="9" t="s">
        <v>82</v>
      </c>
      <c r="C69" s="10" t="s">
        <v>83</v>
      </c>
    </row>
    <row r="70" spans="2:3" x14ac:dyDescent="0.45">
      <c r="B70" s="9" t="s">
        <v>84</v>
      </c>
      <c r="C70" s="10" t="s">
        <v>85</v>
      </c>
    </row>
    <row r="71" spans="2:3" x14ac:dyDescent="0.45">
      <c r="B71" s="9" t="s">
        <v>86</v>
      </c>
      <c r="C71" s="10" t="s">
        <v>87</v>
      </c>
    </row>
    <row r="72" spans="2:3" ht="16.05" customHeight="1" x14ac:dyDescent="0.45"/>
    <row r="73" spans="2:3" x14ac:dyDescent="0.45">
      <c r="B73" s="62" t="s">
        <v>88</v>
      </c>
      <c r="C73" s="61"/>
    </row>
  </sheetData>
  <mergeCells count="2">
    <mergeCell ref="B16:C16"/>
    <mergeCell ref="B73:C73"/>
  </mergeCells>
  <hyperlinks>
    <hyperlink ref="D4" location="'Исходные данные'!A1" display="Далее:  Исходные данные  ▸" xr:uid="{00000000-0004-0000-0000-000000000000}"/>
    <hyperlink ref="B39" location="'Исходные данные'!A1" display="Исходные данные" xr:uid="{00000000-0004-0000-0000-000001000000}"/>
    <hyperlink ref="B40" location="'Исходы'!A1" display="Исходы" xr:uid="{00000000-0004-0000-0000-000002000000}"/>
    <hyperlink ref="B41" location="'Результаты'!A1" display="Результаты" xr:uid="{00000000-0004-0000-0000-000003000000}"/>
  </hyperlinks>
  <printOptions horizontalCentered="1"/>
  <pageMargins left="0.4" right="0.4" top="0.5" bottom="0.6" header="0.25" footer="0.25"/>
  <pageSetup paperSize="9" scale="67" fitToHeight="0" orientation="portrait" r:id="rId1"/>
  <headerFooter>
    <oddFooter>&amp;L&amp;K3F5876&amp;8&amp;F · &amp;A&amp;R&amp;K3F5876&amp;8Page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E0A800"/>
    <pageSetUpPr fitToPage="1"/>
  </sheetPr>
  <dimension ref="A1:J32"/>
  <sheetViews>
    <sheetView showGridLines="0" workbookViewId="0">
      <pane ySplit="5" topLeftCell="A6" activePane="bottomLeft" state="frozen"/>
      <selection pane="bottomLeft"/>
    </sheetView>
  </sheetViews>
  <sheetFormatPr defaultRowHeight="14.25" x14ac:dyDescent="0.45"/>
  <cols>
    <col min="1" max="1" width="2" customWidth="1"/>
    <col min="2" max="2" width="44" customWidth="1"/>
    <col min="3" max="3" width="19" customWidth="1"/>
    <col min="4" max="4" width="13" customWidth="1"/>
    <col min="5" max="5" width="19" customWidth="1"/>
    <col min="6" max="9" width="10" customWidth="1"/>
    <col min="10" max="10" width="59" customWidth="1"/>
    <col min="12" max="12" width="9.06640625" customWidth="1"/>
  </cols>
  <sheetData>
    <row r="1" spans="1:10" ht="6" customHeight="1" x14ac:dyDescent="0.45"/>
    <row r="2" spans="1:10" ht="30" customHeight="1" x14ac:dyDescent="0.45">
      <c r="A2" s="1"/>
      <c r="B2" s="21" t="s">
        <v>0</v>
      </c>
      <c r="C2" s="1"/>
      <c r="D2" s="1"/>
      <c r="E2" s="1"/>
      <c r="F2" s="1"/>
      <c r="G2" s="1"/>
      <c r="H2" s="1"/>
      <c r="I2" s="1"/>
      <c r="J2" s="3" t="s">
        <v>1</v>
      </c>
    </row>
    <row r="3" spans="1:10" ht="20" customHeight="1" x14ac:dyDescent="0.45">
      <c r="A3" s="1"/>
      <c r="B3" s="4" t="s">
        <v>89</v>
      </c>
      <c r="C3" s="1"/>
      <c r="D3" s="1"/>
      <c r="E3" s="1"/>
      <c r="F3" s="1"/>
      <c r="G3" s="1"/>
      <c r="H3" s="1"/>
      <c r="I3" s="1"/>
      <c r="J3" s="1"/>
    </row>
    <row r="4" spans="1:10" ht="20" customHeight="1" x14ac:dyDescent="0.45">
      <c r="A4" s="5"/>
      <c r="B4" s="22" t="s">
        <v>90</v>
      </c>
      <c r="C4" s="5"/>
      <c r="D4" s="5"/>
      <c r="E4" s="5"/>
      <c r="F4" s="5"/>
      <c r="G4" s="5"/>
      <c r="H4" s="5"/>
      <c r="I4" s="5"/>
      <c r="J4" s="6" t="s">
        <v>91</v>
      </c>
    </row>
    <row r="5" spans="1:10" ht="8" customHeight="1" x14ac:dyDescent="0.45"/>
    <row r="6" spans="1:10" ht="30" customHeight="1" x14ac:dyDescent="0.45">
      <c r="B6" s="63" t="s">
        <v>92</v>
      </c>
      <c r="C6" s="61"/>
      <c r="D6" s="61"/>
      <c r="E6" s="61"/>
      <c r="F6" s="61"/>
      <c r="G6" s="61"/>
      <c r="H6" s="61"/>
      <c r="I6" s="61"/>
      <c r="J6" s="61"/>
    </row>
    <row r="7" spans="1:10" ht="6" customHeight="1" x14ac:dyDescent="0.45"/>
    <row r="8" spans="1:10" ht="22.05" customHeight="1" x14ac:dyDescent="0.5">
      <c r="B8" s="7" t="s">
        <v>93</v>
      </c>
      <c r="C8" s="8"/>
      <c r="D8" s="8"/>
      <c r="E8" s="8"/>
      <c r="F8" s="8"/>
      <c r="G8" s="8"/>
      <c r="H8" s="8"/>
      <c r="I8" s="8"/>
      <c r="J8" s="8"/>
    </row>
    <row r="9" spans="1:10" ht="18" customHeight="1" x14ac:dyDescent="0.45">
      <c r="B9" s="13" t="s">
        <v>94</v>
      </c>
    </row>
    <row r="10" spans="1:10" ht="18" customHeight="1" x14ac:dyDescent="0.45">
      <c r="B10" s="23" t="s">
        <v>95</v>
      </c>
      <c r="C10" s="23" t="s">
        <v>96</v>
      </c>
      <c r="D10" s="24" t="s">
        <v>97</v>
      </c>
      <c r="E10" s="23" t="s">
        <v>98</v>
      </c>
      <c r="F10" s="5"/>
      <c r="G10" s="5"/>
      <c r="H10" s="5"/>
      <c r="I10" s="5"/>
      <c r="J10" s="23" t="s">
        <v>99</v>
      </c>
    </row>
    <row r="11" spans="1:10" ht="23.25" x14ac:dyDescent="0.45">
      <c r="B11" s="25" t="s">
        <v>100</v>
      </c>
      <c r="C11" s="26" t="s">
        <v>101</v>
      </c>
      <c r="D11" s="27">
        <v>0.7</v>
      </c>
      <c r="E11" s="26" t="s">
        <v>102</v>
      </c>
      <c r="F11" s="28"/>
      <c r="G11" s="28"/>
      <c r="H11" s="28"/>
      <c r="I11" s="28"/>
      <c r="J11" s="29" t="s">
        <v>103</v>
      </c>
    </row>
    <row r="12" spans="1:10" ht="8" customHeight="1" x14ac:dyDescent="0.45"/>
    <row r="13" spans="1:10" ht="22.05" customHeight="1" x14ac:dyDescent="0.5">
      <c r="B13" s="7" t="s">
        <v>104</v>
      </c>
      <c r="C13" s="8"/>
      <c r="D13" s="8"/>
      <c r="E13" s="8"/>
      <c r="F13" s="8"/>
      <c r="G13" s="8"/>
      <c r="H13" s="8"/>
      <c r="I13" s="8"/>
      <c r="J13" s="8"/>
    </row>
    <row r="14" spans="1:10" ht="18" customHeight="1" x14ac:dyDescent="0.45">
      <c r="B14" s="13" t="s">
        <v>105</v>
      </c>
    </row>
    <row r="15" spans="1:10" ht="18" customHeight="1" x14ac:dyDescent="0.45">
      <c r="B15" s="23" t="s">
        <v>95</v>
      </c>
      <c r="C15" s="23" t="s">
        <v>96</v>
      </c>
      <c r="D15" s="24" t="s">
        <v>97</v>
      </c>
      <c r="E15" s="23" t="s">
        <v>98</v>
      </c>
      <c r="F15" s="24" t="s">
        <v>106</v>
      </c>
      <c r="G15" s="24" t="s">
        <v>107</v>
      </c>
      <c r="H15" s="24" t="s">
        <v>108</v>
      </c>
      <c r="I15" s="24" t="s">
        <v>109</v>
      </c>
      <c r="J15" s="23" t="s">
        <v>99</v>
      </c>
    </row>
    <row r="16" spans="1:10" x14ac:dyDescent="0.45">
      <c r="B16" s="25" t="s">
        <v>110</v>
      </c>
      <c r="C16" s="26" t="s">
        <v>101</v>
      </c>
      <c r="D16" s="27">
        <v>0.8</v>
      </c>
      <c r="E16" s="26" t="s">
        <v>102</v>
      </c>
      <c r="F16" s="28"/>
      <c r="G16" s="28"/>
      <c r="H16" s="28"/>
      <c r="I16" s="28"/>
      <c r="J16" s="29" t="s">
        <v>111</v>
      </c>
    </row>
    <row r="17" spans="2:10" x14ac:dyDescent="0.45">
      <c r="B17" s="25" t="s">
        <v>112</v>
      </c>
      <c r="C17" s="26" t="s">
        <v>101</v>
      </c>
      <c r="D17" s="27">
        <v>0.75</v>
      </c>
      <c r="E17" s="26" t="s">
        <v>102</v>
      </c>
      <c r="F17" s="28"/>
      <c r="G17" s="28"/>
      <c r="H17" s="28"/>
      <c r="I17" s="28"/>
      <c r="J17" s="29" t="s">
        <v>113</v>
      </c>
    </row>
    <row r="18" spans="2:10" x14ac:dyDescent="0.45">
      <c r="B18" s="25" t="s">
        <v>114</v>
      </c>
      <c r="C18" s="26" t="s">
        <v>115</v>
      </c>
      <c r="D18" s="30" cm="1">
        <f t="array" aca="1" ref="D18" ca="1">_xll.VoseInput("Объем верхней цели","млн барр.")+_xll.VoseLognormalAlt(F18,0.1,H18,0.9,0)</f>
        <v>9.9081224604364131</v>
      </c>
      <c r="E18" s="26" t="s">
        <v>116</v>
      </c>
      <c r="F18" s="31">
        <v>8</v>
      </c>
      <c r="G18" s="32" t="s">
        <v>117</v>
      </c>
      <c r="H18" s="31">
        <v>40</v>
      </c>
      <c r="I18" s="33" cm="1">
        <f t="array" ref="I18">IF(AND(F18&gt;0,F18&lt;H18),_xll.VoseMean(_xll.VoseLognormalAltObject(F18,0.1,H18,0.9,0)),"✗ диапазон")</f>
        <v>21.786831736671903</v>
      </c>
      <c r="J18" s="29" t="s">
        <v>118</v>
      </c>
    </row>
    <row r="19" spans="2:10" ht="8" customHeight="1" x14ac:dyDescent="0.45"/>
    <row r="20" spans="2:10" ht="22.05" customHeight="1" x14ac:dyDescent="0.5">
      <c r="B20" s="7" t="s">
        <v>119</v>
      </c>
      <c r="C20" s="8"/>
      <c r="D20" s="8"/>
      <c r="E20" s="8"/>
      <c r="F20" s="8"/>
      <c r="G20" s="8"/>
      <c r="H20" s="8"/>
      <c r="I20" s="8"/>
      <c r="J20" s="8"/>
    </row>
    <row r="21" spans="2:10" ht="18" customHeight="1" x14ac:dyDescent="0.45">
      <c r="B21" s="13" t="s">
        <v>120</v>
      </c>
    </row>
    <row r="22" spans="2:10" ht="18" customHeight="1" x14ac:dyDescent="0.45">
      <c r="B22" s="23" t="s">
        <v>95</v>
      </c>
      <c r="C22" s="23" t="s">
        <v>96</v>
      </c>
      <c r="D22" s="24" t="s">
        <v>97</v>
      </c>
      <c r="E22" s="23" t="s">
        <v>98</v>
      </c>
      <c r="F22" s="24" t="s">
        <v>106</v>
      </c>
      <c r="G22" s="24" t="s">
        <v>107</v>
      </c>
      <c r="H22" s="24" t="s">
        <v>108</v>
      </c>
      <c r="I22" s="24" t="s">
        <v>109</v>
      </c>
      <c r="J22" s="23" t="s">
        <v>99</v>
      </c>
    </row>
    <row r="23" spans="2:10" x14ac:dyDescent="0.45">
      <c r="B23" s="25" t="s">
        <v>110</v>
      </c>
      <c r="C23" s="26" t="s">
        <v>101</v>
      </c>
      <c r="D23" s="27">
        <v>0.6</v>
      </c>
      <c r="E23" s="26" t="s">
        <v>102</v>
      </c>
      <c r="F23" s="28"/>
      <c r="G23" s="28"/>
      <c r="H23" s="28"/>
      <c r="I23" s="28"/>
      <c r="J23" s="29" t="s">
        <v>121</v>
      </c>
    </row>
    <row r="24" spans="2:10" x14ac:dyDescent="0.45">
      <c r="B24" s="25" t="s">
        <v>112</v>
      </c>
      <c r="C24" s="26" t="s">
        <v>101</v>
      </c>
      <c r="D24" s="27">
        <v>0.65</v>
      </c>
      <c r="E24" s="26" t="s">
        <v>102</v>
      </c>
      <c r="F24" s="28"/>
      <c r="G24" s="28"/>
      <c r="H24" s="28"/>
      <c r="I24" s="28"/>
      <c r="J24" s="29" t="s">
        <v>122</v>
      </c>
    </row>
    <row r="25" spans="2:10" x14ac:dyDescent="0.45">
      <c r="B25" s="25" t="s">
        <v>114</v>
      </c>
      <c r="C25" s="26" t="s">
        <v>115</v>
      </c>
      <c r="D25" s="30" cm="1">
        <f t="array" aca="1" ref="D25" ca="1">_xll.VoseInput("Объем нижней цели","млн барр.")+_xll.VoseLognormalAlt(F25,0.1,H25,0.9,0)</f>
        <v>95.009035039808438</v>
      </c>
      <c r="E25" s="26" t="s">
        <v>116</v>
      </c>
      <c r="F25" s="31">
        <v>12</v>
      </c>
      <c r="G25" s="32" t="s">
        <v>117</v>
      </c>
      <c r="H25" s="31">
        <v>60</v>
      </c>
      <c r="I25" s="33" cm="1">
        <f t="array" ref="I25">IF(AND(F25&gt;0,F25&lt;H25),_xll.VoseMean(_xll.VoseLognormalAltObject(F25,0.1,H25,0.9,0)),"✗ диапазон")</f>
        <v>32.680247605007864</v>
      </c>
      <c r="J25" s="29" t="s">
        <v>123</v>
      </c>
    </row>
    <row r="26" spans="2:10" ht="8" customHeight="1" x14ac:dyDescent="0.45"/>
    <row r="27" spans="2:10" ht="22.05" customHeight="1" x14ac:dyDescent="0.5">
      <c r="B27" s="7" t="s">
        <v>124</v>
      </c>
      <c r="C27" s="8"/>
      <c r="D27" s="8"/>
      <c r="E27" s="8"/>
      <c r="F27" s="8"/>
      <c r="G27" s="8"/>
      <c r="H27" s="8"/>
      <c r="I27" s="8"/>
      <c r="J27" s="8"/>
    </row>
    <row r="28" spans="2:10" ht="18" customHeight="1" x14ac:dyDescent="0.45">
      <c r="B28" s="13" t="s">
        <v>125</v>
      </c>
    </row>
    <row r="29" spans="2:10" ht="18" customHeight="1" x14ac:dyDescent="0.45">
      <c r="B29" s="23" t="s">
        <v>95</v>
      </c>
      <c r="C29" s="23" t="s">
        <v>96</v>
      </c>
      <c r="D29" s="24" t="s">
        <v>97</v>
      </c>
      <c r="E29" s="23" t="s">
        <v>98</v>
      </c>
      <c r="F29" s="24" t="s">
        <v>106</v>
      </c>
      <c r="G29" s="24" t="s">
        <v>107</v>
      </c>
      <c r="H29" s="24" t="s">
        <v>108</v>
      </c>
      <c r="I29" s="24" t="s">
        <v>109</v>
      </c>
      <c r="J29" s="23" t="s">
        <v>99</v>
      </c>
    </row>
    <row r="30" spans="2:10" x14ac:dyDescent="0.45">
      <c r="B30" s="25" t="s">
        <v>126</v>
      </c>
      <c r="C30" s="26" t="s">
        <v>127</v>
      </c>
      <c r="D30" s="30" cm="1">
        <f t="array" aca="1" ref="D30" ca="1">_xll.VoseInput("Стоимость скважины","млн долл.")+_xll.VosePERT(F30,G30,H30)</f>
        <v>41.316490937047803</v>
      </c>
      <c r="E30" s="26" t="s">
        <v>128</v>
      </c>
      <c r="F30" s="31">
        <v>30</v>
      </c>
      <c r="G30" s="31">
        <v>36</v>
      </c>
      <c r="H30" s="31">
        <v>50</v>
      </c>
      <c r="I30" s="33" cm="1">
        <f t="array" ref="I30">IF(AND(F30&lt;=G30,G30&lt;=H30,F30&lt;H30),_xll.VoseMean(_xll.VosePERTObject(F30,G30,H30)),"✗ диапазон")</f>
        <v>37.333333333333336</v>
      </c>
      <c r="J30" s="29" t="s">
        <v>129</v>
      </c>
    </row>
    <row r="31" spans="2:10" x14ac:dyDescent="0.45">
      <c r="B31" s="25" t="s">
        <v>130</v>
      </c>
      <c r="C31" s="26" t="s">
        <v>131</v>
      </c>
      <c r="D31" s="34" cm="1">
        <f t="array" aca="1" ref="D31" ca="1">_xll.VoseInput("Ценность барреля","долл./барр.")+_xll.VosePERT(F31,G31,H31)</f>
        <v>5.4899673693077187</v>
      </c>
      <c r="E31" s="26" t="s">
        <v>128</v>
      </c>
      <c r="F31" s="35">
        <v>3</v>
      </c>
      <c r="G31" s="35">
        <v>5</v>
      </c>
      <c r="H31" s="35">
        <v>8</v>
      </c>
      <c r="I31" s="36" cm="1">
        <f t="array" ref="I31">IF(AND(F31&lt;=G31,G31&lt;=H31,F31&lt;H31),_xll.VoseMean(_xll.VosePERTObject(F31,G31,H31)),"✗ диапазон")</f>
        <v>5.166666666666667</v>
      </c>
      <c r="J31" s="29" t="s">
        <v>132</v>
      </c>
    </row>
    <row r="32" spans="2:10" ht="8" customHeight="1" x14ac:dyDescent="0.45"/>
  </sheetData>
  <mergeCells count="1">
    <mergeCell ref="B6:J6"/>
  </mergeCells>
  <conditionalFormatting sqref="I18">
    <cfRule type="expression" dxfId="8" priority="1">
      <formula>LEFT($I18,1)="✗"</formula>
    </cfRule>
  </conditionalFormatting>
  <conditionalFormatting sqref="I25">
    <cfRule type="expression" dxfId="7" priority="2">
      <formula>LEFT($I25,1)="✗"</formula>
    </cfRule>
  </conditionalFormatting>
  <conditionalFormatting sqref="I30:I31">
    <cfRule type="expression" dxfId="6" priority="3">
      <formula>LEFT($I30,1)="✗"</formula>
    </cfRule>
  </conditionalFormatting>
  <dataValidations count="3">
    <dataValidation type="decimal" showErrorMessage="1" errorTitle="Вероятность" error="Введите значение от 0% до 100%." sqref="D11 D23:D24 D16:D17" xr:uid="{00000000-0002-0000-0100-000000000000}">
      <formula1>0</formula1>
      <formula2>1</formula2>
    </dataValidation>
    <dataValidation type="custom" showErrorMessage="1" errorTitle="Диапазон логнормального" error="Минимальная оценка должна быть выше минимума и ниже максимальной оценки." sqref="F18:H18 F25:H25" xr:uid="{00000000-0002-0000-0100-000003000000}">
      <formula1>AND($F18&gt;0,$F18&lt;$H18)</formula1>
    </dataValidation>
    <dataValidation type="custom" showErrorMessage="1" errorTitle="Диапазон PERT" error="Мин. должно быть меньше макс., наиболее вероятное — между ними." sqref="F30:H31" xr:uid="{00000000-0002-0000-0100-000007000000}">
      <formula1>AND($F30&lt;=$G30,$G30&lt;=$H30,$F30&lt;$H30)</formula1>
    </dataValidation>
  </dataValidations>
  <hyperlinks>
    <hyperlink ref="B4" location="'Описание'!A1" display="◂  Описание" xr:uid="{00000000-0004-0000-0100-000000000000}"/>
    <hyperlink ref="J4" location="'Исходы'!A1" display="Далее:  Исходы  ▸" xr:uid="{00000000-0004-0000-0100-000001000000}"/>
  </hyperlinks>
  <printOptions horizontalCentered="1"/>
  <pageMargins left="0.4" right="0.4" top="0.5" bottom="0.6" header="0.25" footer="0.25"/>
  <pageSetup paperSize="9" scale="70" fitToHeight="0" orientation="landscape" r:id="rId1"/>
  <headerFooter>
    <oddFooter>&amp;L&amp;K3F5876&amp;8&amp;F · &amp;A&amp;R&amp;K3F5876&amp;8Page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8AA0BA"/>
    <pageSetUpPr fitToPage="1"/>
  </sheetPr>
  <dimension ref="A1:G34"/>
  <sheetViews>
    <sheetView showGridLines="0" workbookViewId="0">
      <pane ySplit="5" topLeftCell="A6" activePane="bottomLeft" state="frozen"/>
      <selection pane="bottomLeft"/>
    </sheetView>
  </sheetViews>
  <sheetFormatPr defaultRowHeight="14.25" x14ac:dyDescent="0.45"/>
  <cols>
    <col min="1" max="1" width="2" customWidth="1"/>
    <col min="2" max="2" width="50" customWidth="1"/>
    <col min="3" max="5" width="13" customWidth="1"/>
    <col min="6" max="6" width="2" customWidth="1"/>
    <col min="7" max="7" width="82" customWidth="1"/>
  </cols>
  <sheetData>
    <row r="1" spans="1:7" ht="6" customHeight="1" x14ac:dyDescent="0.45"/>
    <row r="2" spans="1:7" ht="30" customHeight="1" x14ac:dyDescent="0.45">
      <c r="A2" s="1"/>
      <c r="B2" s="21" t="s">
        <v>0</v>
      </c>
      <c r="C2" s="1"/>
      <c r="D2" s="1"/>
      <c r="E2" s="1"/>
      <c r="F2" s="1"/>
      <c r="G2" s="3" t="s">
        <v>1</v>
      </c>
    </row>
    <row r="3" spans="1:7" ht="20" customHeight="1" x14ac:dyDescent="0.45">
      <c r="A3" s="1"/>
      <c r="B3" s="4" t="s">
        <v>133</v>
      </c>
      <c r="C3" s="1"/>
      <c r="D3" s="1"/>
      <c r="E3" s="1"/>
      <c r="F3" s="1"/>
      <c r="G3" s="1"/>
    </row>
    <row r="4" spans="1:7" ht="20" customHeight="1" x14ac:dyDescent="0.45">
      <c r="A4" s="5"/>
      <c r="B4" s="22" t="s">
        <v>134</v>
      </c>
      <c r="C4" s="5"/>
      <c r="D4" s="5"/>
      <c r="E4" s="5"/>
      <c r="F4" s="5"/>
      <c r="G4" s="6" t="s">
        <v>135</v>
      </c>
    </row>
    <row r="5" spans="1:7" ht="8" customHeight="1" x14ac:dyDescent="0.45"/>
    <row r="6" spans="1:7" ht="22.05" customHeight="1" x14ac:dyDescent="0.5">
      <c r="B6" s="7" t="s">
        <v>136</v>
      </c>
      <c r="C6" s="8"/>
      <c r="D6" s="8"/>
      <c r="E6" s="8"/>
      <c r="F6" s="8"/>
      <c r="G6" s="8"/>
    </row>
    <row r="7" spans="1:7" ht="18" customHeight="1" x14ac:dyDescent="0.45">
      <c r="B7" s="13" t="s">
        <v>137</v>
      </c>
    </row>
    <row r="8" spans="1:7" ht="18" customHeight="1" x14ac:dyDescent="0.45">
      <c r="B8" s="23" t="s">
        <v>138</v>
      </c>
      <c r="C8" s="23" t="s">
        <v>96</v>
      </c>
      <c r="D8" s="24" t="s">
        <v>139</v>
      </c>
      <c r="E8" s="24" t="s">
        <v>140</v>
      </c>
      <c r="F8" s="5"/>
      <c r="G8" s="23" t="s">
        <v>141</v>
      </c>
    </row>
    <row r="9" spans="1:7" x14ac:dyDescent="0.45">
      <c r="B9" s="25" t="s">
        <v>142</v>
      </c>
      <c r="C9" s="26" t="s">
        <v>101</v>
      </c>
      <c r="D9" s="37">
        <f>Chance_U_Res*Chance_U_Trap</f>
        <v>0.60000000000000009</v>
      </c>
      <c r="E9" s="37">
        <f>Chance_U_Res*Chance_U_Trap</f>
        <v>0.60000000000000009</v>
      </c>
      <c r="F9" s="28"/>
      <c r="G9" s="26" t="s">
        <v>143</v>
      </c>
    </row>
    <row r="10" spans="1:7" x14ac:dyDescent="0.45">
      <c r="B10" s="25" t="s">
        <v>144</v>
      </c>
      <c r="C10" s="26" t="s">
        <v>101</v>
      </c>
      <c r="D10" s="37">
        <f>Chance_L_Res*Chance_L_Trap</f>
        <v>0.39</v>
      </c>
      <c r="E10" s="37">
        <f>Chance_L_Res*Chance_L_Trap</f>
        <v>0.39</v>
      </c>
      <c r="F10" s="28"/>
      <c r="G10" s="26" t="s">
        <v>143</v>
      </c>
    </row>
    <row r="11" spans="1:7" x14ac:dyDescent="0.45">
      <c r="B11" s="25" t="s">
        <v>145</v>
      </c>
      <c r="C11" s="26" t="s">
        <v>101</v>
      </c>
      <c r="D11" s="37">
        <f>Chance_Charge*P_U_Own</f>
        <v>0.42000000000000004</v>
      </c>
      <c r="E11" s="37">
        <f>Chance_Charge*P_U_Own</f>
        <v>0.42000000000000004</v>
      </c>
      <c r="F11" s="28"/>
      <c r="G11" s="26" t="s">
        <v>146</v>
      </c>
    </row>
    <row r="12" spans="1:7" x14ac:dyDescent="0.45">
      <c r="B12" s="25" t="s">
        <v>147</v>
      </c>
      <c r="C12" s="26" t="s">
        <v>101</v>
      </c>
      <c r="D12" s="37">
        <f>Chance_Charge*P_L_Own</f>
        <v>0.27299999999999996</v>
      </c>
      <c r="E12" s="37">
        <f>Chance_Charge*P_L_Own</f>
        <v>0.27299999999999996</v>
      </c>
      <c r="F12" s="28"/>
      <c r="G12" s="26" t="s">
        <v>146</v>
      </c>
    </row>
    <row r="13" spans="1:7" x14ac:dyDescent="0.45">
      <c r="B13" s="25" t="s">
        <v>148</v>
      </c>
      <c r="C13" s="26" t="s">
        <v>101</v>
      </c>
      <c r="D13" s="37">
        <f>Chance_Charge*(1-(1-P_U_Own)*(1-P_L_Own))</f>
        <v>0.5292</v>
      </c>
      <c r="E13" s="37">
        <f>1-(1-P_U)*(1-P_L)</f>
        <v>0.57833999999999997</v>
      </c>
      <c r="F13" s="28"/>
      <c r="G13" s="26" t="s">
        <v>149</v>
      </c>
    </row>
    <row r="14" spans="1:7" x14ac:dyDescent="0.45">
      <c r="B14" s="25" t="s">
        <v>150</v>
      </c>
      <c r="C14" s="26" t="s">
        <v>101</v>
      </c>
      <c r="D14" s="37">
        <f>Chance_Charge*P_U_Own*P_L_Own</f>
        <v>0.16380000000000003</v>
      </c>
      <c r="E14" s="37">
        <f>P_U*P_L</f>
        <v>0.11466</v>
      </c>
      <c r="F14" s="28"/>
      <c r="G14" s="26" t="s">
        <v>151</v>
      </c>
    </row>
    <row r="15" spans="1:7" ht="8" customHeight="1" x14ac:dyDescent="0.45"/>
    <row r="16" spans="1:7" ht="22.05" customHeight="1" x14ac:dyDescent="0.5">
      <c r="B16" s="7" t="s">
        <v>152</v>
      </c>
      <c r="C16" s="8"/>
      <c r="D16" s="8"/>
      <c r="E16" s="8"/>
      <c r="F16" s="8"/>
      <c r="G16" s="8"/>
    </row>
    <row r="17" spans="2:7" ht="18" customHeight="1" x14ac:dyDescent="0.45">
      <c r="B17" s="13" t="s">
        <v>153</v>
      </c>
    </row>
    <row r="18" spans="2:7" ht="18" customHeight="1" x14ac:dyDescent="0.45">
      <c r="B18" s="23" t="s">
        <v>154</v>
      </c>
      <c r="C18" s="23" t="s">
        <v>96</v>
      </c>
      <c r="D18" s="24" t="s">
        <v>61</v>
      </c>
      <c r="E18" s="5"/>
      <c r="F18" s="5"/>
      <c r="G18" s="23" t="s">
        <v>141</v>
      </c>
    </row>
    <row r="19" spans="2:7" x14ac:dyDescent="0.45">
      <c r="B19" s="25" t="s">
        <v>155</v>
      </c>
      <c r="C19" s="26" t="s">
        <v>156</v>
      </c>
      <c r="D19" s="38" cm="1">
        <f t="array" aca="1" ref="D19" ca="1">_xll.VoseInput("Генерация сработала","1 = да")+_xll.VoseBernoulli(Chance_Charge)</f>
        <v>0</v>
      </c>
      <c r="E19" s="28"/>
      <c r="F19" s="28"/>
      <c r="G19" s="26" t="s">
        <v>157</v>
      </c>
    </row>
    <row r="20" spans="2:7" x14ac:dyDescent="0.45">
      <c r="B20" s="25" t="s">
        <v>158</v>
      </c>
      <c r="C20" s="26" t="s">
        <v>156</v>
      </c>
      <c r="D20" s="38" cm="1">
        <f t="array" aca="1" ref="D20" ca="1">_xll.VoseInput("Элементы верхней цели есть","1 = да")+_xll.VoseBernoulli(P_U_Own)</f>
        <v>1</v>
      </c>
      <c r="E20" s="28"/>
      <c r="F20" s="28"/>
      <c r="G20" s="26" t="s">
        <v>159</v>
      </c>
    </row>
    <row r="21" spans="2:7" x14ac:dyDescent="0.45">
      <c r="B21" s="25" t="s">
        <v>160</v>
      </c>
      <c r="C21" s="26" t="s">
        <v>156</v>
      </c>
      <c r="D21" s="38" cm="1">
        <f t="array" aca="1" ref="D21" ca="1">_xll.VoseInput("Элементы нижней цели есть","1 = да")+_xll.VoseBernoulli(P_L_Own)</f>
        <v>1</v>
      </c>
      <c r="E21" s="28"/>
      <c r="F21" s="28"/>
      <c r="G21" s="26" t="s">
        <v>161</v>
      </c>
    </row>
    <row r="22" spans="2:7" x14ac:dyDescent="0.45">
      <c r="B22" s="25" t="s">
        <v>162</v>
      </c>
      <c r="C22" s="26" t="s">
        <v>156</v>
      </c>
      <c r="D22" s="39">
        <f ca="1">Charge*U_Local</f>
        <v>0</v>
      </c>
      <c r="E22" s="28"/>
      <c r="F22" s="28"/>
      <c r="G22" s="26" t="s">
        <v>163</v>
      </c>
    </row>
    <row r="23" spans="2:7" x14ac:dyDescent="0.45">
      <c r="B23" s="25" t="s">
        <v>164</v>
      </c>
      <c r="C23" s="26" t="s">
        <v>156</v>
      </c>
      <c r="D23" s="39">
        <f ca="1">Charge*L_Local</f>
        <v>0</v>
      </c>
      <c r="E23" s="28"/>
      <c r="F23" s="28"/>
      <c r="G23" s="26" t="s">
        <v>163</v>
      </c>
    </row>
    <row r="24" spans="2:7" x14ac:dyDescent="0.45">
      <c r="B24" s="25" t="s">
        <v>165</v>
      </c>
      <c r="C24" s="26" t="s">
        <v>156</v>
      </c>
      <c r="D24" s="40" cm="1">
        <f t="array" aca="1" ref="D24" ca="1">_xll.VoseOutput("Открытие","1 = да")+MAX(U_Success,L_Success)</f>
        <v>0</v>
      </c>
      <c r="E24" s="28"/>
      <c r="F24" s="28"/>
      <c r="G24" s="26" t="s">
        <v>166</v>
      </c>
    </row>
    <row r="25" spans="2:7" x14ac:dyDescent="0.45">
      <c r="B25" s="25" t="s">
        <v>167</v>
      </c>
      <c r="C25" s="26" t="s">
        <v>156</v>
      </c>
      <c r="D25" s="40" cm="1">
        <f t="array" aca="1" ref="D25" ca="1">_xll.VoseOutput("Обе цели","1 = да")+U_Success*L_Success</f>
        <v>0</v>
      </c>
      <c r="E25" s="28"/>
      <c r="F25" s="28"/>
      <c r="G25" s="26" t="s">
        <v>168</v>
      </c>
    </row>
    <row r="26" spans="2:7" x14ac:dyDescent="0.45">
      <c r="B26" s="25" t="s">
        <v>169</v>
      </c>
      <c r="C26" s="26" t="s">
        <v>170</v>
      </c>
      <c r="D26" s="40" cm="1">
        <f t="array" aca="1" ref="D26" ca="1">_xll.VoseOutput("Исход","1 сухая, 2 верхняя, 3 нижняя, 4 обе")+1+U_Success+2*L_Success</f>
        <v>1</v>
      </c>
      <c r="E26" s="28"/>
      <c r="F26" s="28"/>
      <c r="G26" s="26" t="s">
        <v>171</v>
      </c>
    </row>
    <row r="27" spans="2:7" x14ac:dyDescent="0.45">
      <c r="B27" s="25" t="s">
        <v>172</v>
      </c>
      <c r="C27" s="26"/>
      <c r="D27" s="41" t="str">
        <f ca="1">CHOOSE(Outcome,"Сухая скважина","Только верхняя цель","Только нижняя цель","Обе цели")</f>
        <v>Сухая скважина</v>
      </c>
      <c r="E27" s="28"/>
      <c r="F27" s="28"/>
      <c r="G27" s="26" t="s">
        <v>173</v>
      </c>
    </row>
    <row r="28" spans="2:7" ht="8" customHeight="1" x14ac:dyDescent="0.45"/>
    <row r="29" spans="2:7" ht="22.05" customHeight="1" x14ac:dyDescent="0.5">
      <c r="B29" s="7" t="s">
        <v>174</v>
      </c>
      <c r="C29" s="8"/>
      <c r="D29" s="8"/>
      <c r="E29" s="8"/>
      <c r="F29" s="8"/>
      <c r="G29" s="8"/>
    </row>
    <row r="30" spans="2:7" ht="18" customHeight="1" x14ac:dyDescent="0.45">
      <c r="B30" s="13" t="s">
        <v>175</v>
      </c>
    </row>
    <row r="31" spans="2:7" ht="18" customHeight="1" x14ac:dyDescent="0.45">
      <c r="B31" s="23" t="s">
        <v>154</v>
      </c>
      <c r="C31" s="23" t="s">
        <v>96</v>
      </c>
      <c r="D31" s="24" t="s">
        <v>61</v>
      </c>
      <c r="E31" s="5"/>
      <c r="F31" s="5"/>
      <c r="G31" s="23" t="s">
        <v>141</v>
      </c>
    </row>
    <row r="32" spans="2:7" x14ac:dyDescent="0.45">
      <c r="B32" s="25" t="s">
        <v>176</v>
      </c>
      <c r="C32" s="26" t="s">
        <v>115</v>
      </c>
      <c r="D32" s="42" cm="1">
        <f t="array" aca="1" ref="D32" ca="1">_xll.VoseOutput("Объем открытия","млн барр.")+U_Success*Vol_U+L_Success*Vol_L</f>
        <v>0</v>
      </c>
      <c r="E32" s="28"/>
      <c r="F32" s="28"/>
      <c r="G32" s="26" t="s">
        <v>177</v>
      </c>
    </row>
    <row r="33" spans="2:7" x14ac:dyDescent="0.45">
      <c r="B33" s="25" t="s">
        <v>178</v>
      </c>
      <c r="C33" s="26" t="s">
        <v>127</v>
      </c>
      <c r="D33" s="42" cm="1">
        <f t="array" aca="1" ref="D33" ca="1">_xll.VoseOutput("Ценность бурения","млн долл.")+Volume*ValuePerBbl-Cost_Well</f>
        <v>-41.316490937047803</v>
      </c>
      <c r="E33" s="28"/>
      <c r="F33" s="28"/>
      <c r="G33" s="26" t="s">
        <v>179</v>
      </c>
    </row>
    <row r="34" spans="2:7" x14ac:dyDescent="0.45">
      <c r="B34" s="25" t="s">
        <v>180</v>
      </c>
      <c r="C34" s="26" t="s">
        <v>115</v>
      </c>
      <c r="D34" s="33">
        <f ca="1">Cost_Well/ValuePerBbl</f>
        <v>7.5258172148767768</v>
      </c>
      <c r="E34" s="28"/>
      <c r="F34" s="28"/>
      <c r="G34" s="26" t="s">
        <v>181</v>
      </c>
    </row>
  </sheetData>
  <conditionalFormatting sqref="D27">
    <cfRule type="expression" dxfId="5" priority="1">
      <formula>Outcome=1</formula>
    </cfRule>
    <cfRule type="expression" dxfId="4" priority="2">
      <formula>Outcome&gt;1</formula>
    </cfRule>
  </conditionalFormatting>
  <hyperlinks>
    <hyperlink ref="B4" location="'Исходные данные'!A1" display="◂  Исходные данные" xr:uid="{00000000-0004-0000-0200-000000000000}"/>
    <hyperlink ref="G4" location="'Результаты'!A1" display="Далее:  Результаты  ▸" xr:uid="{00000000-0004-0000-0200-000001000000}"/>
  </hyperlinks>
  <printOptions horizontalCentered="1"/>
  <pageMargins left="0.4" right="0.4" top="0.5" bottom="0.6" header="0.25" footer="0.25"/>
  <pageSetup paperSize="9" scale="79" fitToHeight="0" orientation="landscape" r:id="rId1"/>
  <headerFooter>
    <oddFooter>&amp;L&amp;K3F5876&amp;8&amp;F · &amp;A&amp;R&amp;K3F5876&amp;8Page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15803D"/>
    <outlinePr summaryBelow="0"/>
    <pageSetUpPr fitToPage="1"/>
  </sheetPr>
  <dimension ref="A1:R103"/>
  <sheetViews>
    <sheetView showGridLines="0" workbookViewId="0">
      <pane ySplit="5" topLeftCell="A6" activePane="bottomLeft" state="frozen"/>
      <selection pane="bottomLeft"/>
    </sheetView>
  </sheetViews>
  <sheetFormatPr defaultRowHeight="14.25" outlineLevelRow="1" x14ac:dyDescent="0.45"/>
  <cols>
    <col min="1" max="1" width="2" customWidth="1"/>
    <col min="2" max="2" width="44" customWidth="1"/>
    <col min="3" max="3" width="10" customWidth="1"/>
    <col min="4" max="7" width="11" customWidth="1"/>
    <col min="8" max="8" width="3" customWidth="1"/>
    <col min="9" max="18" width="8.59765625" customWidth="1"/>
    <col min="20" max="20" width="9.06640625" customWidth="1"/>
  </cols>
  <sheetData>
    <row r="1" spans="1:18" ht="6" customHeight="1" x14ac:dyDescent="0.45"/>
    <row r="2" spans="1:18" ht="30" customHeight="1" x14ac:dyDescent="0.45">
      <c r="A2" s="1"/>
      <c r="B2" s="2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3" t="s">
        <v>1</v>
      </c>
    </row>
    <row r="3" spans="1:18" ht="20" customHeight="1" x14ac:dyDescent="0.45">
      <c r="A3" s="1"/>
      <c r="B3" s="4" t="s">
        <v>182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20" customHeight="1" x14ac:dyDescent="0.45">
      <c r="A4" s="5"/>
      <c r="B4" s="22" t="s">
        <v>183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</row>
    <row r="5" spans="1:18" ht="8" customHeight="1" x14ac:dyDescent="0.45"/>
    <row r="6" spans="1:18" ht="26" customHeight="1" x14ac:dyDescent="0.45">
      <c r="B6" s="43" t="str" cm="1">
        <f t="array" aca="1" ref="B6" ca="1">IF(ISNUMBER(_xll.VoseSimMean(Value)),"✔  Показаны результаты последнего моделирования в этом сеансе Excel. После изменения исходных данных запустите моделирование снова.","▶  Результатов моделирования пока нет. Запустите моделирование на ленте МоделРиск — лист заполнится автоматически.")</f>
        <v>✔  Показаны результаты последнего моделирования в этом сеансе Excel. После изменения исходных данных запустите моделирование снова.</v>
      </c>
      <c r="C6" s="44"/>
      <c r="D6" s="44"/>
      <c r="E6" s="44"/>
      <c r="F6" s="44"/>
      <c r="G6" s="44"/>
    </row>
    <row r="7" spans="1:18" ht="8" customHeight="1" x14ac:dyDescent="0.45"/>
    <row r="8" spans="1:18" ht="22.05" customHeight="1" x14ac:dyDescent="0.5">
      <c r="B8" s="7" t="s">
        <v>184</v>
      </c>
      <c r="C8" s="8"/>
      <c r="D8" s="8"/>
      <c r="E8" s="8"/>
      <c r="F8" s="8"/>
      <c r="G8" s="8"/>
      <c r="I8" s="45" t="s">
        <v>185</v>
      </c>
      <c r="J8" s="8"/>
      <c r="K8" s="8"/>
      <c r="L8" s="8"/>
      <c r="M8" s="8"/>
      <c r="N8" s="8"/>
      <c r="O8" s="8"/>
      <c r="P8" s="8"/>
      <c r="Q8" s="8"/>
      <c r="R8" s="8"/>
    </row>
    <row r="9" spans="1:18" ht="18" customHeight="1" x14ac:dyDescent="0.45">
      <c r="B9" s="13" t="s">
        <v>186</v>
      </c>
    </row>
    <row r="10" spans="1:18" ht="18" customHeight="1" x14ac:dyDescent="0.45">
      <c r="B10" s="23" t="s">
        <v>138</v>
      </c>
      <c r="C10" s="23" t="s">
        <v>96</v>
      </c>
      <c r="D10" s="24" t="s">
        <v>187</v>
      </c>
      <c r="E10" s="24" t="s">
        <v>188</v>
      </c>
      <c r="F10" s="24" t="s">
        <v>189</v>
      </c>
      <c r="G10" s="5"/>
    </row>
    <row r="11" spans="1:18" x14ac:dyDescent="0.45">
      <c r="B11" s="25" t="s">
        <v>145</v>
      </c>
      <c r="C11" s="26" t="s">
        <v>101</v>
      </c>
      <c r="D11" s="37">
        <f>P_U</f>
        <v>0.42000000000000004</v>
      </c>
      <c r="E11" s="37">
        <f>P_U_Indep</f>
        <v>0.42000000000000004</v>
      </c>
      <c r="F11" s="46" cm="1">
        <f t="array" aca="1" ref="F11" ca="1">_xll.VoseSimMean(U_Success)</f>
        <v>0.40770000000000001</v>
      </c>
      <c r="G11" s="28"/>
    </row>
    <row r="12" spans="1:18" x14ac:dyDescent="0.45">
      <c r="B12" s="25" t="s">
        <v>147</v>
      </c>
      <c r="C12" s="26" t="s">
        <v>101</v>
      </c>
      <c r="D12" s="37">
        <f>P_L</f>
        <v>0.27299999999999996</v>
      </c>
      <c r="E12" s="37">
        <f>P_L_Indep</f>
        <v>0.27299999999999996</v>
      </c>
      <c r="F12" s="46" cm="1">
        <f t="array" aca="1" ref="F12" ca="1">_xll.VoseSimMean(L_Success)</f>
        <v>0.26900000000000002</v>
      </c>
      <c r="G12" s="28"/>
    </row>
    <row r="13" spans="1:18" x14ac:dyDescent="0.45">
      <c r="B13" s="47" t="s">
        <v>148</v>
      </c>
      <c r="C13" s="26" t="s">
        <v>101</v>
      </c>
      <c r="D13" s="37">
        <f>P_Any</f>
        <v>0.5292</v>
      </c>
      <c r="E13" s="37">
        <f>P_Any_Indep</f>
        <v>0.57833999999999997</v>
      </c>
      <c r="F13" s="46" cm="1">
        <f t="array" aca="1" ref="F13" ca="1">_xll.VoseSimMean(AnySuccess)</f>
        <v>0.52270000000000005</v>
      </c>
      <c r="G13" s="28"/>
    </row>
    <row r="14" spans="1:18" x14ac:dyDescent="0.45">
      <c r="B14" s="47" t="s">
        <v>150</v>
      </c>
      <c r="C14" s="26" t="s">
        <v>101</v>
      </c>
      <c r="D14" s="37">
        <f>P_Both</f>
        <v>0.16380000000000003</v>
      </c>
      <c r="E14" s="37">
        <f>P_Both_Indep</f>
        <v>0.11466</v>
      </c>
      <c r="F14" s="46" cm="1">
        <f t="array" aca="1" ref="F14" ca="1">_xll.VoseSimMean(BothSuccess)</f>
        <v>0.154</v>
      </c>
      <c r="G14" s="28"/>
    </row>
    <row r="15" spans="1:18" ht="8" customHeight="1" x14ac:dyDescent="0.45"/>
    <row r="16" spans="1:18" ht="22.05" customHeight="1" x14ac:dyDescent="0.5">
      <c r="B16" s="7" t="s">
        <v>190</v>
      </c>
      <c r="C16" s="8"/>
      <c r="D16" s="8"/>
      <c r="E16" s="8"/>
      <c r="F16" s="8"/>
      <c r="G16" s="8"/>
    </row>
    <row r="17" spans="2:18" ht="18" customHeight="1" x14ac:dyDescent="0.45">
      <c r="B17" s="13" t="s">
        <v>191</v>
      </c>
    </row>
    <row r="18" spans="2:18" ht="18" customHeight="1" x14ac:dyDescent="0.45">
      <c r="B18" s="23" t="s">
        <v>172</v>
      </c>
      <c r="C18" s="23"/>
      <c r="D18" s="24" t="s">
        <v>192</v>
      </c>
      <c r="E18" s="5"/>
      <c r="F18" s="5"/>
      <c r="G18" s="5"/>
    </row>
    <row r="19" spans="2:18" x14ac:dyDescent="0.45">
      <c r="B19" s="25" t="s">
        <v>193</v>
      </c>
      <c r="C19" s="28"/>
      <c r="D19" s="48">
        <f ca="1">IF(ISNUMBER(D101),D101,"–")</f>
        <v>0.47725227477252274</v>
      </c>
      <c r="E19" s="28"/>
      <c r="F19" s="28"/>
      <c r="G19" s="28"/>
    </row>
    <row r="20" spans="2:18" x14ac:dyDescent="0.45">
      <c r="B20" s="25" t="s">
        <v>194</v>
      </c>
      <c r="C20" s="28"/>
      <c r="D20" s="48">
        <f ca="1">IF(ISNUMBER(D102),D102-D101,"–")</f>
        <v>0.25367463253674638</v>
      </c>
      <c r="E20" s="28"/>
      <c r="F20" s="28"/>
      <c r="G20" s="28"/>
    </row>
    <row r="21" spans="2:18" x14ac:dyDescent="0.45">
      <c r="B21" s="25" t="s">
        <v>195</v>
      </c>
      <c r="C21" s="28"/>
      <c r="D21" s="48">
        <f ca="1">IF(ISNUMBER(D103),D103-D102,"–")</f>
        <v>0.11498850114988501</v>
      </c>
      <c r="E21" s="28"/>
      <c r="F21" s="28"/>
      <c r="G21" s="28"/>
    </row>
    <row r="22" spans="2:18" x14ac:dyDescent="0.45">
      <c r="B22" s="25" t="s">
        <v>196</v>
      </c>
      <c r="C22" s="28"/>
      <c r="D22" s="48">
        <f ca="1">IF(ISNUMBER(D103),1-D103,"–")</f>
        <v>0.15408459154084586</v>
      </c>
      <c r="E22" s="28"/>
      <c r="F22" s="28"/>
      <c r="G22" s="28"/>
    </row>
    <row r="23" spans="2:18" x14ac:dyDescent="0.45">
      <c r="B23" s="49" t="s">
        <v>197</v>
      </c>
      <c r="C23" s="50"/>
      <c r="D23" s="51">
        <f ca="1">IF(ISNUMBER(D19),SUM(D19:D22),"–")</f>
        <v>1</v>
      </c>
      <c r="E23" s="50"/>
      <c r="F23" s="50"/>
      <c r="G23" s="50"/>
    </row>
    <row r="24" spans="2:18" ht="8" customHeight="1" x14ac:dyDescent="0.45"/>
    <row r="25" spans="2:18" ht="22.05" customHeight="1" x14ac:dyDescent="0.5">
      <c r="B25" s="7" t="s">
        <v>198</v>
      </c>
      <c r="C25" s="8"/>
      <c r="D25" s="8"/>
      <c r="E25" s="8"/>
      <c r="F25" s="8"/>
      <c r="G25" s="8"/>
      <c r="I25" s="45" t="s">
        <v>199</v>
      </c>
      <c r="J25" s="8"/>
      <c r="K25" s="8"/>
      <c r="L25" s="8"/>
      <c r="M25" s="8"/>
      <c r="N25" s="8"/>
      <c r="O25" s="8"/>
      <c r="P25" s="8"/>
      <c r="Q25" s="8"/>
      <c r="R25" s="8"/>
    </row>
    <row r="26" spans="2:18" ht="18" customHeight="1" x14ac:dyDescent="0.45">
      <c r="B26" s="13" t="s">
        <v>200</v>
      </c>
    </row>
    <row r="27" spans="2:18" ht="18" customHeight="1" x14ac:dyDescent="0.45">
      <c r="B27" s="23" t="s">
        <v>201</v>
      </c>
      <c r="C27" s="23" t="s">
        <v>96</v>
      </c>
      <c r="D27" s="24" t="s">
        <v>61</v>
      </c>
      <c r="E27" s="5"/>
      <c r="F27" s="5"/>
      <c r="G27" s="5"/>
    </row>
    <row r="28" spans="2:18" ht="22.05" customHeight="1" x14ac:dyDescent="0.45">
      <c r="B28" s="47" t="s">
        <v>202</v>
      </c>
      <c r="C28" s="26" t="s">
        <v>127</v>
      </c>
      <c r="D28" s="52" cm="1">
        <f t="array" aca="1" ref="D28" ca="1">_xll.VoseSimMean(Value)</f>
        <v>53.786581051683122</v>
      </c>
      <c r="E28" s="28"/>
      <c r="F28" s="28"/>
      <c r="G28" s="28"/>
    </row>
    <row r="29" spans="2:18" x14ac:dyDescent="0.45">
      <c r="B29" s="25" t="s">
        <v>203</v>
      </c>
      <c r="C29" s="26" t="s">
        <v>127</v>
      </c>
      <c r="D29" s="53" cm="1">
        <f t="array" aca="1" ref="D29" ca="1">_xll.VoseSimPercentile(Value,0.9)</f>
        <v>225.65954692275361</v>
      </c>
      <c r="E29" s="28"/>
      <c r="F29" s="28"/>
      <c r="G29" s="28"/>
    </row>
    <row r="30" spans="2:18" x14ac:dyDescent="0.45">
      <c r="B30" s="25" t="s">
        <v>204</v>
      </c>
      <c r="C30" s="26" t="s">
        <v>115</v>
      </c>
      <c r="D30" s="53" cm="1">
        <f t="array" aca="1" ref="D30" ca="1">_xll.VoseSimMean(Volume)</f>
        <v>17.670769762232908</v>
      </c>
      <c r="E30" s="28"/>
      <c r="F30" s="28"/>
      <c r="G30" s="28"/>
    </row>
    <row r="31" spans="2:18" x14ac:dyDescent="0.45">
      <c r="B31" s="25" t="s">
        <v>205</v>
      </c>
      <c r="C31" s="26" t="s">
        <v>101</v>
      </c>
      <c r="D31" s="46" cm="1">
        <f t="array" aca="1" ref="D31" ca="1">_xll.VoseSimMean(AnySuccess)</f>
        <v>0.52270000000000005</v>
      </c>
      <c r="E31" s="28"/>
      <c r="F31" s="28"/>
      <c r="G31" s="28"/>
    </row>
    <row r="32" spans="2:18" x14ac:dyDescent="0.45">
      <c r="B32" s="25" t="s">
        <v>206</v>
      </c>
      <c r="C32" s="26" t="s">
        <v>115</v>
      </c>
      <c r="D32" s="53">
        <f ca="1">IFERROR(IF(AND(ISNUMBER(D30),ISNUMBER(D31)),D30/D31,"–"),"–")</f>
        <v>33.806714678080937</v>
      </c>
      <c r="E32" s="28"/>
      <c r="F32" s="28"/>
      <c r="G32" s="28"/>
    </row>
    <row r="33" spans="2:7" x14ac:dyDescent="0.45">
      <c r="B33" s="25" t="s">
        <v>207</v>
      </c>
      <c r="C33" s="26" t="s">
        <v>101</v>
      </c>
      <c r="D33" s="46">
        <f ca="1">IFERROR(IF(ISNUMBER(D31),1-D31,"–"),"–")</f>
        <v>0.47729999999999995</v>
      </c>
      <c r="E33" s="28"/>
      <c r="F33" s="28"/>
      <c r="G33" s="28"/>
    </row>
    <row r="34" spans="2:7" x14ac:dyDescent="0.45">
      <c r="B34" s="25" t="s">
        <v>208</v>
      </c>
      <c r="C34" s="26" t="s">
        <v>101</v>
      </c>
      <c r="D34" s="46" cm="1">
        <f t="array" aca="1" ref="D34" ca="1">_xll.VoseSimProbability(Value,0)</f>
        <v>0.50154984501549849</v>
      </c>
      <c r="E34" s="28"/>
      <c r="F34" s="28"/>
      <c r="G34" s="28"/>
    </row>
    <row r="35" spans="2:7" x14ac:dyDescent="0.45">
      <c r="B35" s="54" t="s">
        <v>209</v>
      </c>
      <c r="C35" s="26" t="s">
        <v>115</v>
      </c>
      <c r="D35" s="33">
        <f>Cost_Well_Mean/ValuePerBbl_Mean</f>
        <v>7.225806451612903</v>
      </c>
      <c r="E35" s="28"/>
      <c r="F35" s="28"/>
      <c r="G35" s="28"/>
    </row>
    <row r="36" spans="2:7" x14ac:dyDescent="0.45">
      <c r="B36" s="25" t="s">
        <v>210</v>
      </c>
      <c r="C36" s="28"/>
      <c r="D36" s="47" t="str">
        <f ca="1">IF(ISNUMBER(D28),IF(D28&gt;0,"Бурить: ожидаемая ценность положительна","На этих условиях не бурить"),"–")</f>
        <v>Бурить: ожидаемая ценность положительна</v>
      </c>
      <c r="E36" s="28"/>
      <c r="F36" s="28"/>
      <c r="G36" s="28"/>
    </row>
    <row r="37" spans="2:7" ht="8" customHeight="1" x14ac:dyDescent="0.45"/>
    <row r="38" spans="2:7" ht="22.05" customHeight="1" x14ac:dyDescent="0.5">
      <c r="B38" s="7" t="s">
        <v>211</v>
      </c>
      <c r="C38" s="8"/>
      <c r="D38" s="8"/>
      <c r="E38" s="8"/>
      <c r="F38" s="8"/>
      <c r="G38" s="8"/>
    </row>
    <row r="39" spans="2:7" ht="32" customHeight="1" x14ac:dyDescent="0.45">
      <c r="B39" s="60" t="s">
        <v>212</v>
      </c>
      <c r="C39" s="61"/>
      <c r="D39" s="61"/>
      <c r="E39" s="61"/>
      <c r="F39" s="61"/>
      <c r="G39" s="61"/>
    </row>
    <row r="40" spans="2:7" ht="32" customHeight="1" x14ac:dyDescent="0.45">
      <c r="B40" s="60" t="s">
        <v>213</v>
      </c>
      <c r="C40" s="61"/>
      <c r="D40" s="61"/>
      <c r="E40" s="61"/>
      <c r="F40" s="61"/>
      <c r="G40" s="61"/>
    </row>
    <row r="41" spans="2:7" ht="32" customHeight="1" x14ac:dyDescent="0.45">
      <c r="B41" s="60" t="s">
        <v>214</v>
      </c>
      <c r="C41" s="61"/>
      <c r="D41" s="61"/>
      <c r="E41" s="61"/>
      <c r="F41" s="61"/>
      <c r="G41" s="61"/>
    </row>
    <row r="42" spans="2:7" ht="32" customHeight="1" x14ac:dyDescent="0.45">
      <c r="B42" s="60" t="str">
        <f>"•  "&amp;("Скважина оказывается убыточной чаще, чем сухой: открытие меньше безубыточного размера — стоимость скважины ÷ ценность барреля, около "&amp;TEXT(Cost_Well_Mean/ValuePerBbl_Mean,"0")&amp;" млн барр., — тоже не окупает скважину.")</f>
        <v>•  Скважина оказывается убыточной чаще, чем сухой: открытие меньше безубыточного размера — стоимость скважины ÷ ценность барреля, около 7 млн барр., — тоже не окупает скважину.</v>
      </c>
      <c r="C42" s="61"/>
      <c r="D42" s="61"/>
      <c r="E42" s="61"/>
      <c r="F42" s="61"/>
      <c r="G42" s="61"/>
    </row>
    <row r="43" spans="2:7" ht="19.05" customHeight="1" x14ac:dyDescent="0.45">
      <c r="B43" s="60" t="s">
        <v>215</v>
      </c>
      <c r="C43" s="61"/>
      <c r="D43" s="61"/>
      <c r="E43" s="61"/>
      <c r="F43" s="61"/>
      <c r="G43" s="61"/>
    </row>
    <row r="44" spans="2:7" ht="14" customHeight="1" x14ac:dyDescent="0.45"/>
    <row r="45" spans="2:7" ht="14" customHeight="1" x14ac:dyDescent="0.45"/>
    <row r="46" spans="2:7" ht="22.05" customHeight="1" x14ac:dyDescent="0.5">
      <c r="B46" s="7" t="s">
        <v>216</v>
      </c>
      <c r="C46" s="8"/>
      <c r="D46" s="8"/>
      <c r="E46" s="8"/>
      <c r="F46" s="8"/>
      <c r="G46" s="8"/>
    </row>
    <row r="47" spans="2:7" ht="18" customHeight="1" x14ac:dyDescent="0.45">
      <c r="B47" s="13" t="s">
        <v>217</v>
      </c>
    </row>
    <row r="48" spans="2:7" ht="28.05" hidden="1" customHeight="1" outlineLevel="1" x14ac:dyDescent="0.45">
      <c r="B48" s="24" t="s">
        <v>218</v>
      </c>
      <c r="C48" s="24" t="s">
        <v>219</v>
      </c>
      <c r="D48" s="24" t="s">
        <v>61</v>
      </c>
      <c r="E48" s="24" t="s">
        <v>220</v>
      </c>
      <c r="F48" s="5"/>
      <c r="G48" s="5"/>
    </row>
    <row r="49" spans="2:5" hidden="1" outlineLevel="1" x14ac:dyDescent="0.45">
      <c r="B49" s="55">
        <v>0.01</v>
      </c>
      <c r="C49" s="55">
        <f t="shared" ref="C49:C80" si="0">1-B49</f>
        <v>0.99</v>
      </c>
      <c r="D49" s="56" cm="1">
        <f t="array" aca="1" ref="D49" ca="1">IF(ISNUMBER(_xll.VoseSimPercentile(Value,$B49)),_xll.VoseSimPercentile(Value,$B49),NA())</f>
        <v>-44.989416930507588</v>
      </c>
      <c r="E49" s="56" cm="1">
        <f t="array" aca="1" ref="E49" ca="1">IF(ISNUMBER(_xll.VoseSimPercentile(Volume,$B49)),_xll.VoseSimPercentile(Volume,$B49),NA())</f>
        <v>0</v>
      </c>
    </row>
    <row r="50" spans="2:5" hidden="1" outlineLevel="1" x14ac:dyDescent="0.45">
      <c r="B50" s="55">
        <v>0.03</v>
      </c>
      <c r="C50" s="55">
        <f t="shared" si="0"/>
        <v>0.97</v>
      </c>
      <c r="D50" s="56" cm="1">
        <f t="array" aca="1" ref="D50" ca="1">IF(ISNUMBER(_xll.VoseSimPercentile(Value,$B50)),_xll.VoseSimPercentile(Value,$B50),NA())</f>
        <v>-43.407375880425761</v>
      </c>
      <c r="E50" s="56" cm="1">
        <f t="array" aca="1" ref="E50" ca="1">IF(ISNUMBER(_xll.VoseSimPercentile(Volume,$B50)),_xll.VoseSimPercentile(Volume,$B50),NA())</f>
        <v>0</v>
      </c>
    </row>
    <row r="51" spans="2:5" hidden="1" outlineLevel="1" x14ac:dyDescent="0.45">
      <c r="B51" s="55">
        <v>0.05</v>
      </c>
      <c r="C51" s="55">
        <f t="shared" si="0"/>
        <v>0.95</v>
      </c>
      <c r="D51" s="56" cm="1">
        <f t="array" aca="1" ref="D51" ca="1">IF(ISNUMBER(_xll.VoseSimPercentile(Value,$B51)),_xll.VoseSimPercentile(Value,$B51),NA())</f>
        <v>-42.219169449023425</v>
      </c>
      <c r="E51" s="56" cm="1">
        <f t="array" aca="1" ref="E51" ca="1">IF(ISNUMBER(_xll.VoseSimPercentile(Volume,$B51)),_xll.VoseSimPercentile(Volume,$B51),NA())</f>
        <v>0</v>
      </c>
    </row>
    <row r="52" spans="2:5" hidden="1" outlineLevel="1" x14ac:dyDescent="0.45">
      <c r="B52" s="55">
        <v>7.0000000000000007E-2</v>
      </c>
      <c r="C52" s="55">
        <f t="shared" si="0"/>
        <v>0.92999999999999994</v>
      </c>
      <c r="D52" s="56" cm="1">
        <f t="array" aca="1" ref="D52" ca="1">IF(ISNUMBER(_xll.VoseSimPercentile(Value,$B52)),_xll.VoseSimPercentile(Value,$B52),NA())</f>
        <v>-41.287083208835845</v>
      </c>
      <c r="E52" s="56" cm="1">
        <f t="array" aca="1" ref="E52" ca="1">IF(ISNUMBER(_xll.VoseSimPercentile(Volume,$B52)),_xll.VoseSimPercentile(Volume,$B52),NA())</f>
        <v>0</v>
      </c>
    </row>
    <row r="53" spans="2:5" hidden="1" outlineLevel="1" x14ac:dyDescent="0.45">
      <c r="B53" s="55">
        <v>0.09</v>
      </c>
      <c r="C53" s="55">
        <f t="shared" si="0"/>
        <v>0.91</v>
      </c>
      <c r="D53" s="56" cm="1">
        <f t="array" aca="1" ref="D53" ca="1">IF(ISNUMBER(_xll.VoseSimPercentile(Value,$B53)),_xll.VoseSimPercentile(Value,$B53),NA())</f>
        <v>-40.600133698895426</v>
      </c>
      <c r="E53" s="56" cm="1">
        <f t="array" aca="1" ref="E53" ca="1">IF(ISNUMBER(_xll.VoseSimPercentile(Volume,$B53)),_xll.VoseSimPercentile(Volume,$B53),NA())</f>
        <v>0</v>
      </c>
    </row>
    <row r="54" spans="2:5" hidden="1" outlineLevel="1" x14ac:dyDescent="0.45">
      <c r="B54" s="55">
        <v>0.11</v>
      </c>
      <c r="C54" s="55">
        <f t="shared" si="0"/>
        <v>0.89</v>
      </c>
      <c r="D54" s="56" cm="1">
        <f t="array" aca="1" ref="D54" ca="1">IF(ISNUMBER(_xll.VoseSimPercentile(Value,$B54)),_xll.VoseSimPercentile(Value,$B54),NA())</f>
        <v>-40.009921548198946</v>
      </c>
      <c r="E54" s="56" cm="1">
        <f t="array" aca="1" ref="E54" ca="1">IF(ISNUMBER(_xll.VoseSimPercentile(Volume,$B54)),_xll.VoseSimPercentile(Volume,$B54),NA())</f>
        <v>0</v>
      </c>
    </row>
    <row r="55" spans="2:5" hidden="1" outlineLevel="1" x14ac:dyDescent="0.45">
      <c r="B55" s="55">
        <v>0.13</v>
      </c>
      <c r="C55" s="55">
        <f t="shared" si="0"/>
        <v>0.87</v>
      </c>
      <c r="D55" s="56" cm="1">
        <f t="array" aca="1" ref="D55" ca="1">IF(ISNUMBER(_xll.VoseSimPercentile(Value,$B55)),_xll.VoseSimPercentile(Value,$B55),NA())</f>
        <v>-39.488691539684673</v>
      </c>
      <c r="E55" s="56" cm="1">
        <f t="array" aca="1" ref="E55" ca="1">IF(ISNUMBER(_xll.VoseSimPercentile(Volume,$B55)),_xll.VoseSimPercentile(Volume,$B55),NA())</f>
        <v>0</v>
      </c>
    </row>
    <row r="56" spans="2:5" hidden="1" outlineLevel="1" x14ac:dyDescent="0.45">
      <c r="B56" s="55">
        <v>0.15</v>
      </c>
      <c r="C56" s="55">
        <f t="shared" si="0"/>
        <v>0.85</v>
      </c>
      <c r="D56" s="56" cm="1">
        <f t="array" aca="1" ref="D56" ca="1">IF(ISNUMBER(_xll.VoseSimPercentile(Value,$B56)),_xll.VoseSimPercentile(Value,$B56),NA())</f>
        <v>-38.948664955125039</v>
      </c>
      <c r="E56" s="56" cm="1">
        <f t="array" aca="1" ref="E56" ca="1">IF(ISNUMBER(_xll.VoseSimPercentile(Volume,$B56)),_xll.VoseSimPercentile(Volume,$B56),NA())</f>
        <v>0</v>
      </c>
    </row>
    <row r="57" spans="2:5" hidden="1" outlineLevel="1" x14ac:dyDescent="0.45">
      <c r="B57" s="55">
        <v>0.17</v>
      </c>
      <c r="C57" s="55">
        <f t="shared" si="0"/>
        <v>0.83</v>
      </c>
      <c r="D57" s="56" cm="1">
        <f t="array" aca="1" ref="D57" ca="1">IF(ISNUMBER(_xll.VoseSimPercentile(Value,$B57)),_xll.VoseSimPercentile(Value,$B57),NA())</f>
        <v>-38.500038913544543</v>
      </c>
      <c r="E57" s="56" cm="1">
        <f t="array" aca="1" ref="E57" ca="1">IF(ISNUMBER(_xll.VoseSimPercentile(Volume,$B57)),_xll.VoseSimPercentile(Volume,$B57),NA())</f>
        <v>0</v>
      </c>
    </row>
    <row r="58" spans="2:5" hidden="1" outlineLevel="1" x14ac:dyDescent="0.45">
      <c r="B58" s="55">
        <v>0.19</v>
      </c>
      <c r="C58" s="55">
        <f t="shared" si="0"/>
        <v>0.81</v>
      </c>
      <c r="D58" s="56" cm="1">
        <f t="array" aca="1" ref="D58" ca="1">IF(ISNUMBER(_xll.VoseSimPercentile(Value,$B58)),_xll.VoseSimPercentile(Value,$B58),NA())</f>
        <v>-38.024971081685749</v>
      </c>
      <c r="E58" s="56" cm="1">
        <f t="array" aca="1" ref="E58" ca="1">IF(ISNUMBER(_xll.VoseSimPercentile(Volume,$B58)),_xll.VoseSimPercentile(Volume,$B58),NA())</f>
        <v>0</v>
      </c>
    </row>
    <row r="59" spans="2:5" hidden="1" outlineLevel="1" x14ac:dyDescent="0.45">
      <c r="B59" s="55">
        <v>0.21</v>
      </c>
      <c r="C59" s="55">
        <f t="shared" si="0"/>
        <v>0.79</v>
      </c>
      <c r="D59" s="56" cm="1">
        <f t="array" aca="1" ref="D59" ca="1">IF(ISNUMBER(_xll.VoseSimPercentile(Value,$B59)),_xll.VoseSimPercentile(Value,$B59),NA())</f>
        <v>-37.607479111043283</v>
      </c>
      <c r="E59" s="56" cm="1">
        <f t="array" aca="1" ref="E59" ca="1">IF(ISNUMBER(_xll.VoseSimPercentile(Volume,$B59)),_xll.VoseSimPercentile(Volume,$B59),NA())</f>
        <v>0</v>
      </c>
    </row>
    <row r="60" spans="2:5" hidden="1" outlineLevel="1" x14ac:dyDescent="0.45">
      <c r="B60" s="55">
        <v>0.23</v>
      </c>
      <c r="C60" s="55">
        <f t="shared" si="0"/>
        <v>0.77</v>
      </c>
      <c r="D60" s="56" cm="1">
        <f t="array" aca="1" ref="D60" ca="1">IF(ISNUMBER(_xll.VoseSimPercentile(Value,$B60)),_xll.VoseSimPercentile(Value,$B60),NA())</f>
        <v>-37.149346828743361</v>
      </c>
      <c r="E60" s="56" cm="1">
        <f t="array" aca="1" ref="E60" ca="1">IF(ISNUMBER(_xll.VoseSimPercentile(Volume,$B60)),_xll.VoseSimPercentile(Volume,$B60),NA())</f>
        <v>0</v>
      </c>
    </row>
    <row r="61" spans="2:5" hidden="1" outlineLevel="1" x14ac:dyDescent="0.45">
      <c r="B61" s="55">
        <v>0.25</v>
      </c>
      <c r="C61" s="55">
        <f t="shared" si="0"/>
        <v>0.75</v>
      </c>
      <c r="D61" s="56" cm="1">
        <f t="array" aca="1" ref="D61" ca="1">IF(ISNUMBER(_xll.VoseSimPercentile(Value,$B61)),_xll.VoseSimPercentile(Value,$B61),NA())</f>
        <v>-36.735451263649423</v>
      </c>
      <c r="E61" s="56" cm="1">
        <f t="array" aca="1" ref="E61" ca="1">IF(ISNUMBER(_xll.VoseSimPercentile(Volume,$B61)),_xll.VoseSimPercentile(Volume,$B61),NA())</f>
        <v>0</v>
      </c>
    </row>
    <row r="62" spans="2:5" hidden="1" outlineLevel="1" x14ac:dyDescent="0.45">
      <c r="B62" s="55">
        <v>0.27</v>
      </c>
      <c r="C62" s="55">
        <f t="shared" si="0"/>
        <v>0.73</v>
      </c>
      <c r="D62" s="56" cm="1">
        <f t="array" aca="1" ref="D62" ca="1">IF(ISNUMBER(_xll.VoseSimPercentile(Value,$B62)),_xll.VoseSimPercentile(Value,$B62),NA())</f>
        <v>-36.328299573888813</v>
      </c>
      <c r="E62" s="56" cm="1">
        <f t="array" aca="1" ref="E62" ca="1">IF(ISNUMBER(_xll.VoseSimPercentile(Volume,$B62)),_xll.VoseSimPercentile(Volume,$B62),NA())</f>
        <v>0</v>
      </c>
    </row>
    <row r="63" spans="2:5" hidden="1" outlineLevel="1" x14ac:dyDescent="0.45">
      <c r="B63" s="55">
        <v>0.28999999999999998</v>
      </c>
      <c r="C63" s="55">
        <f t="shared" si="0"/>
        <v>0.71</v>
      </c>
      <c r="D63" s="56" cm="1">
        <f t="array" aca="1" ref="D63" ca="1">IF(ISNUMBER(_xll.VoseSimPercentile(Value,$B63)),_xll.VoseSimPercentile(Value,$B63),NA())</f>
        <v>-35.937929236820644</v>
      </c>
      <c r="E63" s="56" cm="1">
        <f t="array" aca="1" ref="E63" ca="1">IF(ISNUMBER(_xll.VoseSimPercentile(Volume,$B63)),_xll.VoseSimPercentile(Volume,$B63),NA())</f>
        <v>0</v>
      </c>
    </row>
    <row r="64" spans="2:5" hidden="1" outlineLevel="1" x14ac:dyDescent="0.45">
      <c r="B64" s="55">
        <v>0.31</v>
      </c>
      <c r="C64" s="55">
        <f t="shared" si="0"/>
        <v>0.69</v>
      </c>
      <c r="D64" s="56" cm="1">
        <f t="array" aca="1" ref="D64" ca="1">IF(ISNUMBER(_xll.VoseSimPercentile(Value,$B64)),_xll.VoseSimPercentile(Value,$B64),NA())</f>
        <v>-35.525698588933665</v>
      </c>
      <c r="E64" s="56" cm="1">
        <f t="array" aca="1" ref="E64" ca="1">IF(ISNUMBER(_xll.VoseSimPercentile(Volume,$B64)),_xll.VoseSimPercentile(Volume,$B64),NA())</f>
        <v>0</v>
      </c>
    </row>
    <row r="65" spans="2:5" hidden="1" outlineLevel="1" x14ac:dyDescent="0.45">
      <c r="B65" s="55">
        <v>0.33</v>
      </c>
      <c r="C65" s="55">
        <f t="shared" si="0"/>
        <v>0.66999999999999993</v>
      </c>
      <c r="D65" s="56" cm="1">
        <f t="array" aca="1" ref="D65" ca="1">IF(ISNUMBER(_xll.VoseSimPercentile(Value,$B65)),_xll.VoseSimPercentile(Value,$B65),NA())</f>
        <v>-35.07221039060974</v>
      </c>
      <c r="E65" s="56" cm="1">
        <f t="array" aca="1" ref="E65" ca="1">IF(ISNUMBER(_xll.VoseSimPercentile(Volume,$B65)),_xll.VoseSimPercentile(Volume,$B65),NA())</f>
        <v>0</v>
      </c>
    </row>
    <row r="66" spans="2:5" hidden="1" outlineLevel="1" x14ac:dyDescent="0.45">
      <c r="B66" s="55">
        <v>0.35</v>
      </c>
      <c r="C66" s="55">
        <f t="shared" si="0"/>
        <v>0.65</v>
      </c>
      <c r="D66" s="56" cm="1">
        <f t="array" aca="1" ref="D66" ca="1">IF(ISNUMBER(_xll.VoseSimPercentile(Value,$B66)),_xll.VoseSimPercentile(Value,$B66),NA())</f>
        <v>-34.626327282947138</v>
      </c>
      <c r="E66" s="56" cm="1">
        <f t="array" aca="1" ref="E66" ca="1">IF(ISNUMBER(_xll.VoseSimPercentile(Volume,$B66)),_xll.VoseSimPercentile(Volume,$B66),NA())</f>
        <v>0</v>
      </c>
    </row>
    <row r="67" spans="2:5" hidden="1" outlineLevel="1" x14ac:dyDescent="0.45">
      <c r="B67" s="55">
        <v>0.37</v>
      </c>
      <c r="C67" s="55">
        <f t="shared" si="0"/>
        <v>0.63</v>
      </c>
      <c r="D67" s="56" cm="1">
        <f t="array" aca="1" ref="D67" ca="1">IF(ISNUMBER(_xll.VoseSimPercentile(Value,$B67)),_xll.VoseSimPercentile(Value,$B67),NA())</f>
        <v>-34.197661042439869</v>
      </c>
      <c r="E67" s="56" cm="1">
        <f t="array" aca="1" ref="E67" ca="1">IF(ISNUMBER(_xll.VoseSimPercentile(Volume,$B67)),_xll.VoseSimPercentile(Volume,$B67),NA())</f>
        <v>0</v>
      </c>
    </row>
    <row r="68" spans="2:5" hidden="1" outlineLevel="1" x14ac:dyDescent="0.45">
      <c r="B68" s="55">
        <v>0.39</v>
      </c>
      <c r="C68" s="55">
        <f t="shared" si="0"/>
        <v>0.61</v>
      </c>
      <c r="D68" s="56" cm="1">
        <f t="array" aca="1" ref="D68" ca="1">IF(ISNUMBER(_xll.VoseSimPercentile(Value,$B68)),_xll.VoseSimPercentile(Value,$B68),NA())</f>
        <v>-33.68769084588854</v>
      </c>
      <c r="E68" s="56" cm="1">
        <f t="array" aca="1" ref="E68" ca="1">IF(ISNUMBER(_xll.VoseSimPercentile(Volume,$B68)),_xll.VoseSimPercentile(Volume,$B68),NA())</f>
        <v>0</v>
      </c>
    </row>
    <row r="69" spans="2:5" hidden="1" outlineLevel="1" x14ac:dyDescent="0.45">
      <c r="B69" s="55">
        <v>0.41</v>
      </c>
      <c r="C69" s="55">
        <f t="shared" si="0"/>
        <v>0.59000000000000008</v>
      </c>
      <c r="D69" s="56" cm="1">
        <f t="array" aca="1" ref="D69" ca="1">IF(ISNUMBER(_xll.VoseSimPercentile(Value,$B69)),_xll.VoseSimPercentile(Value,$B69),NA())</f>
        <v>-33.1678520926557</v>
      </c>
      <c r="E69" s="56" cm="1">
        <f t="array" aca="1" ref="E69" ca="1">IF(ISNUMBER(_xll.VoseSimPercentile(Volume,$B69)),_xll.VoseSimPercentile(Volume,$B69),NA())</f>
        <v>0</v>
      </c>
    </row>
    <row r="70" spans="2:5" hidden="1" outlineLevel="1" x14ac:dyDescent="0.45">
      <c r="B70" s="55">
        <v>0.43</v>
      </c>
      <c r="C70" s="55">
        <f t="shared" si="0"/>
        <v>0.57000000000000006</v>
      </c>
      <c r="D70" s="56" cm="1">
        <f t="array" aca="1" ref="D70" ca="1">IF(ISNUMBER(_xll.VoseSimPercentile(Value,$B70)),_xll.VoseSimPercentile(Value,$B70),NA())</f>
        <v>-32.615878652062456</v>
      </c>
      <c r="E70" s="56" cm="1">
        <f t="array" aca="1" ref="E70" ca="1">IF(ISNUMBER(_xll.VoseSimPercentile(Volume,$B70)),_xll.VoseSimPercentile(Volume,$B70),NA())</f>
        <v>0</v>
      </c>
    </row>
    <row r="71" spans="2:5" hidden="1" outlineLevel="1" x14ac:dyDescent="0.45">
      <c r="B71" s="55">
        <v>0.45</v>
      </c>
      <c r="C71" s="55">
        <f t="shared" si="0"/>
        <v>0.55000000000000004</v>
      </c>
      <c r="D71" s="56" cm="1">
        <f t="array" aca="1" ref="D71" ca="1">IF(ISNUMBER(_xll.VoseSimPercentile(Value,$B71)),_xll.VoseSimPercentile(Value,$B71),NA())</f>
        <v>-32.019682925748675</v>
      </c>
      <c r="E71" s="56" cm="1">
        <f t="array" aca="1" ref="E71" ca="1">IF(ISNUMBER(_xll.VoseSimPercentile(Volume,$B71)),_xll.VoseSimPercentile(Volume,$B71),NA())</f>
        <v>0</v>
      </c>
    </row>
    <row r="72" spans="2:5" hidden="1" outlineLevel="1" x14ac:dyDescent="0.45">
      <c r="B72" s="55">
        <v>0.47</v>
      </c>
      <c r="C72" s="55">
        <f t="shared" si="0"/>
        <v>0.53</v>
      </c>
      <c r="D72" s="56" cm="1">
        <f t="array" aca="1" ref="D72" ca="1">IF(ISNUMBER(_xll.VoseSimPercentile(Value,$B72)),_xll.VoseSimPercentile(Value,$B72),NA())</f>
        <v>-31.061240197673531</v>
      </c>
      <c r="E72" s="56" cm="1">
        <f t="array" aca="1" ref="E72" ca="1">IF(ISNUMBER(_xll.VoseSimPercentile(Volume,$B72)),_xll.VoseSimPercentile(Volume,$B72),NA())</f>
        <v>0</v>
      </c>
    </row>
    <row r="73" spans="2:5" hidden="1" outlineLevel="1" x14ac:dyDescent="0.45">
      <c r="B73" s="55">
        <v>0.49</v>
      </c>
      <c r="C73" s="55">
        <f t="shared" si="0"/>
        <v>0.51</v>
      </c>
      <c r="D73" s="56" cm="1">
        <f t="array" aca="1" ref="D73" ca="1">IF(ISNUMBER(_xll.VoseSimPercentile(Value,$B73)),_xll.VoseSimPercentile(Value,$B73),NA())</f>
        <v>-7.2332042718274749</v>
      </c>
      <c r="E73" s="56" cm="1">
        <f t="array" aca="1" ref="E73" ca="1">IF(ISNUMBER(_xll.VoseSimPercentile(Volume,$B73)),_xll.VoseSimPercentile(Volume,$B73),NA())</f>
        <v>6.492146737880649</v>
      </c>
    </row>
    <row r="74" spans="2:5" hidden="1" outlineLevel="1" x14ac:dyDescent="0.45">
      <c r="B74" s="55">
        <v>0.51</v>
      </c>
      <c r="C74" s="55">
        <f t="shared" si="0"/>
        <v>0.49</v>
      </c>
      <c r="D74" s="56" cm="1">
        <f t="array" aca="1" ref="D74" ca="1">IF(ISNUMBER(_xll.VoseSimPercentile(Value,$B74)),_xll.VoseSimPercentile(Value,$B74),NA())</f>
        <v>3.8329689327934915</v>
      </c>
      <c r="E74" s="56" cm="1">
        <f t="array" aca="1" ref="E74" ca="1">IF(ISNUMBER(_xll.VoseSimPercentile(Volume,$B74)),_xll.VoseSimPercentile(Volume,$B74),NA())</f>
        <v>8.4276352970374742</v>
      </c>
    </row>
    <row r="75" spans="2:5" hidden="1" outlineLevel="1" x14ac:dyDescent="0.45">
      <c r="B75" s="55">
        <v>0.53</v>
      </c>
      <c r="C75" s="55">
        <f t="shared" si="0"/>
        <v>0.47</v>
      </c>
      <c r="D75" s="56" cm="1">
        <f t="array" aca="1" ref="D75" ca="1">IF(ISNUMBER(_xll.VoseSimPercentile(Value,$B75)),_xll.VoseSimPercentile(Value,$B75),NA())</f>
        <v>12.502032385284082</v>
      </c>
      <c r="E75" s="56" cm="1">
        <f t="array" aca="1" ref="E75" ca="1">IF(ISNUMBER(_xll.VoseSimPercentile(Volume,$B75)),_xll.VoseSimPercentile(Volume,$B75),NA())</f>
        <v>10.179162027367473</v>
      </c>
    </row>
    <row r="76" spans="2:5" hidden="1" outlineLevel="1" x14ac:dyDescent="0.45">
      <c r="B76" s="55">
        <v>0.55000000000000004</v>
      </c>
      <c r="C76" s="55">
        <f t="shared" si="0"/>
        <v>0.44999999999999996</v>
      </c>
      <c r="D76" s="56" cm="1">
        <f t="array" aca="1" ref="D76" ca="1">IF(ISNUMBER(_xll.VoseSimPercentile(Value,$B76)),_xll.VoseSimPercentile(Value,$B76),NA())</f>
        <v>21.041393187469467</v>
      </c>
      <c r="E76" s="56" cm="1">
        <f t="array" aca="1" ref="E76" ca="1">IF(ISNUMBER(_xll.VoseSimPercentile(Volume,$B76)),_xll.VoseSimPercentile(Volume,$B76),NA())</f>
        <v>11.664245015146607</v>
      </c>
    </row>
    <row r="77" spans="2:5" hidden="1" outlineLevel="1" x14ac:dyDescent="0.45">
      <c r="B77" s="55">
        <v>0.56999999999999995</v>
      </c>
      <c r="C77" s="55">
        <f t="shared" si="0"/>
        <v>0.43000000000000005</v>
      </c>
      <c r="D77" s="56" cm="1">
        <f t="array" aca="1" ref="D77" ca="1">IF(ISNUMBER(_xll.VoseSimPercentile(Value,$B77)),_xll.VoseSimPercentile(Value,$B77),NA())</f>
        <v>28.519639838563428</v>
      </c>
      <c r="E77" s="56" cm="1">
        <f t="array" aca="1" ref="E77" ca="1">IF(ISNUMBER(_xll.VoseSimPercentile(Volume,$B77)),_xll.VoseSimPercentile(Volume,$B77),NA())</f>
        <v>13.040688212832768</v>
      </c>
    </row>
    <row r="78" spans="2:5" hidden="1" outlineLevel="1" x14ac:dyDescent="0.45">
      <c r="B78" s="55">
        <v>0.59</v>
      </c>
      <c r="C78" s="55">
        <f t="shared" si="0"/>
        <v>0.41000000000000003</v>
      </c>
      <c r="D78" s="56" cm="1">
        <f t="array" aca="1" ref="D78" ca="1">IF(ISNUMBER(_xll.VoseSimPercentile(Value,$B78)),_xll.VoseSimPercentile(Value,$B78),NA())</f>
        <v>36.073011835164628</v>
      </c>
      <c r="E78" s="56" cm="1">
        <f t="array" aca="1" ref="E78" ca="1">IF(ISNUMBER(_xll.VoseSimPercentile(Volume,$B78)),_xll.VoseSimPercentile(Volume,$B78),NA())</f>
        <v>14.503659482628368</v>
      </c>
    </row>
    <row r="79" spans="2:5" hidden="1" outlineLevel="1" x14ac:dyDescent="0.45">
      <c r="B79" s="55">
        <v>0.61</v>
      </c>
      <c r="C79" s="55">
        <f t="shared" si="0"/>
        <v>0.39</v>
      </c>
      <c r="D79" s="56" cm="1">
        <f t="array" aca="1" ref="D79" ca="1">IF(ISNUMBER(_xll.VoseSimPercentile(Value,$B79)),_xll.VoseSimPercentile(Value,$B79),NA())</f>
        <v>43.0985813516821</v>
      </c>
      <c r="E79" s="56" cm="1">
        <f t="array" aca="1" ref="E79" ca="1">IF(ISNUMBER(_xll.VoseSimPercentile(Volume,$B79)),_xll.VoseSimPercentile(Volume,$B79),NA())</f>
        <v>16.065610101500187</v>
      </c>
    </row>
    <row r="80" spans="2:5" hidden="1" outlineLevel="1" x14ac:dyDescent="0.45">
      <c r="B80" s="55">
        <v>0.63</v>
      </c>
      <c r="C80" s="55">
        <f t="shared" si="0"/>
        <v>0.37</v>
      </c>
      <c r="D80" s="56" cm="1">
        <f t="array" aca="1" ref="D80" ca="1">IF(ISNUMBER(_xll.VoseSimPercentile(Value,$B80)),_xll.VoseSimPercentile(Value,$B80),NA())</f>
        <v>50.09481060495564</v>
      </c>
      <c r="E80" s="56" cm="1">
        <f t="array" aca="1" ref="E80" ca="1">IF(ISNUMBER(_xll.VoseSimPercentile(Volume,$B80)),_xll.VoseSimPercentile(Volume,$B80),NA())</f>
        <v>17.459092122680676</v>
      </c>
    </row>
    <row r="81" spans="2:5" hidden="1" outlineLevel="1" x14ac:dyDescent="0.45">
      <c r="B81" s="55">
        <v>0.65</v>
      </c>
      <c r="C81" s="55">
        <f t="shared" ref="C81:C112" si="1">1-B81</f>
        <v>0.35</v>
      </c>
      <c r="D81" s="56" cm="1">
        <f t="array" aca="1" ref="D81" ca="1">IF(ISNUMBER(_xll.VoseSimPercentile(Value,$B81)),_xll.VoseSimPercentile(Value,$B81),NA())</f>
        <v>58.102049424891781</v>
      </c>
      <c r="E81" s="56" cm="1">
        <f t="array" aca="1" ref="E81" ca="1">IF(ISNUMBER(_xll.VoseSimPercentile(Volume,$B81)),_xll.VoseSimPercentile(Volume,$B81),NA())</f>
        <v>18.909902837018869</v>
      </c>
    </row>
    <row r="82" spans="2:5" hidden="1" outlineLevel="1" x14ac:dyDescent="0.45">
      <c r="B82" s="55">
        <v>0.67</v>
      </c>
      <c r="C82" s="55">
        <f t="shared" si="1"/>
        <v>0.32999999999999996</v>
      </c>
      <c r="D82" s="56" cm="1">
        <f t="array" aca="1" ref="D82" ca="1">IF(ISNUMBER(_xll.VoseSimPercentile(Value,$B82)),_xll.VoseSimPercentile(Value,$B82),NA())</f>
        <v>66.786330158481491</v>
      </c>
      <c r="E82" s="56" cm="1">
        <f t="array" aca="1" ref="E82" ca="1">IF(ISNUMBER(_xll.VoseSimPercentile(Volume,$B82)),_xll.VoseSimPercentile(Volume,$B82),NA())</f>
        <v>20.283614814122991</v>
      </c>
    </row>
    <row r="83" spans="2:5" hidden="1" outlineLevel="1" x14ac:dyDescent="0.45">
      <c r="B83" s="55">
        <v>0.69</v>
      </c>
      <c r="C83" s="55">
        <f t="shared" si="1"/>
        <v>0.31000000000000005</v>
      </c>
      <c r="D83" s="56" cm="1">
        <f t="array" aca="1" ref="D83" ca="1">IF(ISNUMBER(_xll.VoseSimPercentile(Value,$B83)),_xll.VoseSimPercentile(Value,$B83),NA())</f>
        <v>75.321186700872317</v>
      </c>
      <c r="E83" s="56" cm="1">
        <f t="array" aca="1" ref="E83" ca="1">IF(ISNUMBER(_xll.VoseSimPercentile(Volume,$B83)),_xll.VoseSimPercentile(Volume,$B83),NA())</f>
        <v>22.068421775261548</v>
      </c>
    </row>
    <row r="84" spans="2:5" hidden="1" outlineLevel="1" x14ac:dyDescent="0.45">
      <c r="B84" s="55">
        <v>0.71</v>
      </c>
      <c r="C84" s="55">
        <f t="shared" si="1"/>
        <v>0.29000000000000004</v>
      </c>
      <c r="D84" s="56" cm="1">
        <f t="array" aca="1" ref="D84" ca="1">IF(ISNUMBER(_xll.VoseSimPercentile(Value,$B84)),_xll.VoseSimPercentile(Value,$B84),NA())</f>
        <v>84.290866483936654</v>
      </c>
      <c r="E84" s="56" cm="1">
        <f t="array" aca="1" ref="E84" ca="1">IF(ISNUMBER(_xll.VoseSimPercentile(Volume,$B84)),_xll.VoseSimPercentile(Volume,$B84),NA())</f>
        <v>24.216570768187161</v>
      </c>
    </row>
    <row r="85" spans="2:5" hidden="1" outlineLevel="1" x14ac:dyDescent="0.45">
      <c r="B85" s="55">
        <v>0.73</v>
      </c>
      <c r="C85" s="55">
        <f t="shared" si="1"/>
        <v>0.27</v>
      </c>
      <c r="D85" s="56" cm="1">
        <f t="array" aca="1" ref="D85" ca="1">IF(ISNUMBER(_xll.VoseSimPercentile(Value,$B85)),_xll.VoseSimPercentile(Value,$B85),NA())</f>
        <v>93.921815943925523</v>
      </c>
      <c r="E85" s="56" cm="1">
        <f t="array" aca="1" ref="E85" ca="1">IF(ISNUMBER(_xll.VoseSimPercentile(Volume,$B85)),_xll.VoseSimPercentile(Volume,$B85),NA())</f>
        <v>26.12987306812261</v>
      </c>
    </row>
    <row r="86" spans="2:5" hidden="1" outlineLevel="1" x14ac:dyDescent="0.45">
      <c r="B86" s="55">
        <v>0.75</v>
      </c>
      <c r="C86" s="55">
        <f t="shared" si="1"/>
        <v>0.25</v>
      </c>
      <c r="D86" s="56" cm="1">
        <f t="array" aca="1" ref="D86" ca="1">IF(ISNUMBER(_xll.VoseSimPercentile(Value,$B86)),_xll.VoseSimPercentile(Value,$B86),NA())</f>
        <v>104.69253364187711</v>
      </c>
      <c r="E86" s="56" cm="1">
        <f t="array" aca="1" ref="E86" ca="1">IF(ISNUMBER(_xll.VoseSimPercentile(Volume,$B86)),_xll.VoseSimPercentile(Volume,$B86),NA())</f>
        <v>28.167789268624137</v>
      </c>
    </row>
    <row r="87" spans="2:5" hidden="1" outlineLevel="1" x14ac:dyDescent="0.45">
      <c r="B87" s="55">
        <v>0.77</v>
      </c>
      <c r="C87" s="55">
        <f t="shared" si="1"/>
        <v>0.22999999999999998</v>
      </c>
      <c r="D87" s="56" cm="1">
        <f t="array" aca="1" ref="D87" ca="1">IF(ISNUMBER(_xll.VoseSimPercentile(Value,$B87)),_xll.VoseSimPercentile(Value,$B87),NA())</f>
        <v>116.66807559937588</v>
      </c>
      <c r="E87" s="56" cm="1">
        <f t="array" aca="1" ref="E87" ca="1">IF(ISNUMBER(_xll.VoseSimPercentile(Volume,$B87)),_xll.VoseSimPercentile(Volume,$B87),NA())</f>
        <v>30.252131944863201</v>
      </c>
    </row>
    <row r="88" spans="2:5" hidden="1" outlineLevel="1" x14ac:dyDescent="0.45">
      <c r="B88" s="55">
        <v>0.79</v>
      </c>
      <c r="C88" s="55">
        <f t="shared" si="1"/>
        <v>0.20999999999999996</v>
      </c>
      <c r="D88" s="56" cm="1">
        <f t="array" aca="1" ref="D88" ca="1">IF(ISNUMBER(_xll.VoseSimPercentile(Value,$B88)),_xll.VoseSimPercentile(Value,$B88),NA())</f>
        <v>129.99754084169234</v>
      </c>
      <c r="E88" s="56" cm="1">
        <f t="array" aca="1" ref="E88" ca="1">IF(ISNUMBER(_xll.VoseSimPercentile(Volume,$B88)),_xll.VoseSimPercentile(Volume,$B88),NA())</f>
        <v>32.875937354454408</v>
      </c>
    </row>
    <row r="89" spans="2:5" hidden="1" outlineLevel="1" x14ac:dyDescent="0.45">
      <c r="B89" s="55">
        <v>0.81</v>
      </c>
      <c r="C89" s="55">
        <f t="shared" si="1"/>
        <v>0.18999999999999995</v>
      </c>
      <c r="D89" s="56" cm="1">
        <f t="array" aca="1" ref="D89" ca="1">IF(ISNUMBER(_xll.VoseSimPercentile(Value,$B89)),_xll.VoseSimPercentile(Value,$B89),NA())</f>
        <v>144.4563819660581</v>
      </c>
      <c r="E89" s="56" cm="1">
        <f t="array" aca="1" ref="E89" ca="1">IF(ISNUMBER(_xll.VoseSimPercentile(Volume,$B89)),_xll.VoseSimPercentile(Volume,$B89),NA())</f>
        <v>35.50800815461448</v>
      </c>
    </row>
    <row r="90" spans="2:5" hidden="1" outlineLevel="1" x14ac:dyDescent="0.45">
      <c r="B90" s="55">
        <v>0.83</v>
      </c>
      <c r="C90" s="55">
        <f t="shared" si="1"/>
        <v>0.17000000000000004</v>
      </c>
      <c r="D90" s="56" cm="1">
        <f t="array" aca="1" ref="D90" ca="1">IF(ISNUMBER(_xll.VoseSimPercentile(Value,$B90)),_xll.VoseSimPercentile(Value,$B90),NA())</f>
        <v>159.71145326214634</v>
      </c>
      <c r="E90" s="56" cm="1">
        <f t="array" aca="1" ref="E90" ca="1">IF(ISNUMBER(_xll.VoseSimPercentile(Volume,$B90)),_xll.VoseSimPercentile(Volume,$B90),NA())</f>
        <v>38.298125292761135</v>
      </c>
    </row>
    <row r="91" spans="2:5" hidden="1" outlineLevel="1" x14ac:dyDescent="0.45">
      <c r="B91" s="55">
        <v>0.85</v>
      </c>
      <c r="C91" s="55">
        <f t="shared" si="1"/>
        <v>0.15000000000000002</v>
      </c>
      <c r="D91" s="56" cm="1">
        <f t="array" aca="1" ref="D91" ca="1">IF(ISNUMBER(_xll.VoseSimPercentile(Value,$B91)),_xll.VoseSimPercentile(Value,$B91),NA())</f>
        <v>175.62816990721035</v>
      </c>
      <c r="E91" s="56" cm="1">
        <f t="array" aca="1" ref="E91" ca="1">IF(ISNUMBER(_xll.VoseSimPercentile(Volume,$B91)),_xll.VoseSimPercentile(Volume,$B91),NA())</f>
        <v>41.766797079766555</v>
      </c>
    </row>
    <row r="92" spans="2:5" hidden="1" outlineLevel="1" x14ac:dyDescent="0.45">
      <c r="B92" s="55">
        <v>0.87</v>
      </c>
      <c r="C92" s="55">
        <f t="shared" si="1"/>
        <v>0.13</v>
      </c>
      <c r="D92" s="56" cm="1">
        <f t="array" aca="1" ref="D92" ca="1">IF(ISNUMBER(_xll.VoseSimPercentile(Value,$B92)),_xll.VoseSimPercentile(Value,$B92),NA())</f>
        <v>194.00233192920467</v>
      </c>
      <c r="E92" s="56" cm="1">
        <f t="array" aca="1" ref="E92" ca="1">IF(ISNUMBER(_xll.VoseSimPercentile(Volume,$B92)),_xll.VoseSimPercentile(Volume,$B92),NA())</f>
        <v>45.194015240487069</v>
      </c>
    </row>
    <row r="93" spans="2:5" hidden="1" outlineLevel="1" x14ac:dyDescent="0.45">
      <c r="B93" s="55">
        <v>0.89</v>
      </c>
      <c r="C93" s="55">
        <f t="shared" si="1"/>
        <v>0.10999999999999999</v>
      </c>
      <c r="D93" s="56" cm="1">
        <f t="array" aca="1" ref="D93" ca="1">IF(ISNUMBER(_xll.VoseSimPercentile(Value,$B93)),_xll.VoseSimPercentile(Value,$B93),NA())</f>
        <v>213.53966007898845</v>
      </c>
      <c r="E93" s="56" cm="1">
        <f t="array" aca="1" ref="E93" ca="1">IF(ISNUMBER(_xll.VoseSimPercentile(Volume,$B93)),_xll.VoseSimPercentile(Volume,$B93),NA())</f>
        <v>49.106537835939996</v>
      </c>
    </row>
    <row r="94" spans="2:5" hidden="1" outlineLevel="1" x14ac:dyDescent="0.45">
      <c r="B94" s="55">
        <v>0.91</v>
      </c>
      <c r="C94" s="55">
        <f t="shared" si="1"/>
        <v>8.9999999999999969E-2</v>
      </c>
      <c r="D94" s="56" cm="1">
        <f t="array" aca="1" ref="D94" ca="1">IF(ISNUMBER(_xll.VoseSimPercentile(Value,$B94)),_xll.VoseSimPercentile(Value,$B94),NA())</f>
        <v>238.53224642125218</v>
      </c>
      <c r="E94" s="56" cm="1">
        <f t="array" aca="1" ref="E94" ca="1">IF(ISNUMBER(_xll.VoseSimPercentile(Volume,$B94)),_xll.VoseSimPercentile(Volume,$B94),NA())</f>
        <v>53.336672427138744</v>
      </c>
    </row>
    <row r="95" spans="2:5" hidden="1" outlineLevel="1" x14ac:dyDescent="0.45">
      <c r="B95" s="55">
        <v>0.93</v>
      </c>
      <c r="C95" s="55">
        <f t="shared" si="1"/>
        <v>6.9999999999999951E-2</v>
      </c>
      <c r="D95" s="56" cm="1">
        <f t="array" aca="1" ref="D95" ca="1">IF(ISNUMBER(_xll.VoseSimPercentile(Value,$B95)),_xll.VoseSimPercentile(Value,$B95),NA())</f>
        <v>273.06822635425772</v>
      </c>
      <c r="E95" s="56" cm="1">
        <f t="array" aca="1" ref="E95" ca="1">IF(ISNUMBER(_xll.VoseSimPercentile(Volume,$B95)),_xll.VoseSimPercentile(Volume,$B95),NA())</f>
        <v>58.866195127152821</v>
      </c>
    </row>
    <row r="96" spans="2:5" hidden="1" outlineLevel="1" x14ac:dyDescent="0.45">
      <c r="B96" s="55">
        <v>0.95</v>
      </c>
      <c r="C96" s="55">
        <f t="shared" si="1"/>
        <v>5.0000000000000044E-2</v>
      </c>
      <c r="D96" s="56" cm="1">
        <f t="array" aca="1" ref="D96" ca="1">IF(ISNUMBER(_xll.VoseSimPercentile(Value,$B96)),_xll.VoseSimPercentile(Value,$B96),NA())</f>
        <v>314.6701243506451</v>
      </c>
      <c r="E96" s="56" cm="1">
        <f t="array" aca="1" ref="E96" ca="1">IF(ISNUMBER(_xll.VoseSimPercentile(Volume,$B96)),_xll.VoseSimPercentile(Volume,$B96),NA())</f>
        <v>66.5974731019665</v>
      </c>
    </row>
    <row r="97" spans="2:7" hidden="1" outlineLevel="1" x14ac:dyDescent="0.45">
      <c r="B97" s="55">
        <v>0.97</v>
      </c>
      <c r="C97" s="55">
        <f t="shared" si="1"/>
        <v>3.0000000000000027E-2</v>
      </c>
      <c r="D97" s="56" cm="1">
        <f t="array" aca="1" ref="D97" ca="1">IF(ISNUMBER(_xll.VoseSimPercentile(Value,$B97)),_xll.VoseSimPercentile(Value,$B97),NA())</f>
        <v>379.50729513663396</v>
      </c>
      <c r="E97" s="56" cm="1">
        <f t="array" aca="1" ref="E97" ca="1">IF(ISNUMBER(_xll.VoseSimPercentile(Volume,$B97)),_xll.VoseSimPercentile(Volume,$B97),NA())</f>
        <v>79.281513388067907</v>
      </c>
    </row>
    <row r="98" spans="2:7" hidden="1" outlineLevel="1" x14ac:dyDescent="0.45">
      <c r="B98" s="55">
        <v>0.99</v>
      </c>
      <c r="C98" s="55">
        <f t="shared" si="1"/>
        <v>1.0000000000000009E-2</v>
      </c>
      <c r="D98" s="56" cm="1">
        <f t="array" aca="1" ref="D98" ca="1">IF(ISNUMBER(_xll.VoseSimPercentile(Value,$B98)),_xll.VoseSimPercentile(Value,$B98),NA())</f>
        <v>521.68917483032067</v>
      </c>
      <c r="E98" s="56" cm="1">
        <f t="array" aca="1" ref="E98" ca="1">IF(ISNUMBER(_xll.VoseSimPercentile(Volume,$B98)),_xll.VoseSimPercentile(Volume,$B98),NA())</f>
        <v>106.03529234486774</v>
      </c>
    </row>
    <row r="99" spans="2:7" hidden="1" outlineLevel="1" x14ac:dyDescent="0.45"/>
    <row r="100" spans="2:7" ht="18" hidden="1" customHeight="1" outlineLevel="1" x14ac:dyDescent="0.45">
      <c r="B100" s="23" t="s">
        <v>221</v>
      </c>
      <c r="C100" s="24" t="s">
        <v>222</v>
      </c>
      <c r="D100" s="24" t="s">
        <v>223</v>
      </c>
      <c r="E100" s="5"/>
      <c r="F100" s="5"/>
      <c r="G100" s="5"/>
    </row>
    <row r="101" spans="2:7" hidden="1" outlineLevel="1" x14ac:dyDescent="0.45">
      <c r="B101" s="57" t="s">
        <v>193</v>
      </c>
      <c r="C101" s="58">
        <v>1.5</v>
      </c>
      <c r="D101" s="59" cm="1">
        <f t="array" aca="1" ref="D101" ca="1">_xll.VoseSimProbability(Outcome,C101)</f>
        <v>0.47725227477252274</v>
      </c>
    </row>
    <row r="102" spans="2:7" hidden="1" outlineLevel="1" x14ac:dyDescent="0.45">
      <c r="B102" s="57" t="s">
        <v>194</v>
      </c>
      <c r="C102" s="58">
        <v>2.5</v>
      </c>
      <c r="D102" s="59" cm="1">
        <f t="array" aca="1" ref="D102" ca="1">_xll.VoseSimProbability(Outcome,C102)</f>
        <v>0.73092690730926912</v>
      </c>
    </row>
    <row r="103" spans="2:7" hidden="1" outlineLevel="1" x14ac:dyDescent="0.45">
      <c r="B103" s="57" t="s">
        <v>195</v>
      </c>
      <c r="C103" s="58">
        <v>3.5</v>
      </c>
      <c r="D103" s="59" cm="1">
        <f t="array" aca="1" ref="D103" ca="1">_xll.VoseSimProbability(Outcome,C103)</f>
        <v>0.84591540845915414</v>
      </c>
    </row>
  </sheetData>
  <mergeCells count="5">
    <mergeCell ref="B42:G42"/>
    <mergeCell ref="B41:G41"/>
    <mergeCell ref="B43:G43"/>
    <mergeCell ref="B40:G40"/>
    <mergeCell ref="B39:G39"/>
  </mergeCells>
  <conditionalFormatting sqref="B6:G6">
    <cfRule type="expression" dxfId="3" priority="1">
      <formula>LEFT($B$6,1)&lt;&gt;"✔"</formula>
    </cfRule>
  </conditionalFormatting>
  <conditionalFormatting sqref="D36">
    <cfRule type="expression" dxfId="2" priority="2">
      <formula>AND(ISNUMBER($D$28),$D$28&gt;0)</formula>
    </cfRule>
    <cfRule type="expression" dxfId="1" priority="3">
      <formula>AND(ISNUMBER($D$28),NOT($D$28&gt;0))</formula>
    </cfRule>
  </conditionalFormatting>
  <conditionalFormatting sqref="D49:E98">
    <cfRule type="expression" dxfId="0" priority="4">
      <formula>ISNA(D49)</formula>
    </cfRule>
  </conditionalFormatting>
  <hyperlinks>
    <hyperlink ref="B4" location="'Исходы'!A1" display="◂  Исходы" xr:uid="{00000000-0004-0000-0300-000000000000}"/>
  </hyperlinks>
  <printOptions horizontalCentered="1"/>
  <pageMargins left="0.4" right="0.4" top="0.5" bottom="0.6" header="0.25" footer="0.25"/>
  <pageSetup paperSize="9" scale="73" fitToHeight="0" orientation="landscape" r:id="rId1"/>
  <headerFooter>
    <oddFooter>&amp;L&amp;K3F5876&amp;8&amp;F · &amp;A&amp;R&amp;K3F5876&amp;8Page &amp;P of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20FF37-9EA8-4996-9406-E5A6DF0FDDB2}">
  <dimension ref="A1:B1"/>
  <sheetViews>
    <sheetView workbookViewId="0"/>
  </sheetViews>
  <sheetFormatPr defaultRowHeight="14.25" x14ac:dyDescent="0.45"/>
  <sheetData>
    <row r="1" spans="1:2" x14ac:dyDescent="0.45">
      <c r="A1" s="64" t="s">
        <v>224</v>
      </c>
      <c r="B1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E25B9-2E88-4AA5-8B17-B489B7E7D059}">
  <dimension ref="A1"/>
  <sheetViews>
    <sheetView workbookViewId="0"/>
  </sheetViews>
  <sheetFormatPr defaultRowHeight="14.25" x14ac:dyDescent="0.4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95416B-CCCA-42D4-B80C-6B7BFF782642}">
  <dimension ref="B3:B122"/>
  <sheetViews>
    <sheetView workbookViewId="0"/>
  </sheetViews>
  <sheetFormatPr defaultRowHeight="14.25" x14ac:dyDescent="0.45"/>
  <sheetData>
    <row r="3" spans="2:2" x14ac:dyDescent="0.45">
      <c r="B3">
        <v>1173</v>
      </c>
    </row>
    <row r="4" spans="2:2" x14ac:dyDescent="0.45">
      <c r="B4">
        <v>619</v>
      </c>
    </row>
    <row r="5" spans="2:2" x14ac:dyDescent="0.45">
      <c r="B5">
        <v>151</v>
      </c>
    </row>
    <row r="6" spans="2:2" x14ac:dyDescent="0.45">
      <c r="B6">
        <v>45</v>
      </c>
    </row>
    <row r="7" spans="2:2" x14ac:dyDescent="0.45">
      <c r="B7">
        <v>6</v>
      </c>
    </row>
    <row r="8" spans="2:2" x14ac:dyDescent="0.45">
      <c r="B8">
        <v>3</v>
      </c>
    </row>
    <row r="9" spans="2:2" x14ac:dyDescent="0.45">
      <c r="B9">
        <v>1</v>
      </c>
    </row>
    <row r="10" spans="2:2" x14ac:dyDescent="0.45">
      <c r="B10">
        <v>0</v>
      </c>
    </row>
    <row r="11" spans="2:2" x14ac:dyDescent="0.45">
      <c r="B11">
        <v>0</v>
      </c>
    </row>
    <row r="12" spans="2:2" x14ac:dyDescent="0.45">
      <c r="B12">
        <v>2</v>
      </c>
    </row>
    <row r="13" spans="2:2" x14ac:dyDescent="0.45">
      <c r="B13">
        <v>885</v>
      </c>
    </row>
    <row r="14" spans="2:2" x14ac:dyDescent="0.45">
      <c r="B14">
        <v>733</v>
      </c>
    </row>
    <row r="15" spans="2:2" x14ac:dyDescent="0.45">
      <c r="B15">
        <v>249</v>
      </c>
    </row>
    <row r="16" spans="2:2" x14ac:dyDescent="0.45">
      <c r="B16">
        <v>85</v>
      </c>
    </row>
    <row r="17" spans="2:2" x14ac:dyDescent="0.45">
      <c r="B17">
        <v>28</v>
      </c>
    </row>
    <row r="18" spans="2:2" x14ac:dyDescent="0.45">
      <c r="B18">
        <v>11</v>
      </c>
    </row>
    <row r="19" spans="2:2" x14ac:dyDescent="0.45">
      <c r="B19">
        <v>2</v>
      </c>
    </row>
    <row r="20" spans="2:2" x14ac:dyDescent="0.45">
      <c r="B20">
        <v>4</v>
      </c>
    </row>
    <row r="21" spans="2:2" x14ac:dyDescent="0.45">
      <c r="B21">
        <v>2</v>
      </c>
    </row>
    <row r="22" spans="2:2" x14ac:dyDescent="0.45">
      <c r="B22">
        <v>1</v>
      </c>
    </row>
    <row r="23" spans="2:2" x14ac:dyDescent="0.45">
      <c r="B23">
        <v>115</v>
      </c>
    </row>
    <row r="24" spans="2:2" x14ac:dyDescent="0.45">
      <c r="B24">
        <v>281</v>
      </c>
    </row>
    <row r="25" spans="2:2" x14ac:dyDescent="0.45">
      <c r="B25">
        <v>377</v>
      </c>
    </row>
    <row r="26" spans="2:2" x14ac:dyDescent="0.45">
      <c r="B26">
        <v>367</v>
      </c>
    </row>
    <row r="27" spans="2:2" x14ac:dyDescent="0.45">
      <c r="B27">
        <v>351</v>
      </c>
    </row>
    <row r="28" spans="2:2" x14ac:dyDescent="0.45">
      <c r="B28">
        <v>255</v>
      </c>
    </row>
    <row r="29" spans="2:2" x14ac:dyDescent="0.45">
      <c r="B29">
        <v>133</v>
      </c>
    </row>
    <row r="30" spans="2:2" x14ac:dyDescent="0.45">
      <c r="B30">
        <v>89</v>
      </c>
    </row>
    <row r="31" spans="2:2" x14ac:dyDescent="0.45">
      <c r="B31">
        <v>29</v>
      </c>
    </row>
    <row r="32" spans="2:2" x14ac:dyDescent="0.45">
      <c r="B32">
        <v>3</v>
      </c>
    </row>
    <row r="33" spans="2:2" x14ac:dyDescent="0.45">
      <c r="B33">
        <v>39</v>
      </c>
    </row>
    <row r="34" spans="2:2" x14ac:dyDescent="0.45">
      <c r="B34">
        <v>182</v>
      </c>
    </row>
    <row r="35" spans="2:2" x14ac:dyDescent="0.45">
      <c r="B35">
        <v>306</v>
      </c>
    </row>
    <row r="36" spans="2:2" x14ac:dyDescent="0.45">
      <c r="B36">
        <v>343</v>
      </c>
    </row>
    <row r="37" spans="2:2" x14ac:dyDescent="0.45">
      <c r="B37">
        <v>362</v>
      </c>
    </row>
    <row r="38" spans="2:2" x14ac:dyDescent="0.45">
      <c r="B38">
        <v>295</v>
      </c>
    </row>
    <row r="39" spans="2:2" x14ac:dyDescent="0.45">
      <c r="B39">
        <v>247</v>
      </c>
    </row>
    <row r="40" spans="2:2" x14ac:dyDescent="0.45">
      <c r="B40">
        <v>135</v>
      </c>
    </row>
    <row r="41" spans="2:2" x14ac:dyDescent="0.45">
      <c r="B41">
        <v>74</v>
      </c>
    </row>
    <row r="42" spans="2:2" x14ac:dyDescent="0.45">
      <c r="B42">
        <v>17</v>
      </c>
    </row>
    <row r="43" spans="2:2" x14ac:dyDescent="0.45">
      <c r="B43">
        <v>590</v>
      </c>
    </row>
    <row r="44" spans="2:2" x14ac:dyDescent="0.45">
      <c r="B44">
        <v>0</v>
      </c>
    </row>
    <row r="45" spans="2:2" x14ac:dyDescent="0.45">
      <c r="B45">
        <v>0</v>
      </c>
    </row>
    <row r="46" spans="2:2" x14ac:dyDescent="0.45">
      <c r="B46">
        <v>0</v>
      </c>
    </row>
    <row r="47" spans="2:2" x14ac:dyDescent="0.45">
      <c r="B47">
        <v>0</v>
      </c>
    </row>
    <row r="48" spans="2:2" x14ac:dyDescent="0.45">
      <c r="B48">
        <v>0</v>
      </c>
    </row>
    <row r="49" spans="2:2" x14ac:dyDescent="0.45">
      <c r="B49">
        <v>0</v>
      </c>
    </row>
    <row r="50" spans="2:2" x14ac:dyDescent="0.45">
      <c r="B50">
        <v>0</v>
      </c>
    </row>
    <row r="51" spans="2:2" x14ac:dyDescent="0.45">
      <c r="B51">
        <v>0</v>
      </c>
    </row>
    <row r="52" spans="2:2" x14ac:dyDescent="0.45">
      <c r="B52">
        <v>1410</v>
      </c>
    </row>
    <row r="53" spans="2:2" x14ac:dyDescent="0.45">
      <c r="B53">
        <v>836</v>
      </c>
    </row>
    <row r="54" spans="2:2" x14ac:dyDescent="0.45">
      <c r="B54">
        <v>0</v>
      </c>
    </row>
    <row r="55" spans="2:2" x14ac:dyDescent="0.45">
      <c r="B55">
        <v>0</v>
      </c>
    </row>
    <row r="56" spans="2:2" x14ac:dyDescent="0.45">
      <c r="B56">
        <v>0</v>
      </c>
    </row>
    <row r="57" spans="2:2" x14ac:dyDescent="0.45">
      <c r="B57">
        <v>0</v>
      </c>
    </row>
    <row r="58" spans="2:2" x14ac:dyDescent="0.45">
      <c r="B58">
        <v>0</v>
      </c>
    </row>
    <row r="59" spans="2:2" x14ac:dyDescent="0.45">
      <c r="B59">
        <v>0</v>
      </c>
    </row>
    <row r="60" spans="2:2" x14ac:dyDescent="0.45">
      <c r="B60">
        <v>0</v>
      </c>
    </row>
    <row r="61" spans="2:2" x14ac:dyDescent="0.45">
      <c r="B61">
        <v>0</v>
      </c>
    </row>
    <row r="62" spans="2:2" x14ac:dyDescent="0.45">
      <c r="B62">
        <v>1164</v>
      </c>
    </row>
    <row r="63" spans="2:2" x14ac:dyDescent="0.45">
      <c r="B63">
        <v>1196</v>
      </c>
    </row>
    <row r="64" spans="2:2" x14ac:dyDescent="0.45">
      <c r="B64">
        <v>0</v>
      </c>
    </row>
    <row r="65" spans="2:2" x14ac:dyDescent="0.45">
      <c r="B65">
        <v>0</v>
      </c>
    </row>
    <row r="66" spans="2:2" x14ac:dyDescent="0.45">
      <c r="B66">
        <v>0</v>
      </c>
    </row>
    <row r="67" spans="2:2" x14ac:dyDescent="0.45">
      <c r="B67">
        <v>0</v>
      </c>
    </row>
    <row r="68" spans="2:2" x14ac:dyDescent="0.45">
      <c r="B68">
        <v>0</v>
      </c>
    </row>
    <row r="69" spans="2:2" x14ac:dyDescent="0.45">
      <c r="B69">
        <v>0</v>
      </c>
    </row>
    <row r="70" spans="2:2" x14ac:dyDescent="0.45">
      <c r="B70">
        <v>0</v>
      </c>
    </row>
    <row r="71" spans="2:2" x14ac:dyDescent="0.45">
      <c r="B71">
        <v>0</v>
      </c>
    </row>
    <row r="72" spans="2:2" x14ac:dyDescent="0.45">
      <c r="B72">
        <v>804</v>
      </c>
    </row>
    <row r="73" spans="2:2" x14ac:dyDescent="0.45">
      <c r="B73">
        <v>956</v>
      </c>
    </row>
    <row r="74" spans="2:2" x14ac:dyDescent="0.45">
      <c r="B74">
        <v>0</v>
      </c>
    </row>
    <row r="75" spans="2:2" x14ac:dyDescent="0.45">
      <c r="B75">
        <v>0</v>
      </c>
    </row>
    <row r="76" spans="2:2" x14ac:dyDescent="0.45">
      <c r="B76">
        <v>0</v>
      </c>
    </row>
    <row r="77" spans="2:2" x14ac:dyDescent="0.45">
      <c r="B77">
        <v>0</v>
      </c>
    </row>
    <row r="78" spans="2:2" x14ac:dyDescent="0.45">
      <c r="B78">
        <v>0</v>
      </c>
    </row>
    <row r="79" spans="2:2" x14ac:dyDescent="0.45">
      <c r="B79">
        <v>0</v>
      </c>
    </row>
    <row r="80" spans="2:2" x14ac:dyDescent="0.45">
      <c r="B80">
        <v>0</v>
      </c>
    </row>
    <row r="81" spans="2:2" x14ac:dyDescent="0.45">
      <c r="B81">
        <v>0</v>
      </c>
    </row>
    <row r="82" spans="2:2" x14ac:dyDescent="0.45">
      <c r="B82">
        <v>1044</v>
      </c>
    </row>
    <row r="83" spans="2:2" x14ac:dyDescent="0.45">
      <c r="B83">
        <v>1684</v>
      </c>
    </row>
    <row r="84" spans="2:2" x14ac:dyDescent="0.45">
      <c r="B84">
        <v>0</v>
      </c>
    </row>
    <row r="85" spans="2:2" x14ac:dyDescent="0.45">
      <c r="B85">
        <v>0</v>
      </c>
    </row>
    <row r="86" spans="2:2" x14ac:dyDescent="0.45">
      <c r="B86">
        <v>0</v>
      </c>
    </row>
    <row r="87" spans="2:2" x14ac:dyDescent="0.45">
      <c r="B87">
        <v>0</v>
      </c>
    </row>
    <row r="88" spans="2:2" x14ac:dyDescent="0.45">
      <c r="B88">
        <v>0</v>
      </c>
    </row>
    <row r="89" spans="2:2" x14ac:dyDescent="0.45">
      <c r="B89">
        <v>0</v>
      </c>
    </row>
    <row r="90" spans="2:2" x14ac:dyDescent="0.45">
      <c r="B90">
        <v>0</v>
      </c>
    </row>
    <row r="91" spans="2:2" x14ac:dyDescent="0.45">
      <c r="B91">
        <v>0</v>
      </c>
    </row>
    <row r="92" spans="2:2" x14ac:dyDescent="0.45">
      <c r="B92">
        <v>316</v>
      </c>
    </row>
    <row r="93" spans="2:2" x14ac:dyDescent="0.45">
      <c r="B93">
        <v>956</v>
      </c>
    </row>
    <row r="94" spans="2:2" x14ac:dyDescent="0.45">
      <c r="B94">
        <v>0</v>
      </c>
    </row>
    <row r="95" spans="2:2" x14ac:dyDescent="0.45">
      <c r="B95">
        <v>0</v>
      </c>
    </row>
    <row r="96" spans="2:2" x14ac:dyDescent="0.45">
      <c r="B96">
        <v>489</v>
      </c>
    </row>
    <row r="97" spans="2:2" x14ac:dyDescent="0.45">
      <c r="B97">
        <v>0</v>
      </c>
    </row>
    <row r="98" spans="2:2" x14ac:dyDescent="0.45">
      <c r="B98">
        <v>0</v>
      </c>
    </row>
    <row r="99" spans="2:2" x14ac:dyDescent="0.45">
      <c r="B99">
        <v>239</v>
      </c>
    </row>
    <row r="100" spans="2:2" x14ac:dyDescent="0.45">
      <c r="B100">
        <v>0</v>
      </c>
    </row>
    <row r="101" spans="2:2" x14ac:dyDescent="0.45">
      <c r="B101">
        <v>0</v>
      </c>
    </row>
    <row r="102" spans="2:2" x14ac:dyDescent="0.45">
      <c r="B102">
        <v>316</v>
      </c>
    </row>
    <row r="103" spans="2:2" x14ac:dyDescent="0.45">
      <c r="B103">
        <v>1294</v>
      </c>
    </row>
    <row r="104" spans="2:2" x14ac:dyDescent="0.45">
      <c r="B104">
        <v>357</v>
      </c>
    </row>
    <row r="105" spans="2:2" x14ac:dyDescent="0.45">
      <c r="B105">
        <v>187</v>
      </c>
    </row>
    <row r="106" spans="2:2" x14ac:dyDescent="0.45">
      <c r="B106">
        <v>96</v>
      </c>
    </row>
    <row r="107" spans="2:2" x14ac:dyDescent="0.45">
      <c r="B107">
        <v>37</v>
      </c>
    </row>
    <row r="108" spans="2:2" x14ac:dyDescent="0.45">
      <c r="B108">
        <v>15</v>
      </c>
    </row>
    <row r="109" spans="2:2" x14ac:dyDescent="0.45">
      <c r="B109">
        <v>5</v>
      </c>
    </row>
    <row r="110" spans="2:2" x14ac:dyDescent="0.45">
      <c r="B110">
        <v>1</v>
      </c>
    </row>
    <row r="111" spans="2:2" x14ac:dyDescent="0.45">
      <c r="B111">
        <v>4</v>
      </c>
    </row>
    <row r="112" spans="2:2" x14ac:dyDescent="0.45">
      <c r="B112">
        <v>4</v>
      </c>
    </row>
    <row r="113" spans="2:2" x14ac:dyDescent="0.45">
      <c r="B113">
        <v>1381</v>
      </c>
    </row>
    <row r="114" spans="2:2" x14ac:dyDescent="0.45">
      <c r="B114">
        <v>373</v>
      </c>
    </row>
    <row r="115" spans="2:2" x14ac:dyDescent="0.45">
      <c r="B115">
        <v>151</v>
      </c>
    </row>
    <row r="116" spans="2:2" x14ac:dyDescent="0.45">
      <c r="B116">
        <v>61</v>
      </c>
    </row>
    <row r="117" spans="2:2" x14ac:dyDescent="0.45">
      <c r="B117">
        <v>20</v>
      </c>
    </row>
    <row r="118" spans="2:2" x14ac:dyDescent="0.45">
      <c r="B118">
        <v>6</v>
      </c>
    </row>
    <row r="119" spans="2:2" x14ac:dyDescent="0.45">
      <c r="B119">
        <v>4</v>
      </c>
    </row>
    <row r="120" spans="2:2" x14ac:dyDescent="0.45">
      <c r="B120">
        <v>2</v>
      </c>
    </row>
    <row r="121" spans="2:2" x14ac:dyDescent="0.45">
      <c r="B121">
        <v>1</v>
      </c>
    </row>
    <row r="122" spans="2:2" x14ac:dyDescent="0.45">
      <c r="B122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r:ModelRisk xmlns:mr="ModelRisk">
  <mr:Charts xmlns:mr="ModelRisk" enc="base64" len="1300">PABGAEkATABUAEUAUgBTAD4ADQAKADwALwBDAE4AVAA6ADAADQAKAEYASQBMAFQARQBSAFMAPgANAAoAPABQAEEARwBFAFMAPgANAAoAQwBOAFQAOgAyAA0ACgBDAFUAUgBQAEEARwBFADoAMAANAAoATgA6ADEADQAKAFQAWQBQAEUAOgAyAA0ACgBOAE0AOgBIAGkAcwB0AG8AZwByAGEAbQANAAoAUwBJAE0ASQBEADoAMAANAAoAUwBFAEwAUwA6ADAADQAKAEMAVQBSAFMARQBMADoAMAANAAoAPABPAFAAVABJAE8ATgBTAD4ADQAKAEMATgBUADoAOAANAAoATgBNADoAQwBoAGEAcgB0AF8AVABpAHQAbABlAA0ACgBUAFAAOgAyAA0ACgBWAEEATAA6AA0ACgBOAE0AOgBzAGwAaQBkAGUAcgBzAA0ACgBUAFAAOgAwAA0ACgBWAEEATAA6ADEADQAKAE4ATQA6AHMAbABpAGQAZQByAHMAXwBjAHUAbQB1AGwADQAKAFQAUAA6ADAADQAKAFYAQQBMADoAMAANAAoATgBNADoAbABlAGcAZQBuAGQADQAKAFQAUAA6ADAADQAKAFYAQQBMADoAMAANAAoATgBNADoATgBCAGEAcgBzAA0ACgBUAFAAOgAwAA0ACgBWAEEATAA6AC0AMQANAAoATgBNADoATABpAG4AZQBzAA0ACgBUAFAAOgAwAA0ACgBWAEEATAA6ADAADQAKAE4ATQA6AFkATABhAGIAZQBsAA0ACgBUAFAAOgAyAA0ACgBWAEEATAA6AA0ACgBOAE0AOgBPAHYAZQByAGwAYQB5AFYAYQByAHMADQAKAFQAUAA6ADAADQAKAFYAQQBMADoAMwANAAoAPAAvAE8AUABUAEkATwBOAFMAPgANAAoATgA6ADIADQAKAFQAWQBQAEUAOgAyAA0ACgBOAE0AOgBIAGkAcwB0AG8AZwByAGEAbQAyAA0ACgBTAEkATQBJAEQAOgAwAA0ACgBTAEUATABTADoAMAANAAoAQwBVAFIAUwBFAEwAOgAwAA0ACgA8AE8AUABUAEkATwBOAFMAPgANAAoAQwBOAFQAOgA4AA0ACgBOAE0AOgBDAGgAYQByAHQAXwBUAGkAdABsAGUADQAKAFQAUAA6ADIADQAKAFYAQQBMADoADQAKAE4ATQA6AHMAbABpAGQAZQByAHMADQAKAFQAUAA6ADAADQAKAFYAQQBMADoAMQANAAoATgBNADoAcwBsAGkAZABlAHIAcwBfAGMAdQBtAHUAbAANAAoAVABQADoAMAANAAoAVgBBAEwAOgAwAA0ACgBOAE0AOgBsAGUAZwBlAG4AZAANAAoAVABQADoAMAANAAoAVgBBAEwAOgAwAA0ACgBOAE0AOgBOAEIAYQByAHMADQAKAFQAUAA6ADAADQAKAFYAQQBMADoALQAxAA0ACgBOAE0AOgBMAGkAbgBlAHMADQAKAFQAUAA6ADAADQAKAFYAQQBMADoAMAANAAoATgBNADoAWQBMAGEAYgBlAGwADQAKAFQAUAA6ADIADQAKAFYAQQBMADoADQAKAE4ATQA6AE8AdgBlAHIAbABhAHkAVgBhAHIAcwANAAoAVABQADoAMAANAAoAVgBBAEwAOgAzAA0ACgA8AC8ATwBQAFQASQBPAE4AUwA+AA0ACgA8AC8AUABBAEcARQBTAD4ADQAKAA==</mr:Charts>
</mr:ModelRisk>
</file>

<file path=customXml/itemProps1.xml><?xml version="1.0" encoding="utf-8"?>
<ds:datastoreItem xmlns:ds="http://schemas.openxmlformats.org/officeDocument/2006/customXml" ds:itemID="{E1C51090-8C73-4DC4-879C-A17AC6F336E4}">
  <ds:schemaRefs>
    <ds:schemaRef ds:uri="ModelRisk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51</vt:i4>
      </vt:variant>
    </vt:vector>
  </HeadingPairs>
  <TitlesOfParts>
    <vt:vector size="58" baseType="lpstr">
      <vt:lpstr>Описание</vt:lpstr>
      <vt:lpstr>Исходные данные</vt:lpstr>
      <vt:lpstr>Исходы</vt:lpstr>
      <vt:lpstr>Результаты</vt:lpstr>
      <vt:lpstr>ModelRiskDSN</vt:lpstr>
      <vt:lpstr>ModelRiskSYS1</vt:lpstr>
      <vt:lpstr>ModelRiskCharts</vt:lpstr>
      <vt:lpstr>AnySuccess</vt:lpstr>
      <vt:lpstr>BothSuccess</vt:lpstr>
      <vt:lpstr>BreakEven</vt:lpstr>
      <vt:lpstr>Chance_Charge</vt:lpstr>
      <vt:lpstr>Chance_L_Res</vt:lpstr>
      <vt:lpstr>Chance_L_Trap</vt:lpstr>
      <vt:lpstr>Chance_U_Res</vt:lpstr>
      <vt:lpstr>Chance_U_Trap</vt:lpstr>
      <vt:lpstr>Charge</vt:lpstr>
      <vt:lpstr>Cost_Well</vt:lpstr>
      <vt:lpstr>Cost_Well_Hi</vt:lpstr>
      <vt:lpstr>Cost_Well_Lo</vt:lpstr>
      <vt:lpstr>Cost_Well_Mean</vt:lpstr>
      <vt:lpstr>Cost_Well_ML</vt:lpstr>
      <vt:lpstr>InputMeans</vt:lpstr>
      <vt:lpstr>L_Local</vt:lpstr>
      <vt:lpstr>L_Success</vt:lpstr>
      <vt:lpstr>Outcome</vt:lpstr>
      <vt:lpstr>P_Any</vt:lpstr>
      <vt:lpstr>P_Any_Indep</vt:lpstr>
      <vt:lpstr>P_Both</vt:lpstr>
      <vt:lpstr>P_Both_Indep</vt:lpstr>
      <vt:lpstr>P_L</vt:lpstr>
      <vt:lpstr>P_L_Indep</vt:lpstr>
      <vt:lpstr>P_L_Own</vt:lpstr>
      <vt:lpstr>P_L_Own_Indep</vt:lpstr>
      <vt:lpstr>P_U</vt:lpstr>
      <vt:lpstr>P_U_Indep</vt:lpstr>
      <vt:lpstr>P_U_Own</vt:lpstr>
      <vt:lpstr>P_U_Own_Indep</vt:lpstr>
      <vt:lpstr>Results!Print_Area</vt:lpstr>
      <vt:lpstr>Inputs!Print_Titles</vt:lpstr>
      <vt:lpstr>Outcomes!Print_Titles</vt:lpstr>
      <vt:lpstr>Results!Print_Titles</vt:lpstr>
      <vt:lpstr>U_Local</vt:lpstr>
      <vt:lpstr>U_Success</vt:lpstr>
      <vt:lpstr>Value</vt:lpstr>
      <vt:lpstr>ValuePerBbl</vt:lpstr>
      <vt:lpstr>ValuePerBbl_Hi</vt:lpstr>
      <vt:lpstr>ValuePerBbl_Lo</vt:lpstr>
      <vt:lpstr>ValuePerBbl_Mean</vt:lpstr>
      <vt:lpstr>ValuePerBbl_ML</vt:lpstr>
      <vt:lpstr>Vol_L</vt:lpstr>
      <vt:lpstr>Vol_L_Hi</vt:lpstr>
      <vt:lpstr>Vol_L_Lo</vt:lpstr>
      <vt:lpstr>Vol_L_Mean</vt:lpstr>
      <vt:lpstr>Vol_U</vt:lpstr>
      <vt:lpstr>Vol_U_Hi</vt:lpstr>
      <vt:lpstr>Vol_U_Lo</vt:lpstr>
      <vt:lpstr>Vol_U_Mean</vt:lpstr>
      <vt:lpstr>Volume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OG-02 Вероятность успеха при общем риске</dc:title>
  <dc:subject>Отраслевые примеры моделей МоделРиск — Нефть и газ</dc:subject>
  <dc:creator>ООО «Стратегия Риска»</dc:creator>
  <cp:keywords>МоделРиск; Монте-Карло; нефть и газ</cp:keywords>
  <dc:description>Две залегающие друг над другом цели с общей нефтематеринской породой: почему, считая общие риски независимыми, мы завышаем вероятность хотя бы одного открытия.</dc:description>
  <cp:lastModifiedBy>ООО «Стратегия Риска»</cp:lastModifiedBy>
  <cp:lastPrinted>2026-10-05T16:35:57Z</cp:lastPrinted>
  <dcterms:created xsi:type="dcterms:W3CDTF">2026-10-05T16:32:06Z</dcterms:created>
  <dcterms:modified xsi:type="dcterms:W3CDTF">2026-10-05T16:35:58Z</dcterms:modified>
</cp:coreProperties>
</file>