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38D3EB3D-05F4-4ACF-9413-75D72FAC294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Мощность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est_0">'Мощность'!$D$188</definedName>
    <definedName name="Best_1">'Мощность'!$D$189</definedName>
    <definedName name="Best_2">'Мощность'!$D$190</definedName>
    <definedName name="Best_3">'Мощность'!$D$191</definedName>
    <definedName name="CalYear">'Мощность'!$F$27:$BM$27</definedName>
    <definedName name="Capex">'Исходные данные'!$D$53</definedName>
    <definedName name="Checks">'Мощность'!$D$200:$D$203</definedName>
    <definedName name="Cost_0">'Мощность'!$D$180</definedName>
    <definedName name="Cost_1">'Мощность'!$D$181</definedName>
    <definedName name="Cost_2">'Мощность'!$D$182</definedName>
    <definedName name="Cost_3">'Мощность'!$D$183</definedName>
    <definedName name="CostFix_0">'Мощность'!$D$51</definedName>
    <definedName name="CostFix_1">'Мощность'!$D$69</definedName>
    <definedName name="CostFix_2">'Мощность'!$D$87</definedName>
    <definedName name="CostFix_3">'Мощность'!$D$105</definedName>
    <definedName name="CostLost_0">'Мощность'!$D$54</definedName>
    <definedName name="CostLost_1">'Мощность'!$D$72</definedName>
    <definedName name="CostLost_2">'Мощность'!$D$90</definedName>
    <definedName name="CostLost_3">'Мощность'!$D$108</definedName>
    <definedName name="CostNew_0">'Мощность'!$D$50</definedName>
    <definedName name="CostNew_1">'Мощность'!$D$68</definedName>
    <definedName name="CostNew_2">'Мощность'!$D$86</definedName>
    <definedName name="CostNew_3">'Мощность'!$D$104</definedName>
    <definedName name="CostOT_0">'Мощность'!$D$52</definedName>
    <definedName name="CostOT_1">'Мощность'!$D$70</definedName>
    <definedName name="CostOT_2">'Мощность'!$D$88</definedName>
    <definedName name="CostOT_3">'Мощность'!$D$106</definedName>
    <definedName name="CostSub_0">'Мощность'!$D$53</definedName>
    <definedName name="CostSub_1">'Мощность'!$D$71</definedName>
    <definedName name="CostSub_2">'Мощность'!$D$89</definedName>
    <definedName name="CostSub_3">'Мощность'!$D$107</definedName>
    <definedName name="Demand">'Мощность'!$F$21:$BM$21</definedName>
    <definedName name="Demand0">'Исходные данные'!$D$11</definedName>
    <definedName name="DemandDec">'Мощность'!$D$14</definedName>
    <definedName name="Disc">'Исходные данные'!$D$60</definedName>
    <definedName name="Fill_0">'Мощность'!$D$184</definedName>
    <definedName name="Fill_1">'Мощность'!$D$185</definedName>
    <definedName name="Fill_2">'Мощность'!$D$186</definedName>
    <definedName name="Fill_3">'Мощность'!$D$187</definedName>
    <definedName name="Growth">'Исходные данные'!$D$12</definedName>
    <definedName name="Growth_Hi">'Исходные данные'!$H$12</definedName>
    <definedName name="Growth_Lo">'Исходные данные'!$F$12</definedName>
    <definedName name="Growth_Mean">'Исходные данные'!$I$12</definedName>
    <definedName name="Growth_ML">'Исходные данные'!$G$12</definedName>
    <definedName name="InputMeans">'Исходные данные'!$I$12:$I$55</definedName>
    <definedName name="Lead">'Исходные данные'!$D$55</definedName>
    <definedName name="Lead_Hi">'Исходные данные'!$H$55</definedName>
    <definedName name="Lead_Lo">'Исходные данные'!$F$55</definedName>
    <definedName name="Lead_Mean">'Исходные данные'!$I$55</definedName>
    <definedName name="Lead_ML">'Исходные данные'!$G$55</definedName>
    <definedName name="LeadM">'Мощность'!$D$15</definedName>
    <definedName name="LeadPlan">'Мощность'!$D$16</definedName>
    <definedName name="Lost_0">'Мощность'!$F$49:$BM$49</definedName>
    <definedName name="Lost_1">'Мощность'!$F$67:$BM$67</definedName>
    <definedName name="Lost_2">'Мощность'!$F$85:$BM$85</definedName>
    <definedName name="Lost_3">'Мощность'!$F$103:$BM$103</definedName>
    <definedName name="LostCost">'Исходные данные'!$D$48</definedName>
    <definedName name="Months">'Мощность'!$D$12</definedName>
    <definedName name="Mu">'Мощность'!$D$13</definedName>
    <definedName name="NetCapex">'Мощность'!$D$17</definedName>
    <definedName name="New_0">'Мощность'!$D$41</definedName>
    <definedName name="New_1">'Мощность'!$D$59</definedName>
    <definedName name="New_2">'Мощность'!$D$77</definedName>
    <definedName name="New_3">'Мощность'!$D$95</definedName>
    <definedName name="OEE_Dn">'Исходные данные'!$D$38</definedName>
    <definedName name="OEE_Up">'Исходные данные'!$D$39</definedName>
    <definedName name="OTCost">'Исходные данные'!$D$45</definedName>
    <definedName name="OTMax">'Исходные данные'!$D$44</definedName>
    <definedName name="Plan_0">'Мощность'!$D$193</definedName>
    <definedName name="Plan_1">'Мощность'!$D$194</definedName>
    <definedName name="Plan_2">'Мощность'!$D$195</definedName>
    <definedName name="Plan_3">'Мощность'!$D$196</definedName>
    <definedName name="PlanDemand">'Мощность'!$F$24:$BM$24</definedName>
    <definedName name="PlantOEE">'Исходные данные'!$D$37</definedName>
    <definedName name="PlantOEE_Hi">'Исходные данные'!$H$37</definedName>
    <definedName name="PlantOEE_Lo">'Исходные данные'!$F$37</definedName>
    <definedName name="PlantOEE_Mean">'Исходные данные'!$I$37</definedName>
    <definedName name="PlantOEE_ML">'Исходные данные'!$G$37</definedName>
    <definedName name="PlanTotal_0">'Мощность'!$D$127</definedName>
    <definedName name="PlanTotal_1">'Мощность'!$D$143</definedName>
    <definedName name="PlanTotal_2">'Мощность'!$D$159</definedName>
    <definedName name="PlanTotal_3">'Мощность'!$D$175</definedName>
    <definedName name="Presses">'Исходные данные'!$D$35</definedName>
    <definedName name="PressFixed">'Исходные данные'!$D$54</definedName>
    <definedName name="PressRate">'Исходные данные'!$D$36</definedName>
    <definedName name="_xlnm.Print_Area" localSheetId="3">'Результаты'!$A$1:$R$63</definedName>
    <definedName name="_xlnm.Print_Titles" localSheetId="2">'Мощность'!$6:$7,'Мощность'!$A:$D</definedName>
    <definedName name="_xlnm.Print_Titles" localSheetId="1">'Исходные данные'!$1:$4</definedName>
    <definedName name="_xlnm.Print_Titles" localSheetId="3">'Результаты'!$1:$4</definedName>
    <definedName name="Resid">'Исходные данные'!$D$56</definedName>
    <definedName name="Save_1">'Мощность'!$D$192</definedName>
    <definedName name="Seasonality">'Исходные данные'!$D$18:$D$29</definedName>
    <definedName name="SeasonAvg">'Исходные данные'!$D$30</definedName>
    <definedName name="SF_01">'Исходные данные'!$D$18</definedName>
    <definedName name="SF_02">'Исходные данные'!$D$19</definedName>
    <definedName name="SF_03">'Исходные данные'!$D$20</definedName>
    <definedName name="SF_04">'Исходные данные'!$D$21</definedName>
    <definedName name="SF_05">'Исходные данные'!$D$22</definedName>
    <definedName name="SF_06">'Исходные данные'!$D$23</definedName>
    <definedName name="SF_07">'Исходные данные'!$D$24</definedName>
    <definedName name="SF_08">'Исходные данные'!$D$25</definedName>
    <definedName name="SF_09">'Исходные данные'!$D$26</definedName>
    <definedName name="SF_10">'Исходные данные'!$D$27</definedName>
    <definedName name="SF_11">'Исходные данные'!$D$28</definedName>
    <definedName name="SF_12">'Исходные данные'!$D$29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tartMonth">'Мощность'!$D$11</definedName>
    <definedName name="SubCost">'Исходные данные'!$D$47</definedName>
    <definedName name="SubMax">'Исходные данные'!$D$46</definedName>
    <definedName name="Total_0">'Мощность'!$D$55</definedName>
    <definedName name="Total_1">'Мощность'!$D$73</definedName>
    <definedName name="Total_2">'Мощность'!$D$91</definedName>
    <definedName name="Total_3">'Мощность'!$D$109</definedName>
    <definedName name="Vol">'Исходные данные'!$D$13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6" i="4" l="1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D202" i="3"/>
  <c r="D201" i="3"/>
  <c r="F26" i="3"/>
  <c r="D16" i="3"/>
  <c r="F162" i="3" s="1"/>
  <c r="F163" i="3" s="1"/>
  <c r="F164" i="3" s="1"/>
  <c r="D14" i="3"/>
  <c r="D11" i="3"/>
  <c r="BM7" i="3" s="1"/>
  <c r="B186" i="4" s="1"/>
  <c r="BI7" i="3"/>
  <c r="B182" i="4" s="1"/>
  <c r="F7" i="3"/>
  <c r="F23" i="3" s="1" a="1"/>
  <c r="F23" i="3" s="1"/>
  <c r="F24" i="3" s="1"/>
  <c r="G6" i="3"/>
  <c r="D30" i="2"/>
  <c r="H7" i="3"/>
  <c r="H23" i="3" s="1" a="1"/>
  <c r="H23" i="3" s="1"/>
  <c r="H24" i="3" s="1"/>
  <c r="Y7" i="3"/>
  <c r="Y23" i="3" s="1" a="1"/>
  <c r="Y23" i="3" s="1"/>
  <c r="AS7" i="3"/>
  <c r="AI7" i="3"/>
  <c r="AI23" i="3" s="1" a="1"/>
  <c r="AI23" i="3" s="1"/>
  <c r="BE7" i="3"/>
  <c r="T7" i="3"/>
  <c r="T23" i="3" s="1" a="1"/>
  <c r="T23" i="3" s="1"/>
  <c r="I7" i="3"/>
  <c r="I27" i="3" s="1"/>
  <c r="AV7" i="3"/>
  <c r="B169" i="4" s="1"/>
  <c r="K7" i="3"/>
  <c r="K23" i="3" s="1" a="1"/>
  <c r="K23" i="3" s="1"/>
  <c r="BB7" i="3"/>
  <c r="B175" i="4" s="1"/>
  <c r="Z7" i="3"/>
  <c r="Z27" i="3" s="1"/>
  <c r="AK7" i="3"/>
  <c r="AK27" i="3" s="1"/>
  <c r="AY7" i="3"/>
  <c r="AY23" i="3" s="1" a="1"/>
  <c r="AY23" i="3" s="1"/>
  <c r="BE27" i="3"/>
  <c r="P7" i="3"/>
  <c r="P27" i="3" s="1"/>
  <c r="AL7" i="3"/>
  <c r="AL23" i="3" s="1" a="1"/>
  <c r="AL23" i="3" s="1"/>
  <c r="AZ7" i="3"/>
  <c r="Q7" i="3"/>
  <c r="Q23" i="3" s="1" a="1"/>
  <c r="Q23" i="3" s="1"/>
  <c r="AB7" i="3"/>
  <c r="AB23" i="3" s="1" a="1"/>
  <c r="AB23" i="3" s="1"/>
  <c r="AP7" i="3"/>
  <c r="B163" i="4"/>
  <c r="AI27" i="3"/>
  <c r="G162" i="3"/>
  <c r="G163" i="3" s="1"/>
  <c r="G164" i="3" s="1"/>
  <c r="G114" i="3"/>
  <c r="G115" i="3" s="1"/>
  <c r="G116" i="3" s="1"/>
  <c r="G130" i="3"/>
  <c r="G131" i="3" s="1"/>
  <c r="G132" i="3" s="1"/>
  <c r="G133" i="3" s="1"/>
  <c r="G26" i="3"/>
  <c r="T27" i="3"/>
  <c r="F31" i="3"/>
  <c r="BK7" i="3"/>
  <c r="BK23" i="3" s="1" a="1"/>
  <c r="BK23" i="3" s="1"/>
  <c r="BC7" i="3"/>
  <c r="BC23" i="3" a="1"/>
  <c r="BC23" i="3" s="1"/>
  <c r="AU7" i="3"/>
  <c r="AU23" i="3" a="1"/>
  <c r="AU23" i="3" s="1"/>
  <c r="W7" i="3"/>
  <c r="B144" i="4" s="1"/>
  <c r="W23" i="3" a="1"/>
  <c r="W23" i="3" s="1"/>
  <c r="O7" i="3"/>
  <c r="O23" i="3" s="1" a="1"/>
  <c r="O23" i="3" s="1"/>
  <c r="G7" i="3"/>
  <c r="G23" i="3" s="1" a="1"/>
  <c r="G23" i="3" s="1"/>
  <c r="H6" i="3"/>
  <c r="U7" i="3"/>
  <c r="AD7" i="3"/>
  <c r="AD27" i="3" s="1"/>
  <c r="AD23" i="3" a="1"/>
  <c r="AD23" i="3" s="1"/>
  <c r="AN7" i="3"/>
  <c r="AN23" i="3" a="1"/>
  <c r="AN23" i="3" s="1"/>
  <c r="BB27" i="3"/>
  <c r="M7" i="3"/>
  <c r="M23" i="3" s="1" a="1"/>
  <c r="M23" i="3" s="1"/>
  <c r="V7" i="3"/>
  <c r="V23" i="3" s="1" a="1"/>
  <c r="V23" i="3" s="1"/>
  <c r="AO7" i="3"/>
  <c r="AO23" i="3" a="1"/>
  <c r="AO23" i="3" s="1"/>
  <c r="AX7" i="3"/>
  <c r="AX23" i="3" s="1" a="1"/>
  <c r="AX23" i="3" s="1"/>
  <c r="BG7" i="3"/>
  <c r="BG23" i="3" s="1" a="1"/>
  <c r="BG23" i="3" s="1"/>
  <c r="AS27" i="3"/>
  <c r="H186" i="4"/>
  <c r="H178" i="4"/>
  <c r="H170" i="4"/>
  <c r="H162" i="4"/>
  <c r="H154" i="4"/>
  <c r="H146" i="4"/>
  <c r="H138" i="4"/>
  <c r="H130" i="4"/>
  <c r="H179" i="4"/>
  <c r="H171" i="4"/>
  <c r="H163" i="4"/>
  <c r="H155" i="4"/>
  <c r="H180" i="4"/>
  <c r="H172" i="4"/>
  <c r="H164" i="4"/>
  <c r="H156" i="4"/>
  <c r="H148" i="4"/>
  <c r="H181" i="4"/>
  <c r="H173" i="4"/>
  <c r="H165" i="4"/>
  <c r="H157" i="4"/>
  <c r="H149" i="4"/>
  <c r="H141" i="4"/>
  <c r="H133" i="4"/>
  <c r="H182" i="4"/>
  <c r="H174" i="4"/>
  <c r="H166" i="4"/>
  <c r="H158" i="4"/>
  <c r="H150" i="4"/>
  <c r="H183" i="4"/>
  <c r="H175" i="4"/>
  <c r="H167" i="4"/>
  <c r="H159" i="4"/>
  <c r="H151" i="4"/>
  <c r="H184" i="4"/>
  <c r="H185" i="4"/>
  <c r="H145" i="4"/>
  <c r="H139" i="4"/>
  <c r="H168" i="4"/>
  <c r="H152" i="4"/>
  <c r="H136" i="4"/>
  <c r="H177" i="4"/>
  <c r="H161" i="4"/>
  <c r="H137" i="4"/>
  <c r="H134" i="4"/>
  <c r="H131" i="4"/>
  <c r="H135" i="4"/>
  <c r="H147" i="4"/>
  <c r="H142" i="4"/>
  <c r="H127" i="4"/>
  <c r="H176" i="4"/>
  <c r="H144" i="4"/>
  <c r="H132" i="4"/>
  <c r="H160" i="4"/>
  <c r="H129" i="4"/>
  <c r="H140" i="4"/>
  <c r="H169" i="4"/>
  <c r="H143" i="4"/>
  <c r="H153" i="4"/>
  <c r="F146" i="3"/>
  <c r="F114" i="3"/>
  <c r="H128" i="4"/>
  <c r="F130" i="3"/>
  <c r="F131" i="3" s="1"/>
  <c r="F132" i="3" s="1"/>
  <c r="F133" i="3" s="1"/>
  <c r="F134" i="3" s="1"/>
  <c r="Y27" i="3"/>
  <c r="B172" i="4"/>
  <c r="B146" i="4"/>
  <c r="B138" i="4"/>
  <c r="K27" i="3"/>
  <c r="B132" i="4"/>
  <c r="B156" i="4"/>
  <c r="AY27" i="3"/>
  <c r="B129" i="4"/>
  <c r="BB23" i="3" a="1"/>
  <c r="BB23" i="3" s="1"/>
  <c r="B130" i="4"/>
  <c r="I23" i="3" a="1"/>
  <c r="I23" i="3" s="1"/>
  <c r="B149" i="4"/>
  <c r="P23" i="3" a="1"/>
  <c r="P23" i="3"/>
  <c r="AV23" i="3" a="1"/>
  <c r="AV23" i="3" s="1"/>
  <c r="AV27" i="3"/>
  <c r="B166" i="4"/>
  <c r="AS23" i="3" a="1"/>
  <c r="AS23" i="3"/>
  <c r="Q27" i="3"/>
  <c r="B178" i="4"/>
  <c r="BE23" i="3" a="1"/>
  <c r="BE23" i="3"/>
  <c r="B173" i="4"/>
  <c r="AZ23" i="3" a="1"/>
  <c r="AZ23" i="3" s="1"/>
  <c r="Z23" i="3" a="1"/>
  <c r="Z23" i="3"/>
  <c r="B158" i="4"/>
  <c r="B159" i="4"/>
  <c r="AL27" i="3"/>
  <c r="AB27" i="3"/>
  <c r="AZ27" i="3"/>
  <c r="B147" i="4"/>
  <c r="M27" i="3"/>
  <c r="B161" i="4"/>
  <c r="AN27" i="3"/>
  <c r="B151" i="4"/>
  <c r="B142" i="4"/>
  <c r="B168" i="4"/>
  <c r="AU27" i="3"/>
  <c r="V27" i="3"/>
  <c r="F115" i="3"/>
  <c r="F116" i="3" s="1"/>
  <c r="F147" i="3"/>
  <c r="F148" i="3" s="1"/>
  <c r="B171" i="4"/>
  <c r="AX27" i="3"/>
  <c r="H114" i="3"/>
  <c r="H115" i="3"/>
  <c r="H116" i="3" s="1"/>
  <c r="H162" i="3"/>
  <c r="H163" i="3"/>
  <c r="H164" i="3" s="1"/>
  <c r="H130" i="3"/>
  <c r="H131" i="3" s="1"/>
  <c r="H132" i="3" s="1"/>
  <c r="H133" i="3" s="1"/>
  <c r="H134" i="3" s="1"/>
  <c r="H26" i="3"/>
  <c r="I6" i="3"/>
  <c r="I26" i="3" s="1"/>
  <c r="H146" i="3"/>
  <c r="H147" i="3" s="1"/>
  <c r="H148" i="3"/>
  <c r="B184" i="4"/>
  <c r="BK27" i="3"/>
  <c r="B136" i="4"/>
  <c r="O27" i="3"/>
  <c r="W27" i="3"/>
  <c r="B180" i="4"/>
  <c r="BG27" i="3"/>
  <c r="B176" i="4"/>
  <c r="BC27" i="3"/>
  <c r="B162" i="4"/>
  <c r="AO27" i="3"/>
  <c r="B128" i="4"/>
  <c r="G24" i="3"/>
  <c r="G165" i="3" s="1"/>
  <c r="G27" i="3"/>
  <c r="G166" i="3"/>
  <c r="G168" i="3" s="1"/>
  <c r="I146" i="3"/>
  <c r="I147" i="3"/>
  <c r="I148" i="3" s="1"/>
  <c r="I114" i="3"/>
  <c r="I115" i="3" s="1"/>
  <c r="I116" i="3" s="1"/>
  <c r="I24" i="3"/>
  <c r="J6" i="3"/>
  <c r="G167" i="3"/>
  <c r="J26" i="3"/>
  <c r="I12" i="2" a="1"/>
  <c r="I55" i="2" a="1"/>
  <c r="D55" i="2" a="1"/>
  <c r="D12" i="2" a="1"/>
  <c r="I37" i="2" a="1"/>
  <c r="D37" i="2" a="1"/>
  <c r="H117" i="3" l="1"/>
  <c r="H118" i="3"/>
  <c r="H119" i="3" s="1"/>
  <c r="H120" i="3" s="1"/>
  <c r="H121" i="3" s="1"/>
  <c r="B134" i="4"/>
  <c r="B141" i="4"/>
  <c r="BA7" i="3"/>
  <c r="AA7" i="3"/>
  <c r="AK23" i="3" a="1"/>
  <c r="AK23" i="3" s="1"/>
  <c r="AH7" i="3"/>
  <c r="AQ7" i="3"/>
  <c r="R7" i="3"/>
  <c r="AR7" i="3"/>
  <c r="B137" i="4"/>
  <c r="BI23" i="3" a="1"/>
  <c r="BI23" i="3" s="1"/>
  <c r="G134" i="3"/>
  <c r="B143" i="4"/>
  <c r="BF7" i="3"/>
  <c r="L7" i="3"/>
  <c r="AE7" i="3"/>
  <c r="B152" i="4" s="1"/>
  <c r="I31" i="3"/>
  <c r="BI27" i="3"/>
  <c r="H31" i="3"/>
  <c r="BJ7" i="3"/>
  <c r="N7" i="3"/>
  <c r="J7" i="3"/>
  <c r="AJ7" i="3"/>
  <c r="X7" i="3"/>
  <c r="G31" i="3"/>
  <c r="AF7" i="3"/>
  <c r="AW7" i="3"/>
  <c r="AM7" i="3"/>
  <c r="J31" i="3"/>
  <c r="BL7" i="3"/>
  <c r="B185" i="4" s="1"/>
  <c r="AT7" i="3"/>
  <c r="S7" i="3"/>
  <c r="B127" i="4"/>
  <c r="H27" i="3"/>
  <c r="AC7" i="3"/>
  <c r="BD7" i="3"/>
  <c r="I117" i="3"/>
  <c r="I118" i="3" s="1"/>
  <c r="G169" i="3"/>
  <c r="J162" i="3"/>
  <c r="J163" i="3" s="1"/>
  <c r="J164" i="3" s="1"/>
  <c r="J146" i="3"/>
  <c r="J147" i="3" s="1"/>
  <c r="J148" i="3" s="1"/>
  <c r="K6" i="3"/>
  <c r="H135" i="3"/>
  <c r="H136" i="3" s="1"/>
  <c r="F135" i="3"/>
  <c r="J114" i="3"/>
  <c r="F149" i="3"/>
  <c r="H149" i="3"/>
  <c r="H150" i="3" s="1"/>
  <c r="H151" i="3" s="1"/>
  <c r="I149" i="3"/>
  <c r="I150" i="3" s="1"/>
  <c r="J130" i="3"/>
  <c r="J131" i="3" s="1"/>
  <c r="J132" i="3" s="1"/>
  <c r="H165" i="3"/>
  <c r="H166" i="3" s="1"/>
  <c r="H167" i="3" s="1"/>
  <c r="I130" i="3"/>
  <c r="I162" i="3"/>
  <c r="F165" i="3"/>
  <c r="AP23" i="3" a="1"/>
  <c r="AP23" i="3" s="1"/>
  <c r="AP27" i="3"/>
  <c r="U27" i="3"/>
  <c r="U23" i="3" a="1"/>
  <c r="U23" i="3" s="1"/>
  <c r="BM23" i="3" a="1"/>
  <c r="BM23" i="3" s="1"/>
  <c r="BM27" i="3"/>
  <c r="AE27" i="3"/>
  <c r="AE23" i="3" a="1"/>
  <c r="AE23" i="3" s="1"/>
  <c r="F117" i="3"/>
  <c r="BL27" i="3"/>
  <c r="BL23" i="3" a="1"/>
  <c r="BL23" i="3" s="1"/>
  <c r="G117" i="3"/>
  <c r="G118" i="3" s="1"/>
  <c r="BF27" i="3"/>
  <c r="G146" i="3"/>
  <c r="AG7" i="3"/>
  <c r="B154" i="4" s="1"/>
  <c r="BH7" i="3"/>
  <c r="B181" i="4" s="1"/>
  <c r="F27" i="3"/>
  <c r="D37" i="2"/>
  <c r="I37" i="2"/>
  <c r="D12" i="2"/>
  <c r="D13" i="3" s="1"/>
  <c r="F21" i="3" s="1" a="1"/>
  <c r="D55" i="2"/>
  <c r="D15" i="3" s="1"/>
  <c r="I55" i="2"/>
  <c r="I12" i="2"/>
  <c r="D200" i="3" s="1"/>
  <c r="BD27" i="3" l="1"/>
  <c r="B177" i="4"/>
  <c r="BD23" i="3" a="1"/>
  <c r="BD23" i="3" s="1"/>
  <c r="AM23" i="3" a="1"/>
  <c r="AM23" i="3" s="1"/>
  <c r="B160" i="4"/>
  <c r="AM27" i="3"/>
  <c r="BJ23" i="3" a="1"/>
  <c r="BJ23" i="3" s="1"/>
  <c r="BJ27" i="3"/>
  <c r="B183" i="4"/>
  <c r="G135" i="3"/>
  <c r="G136" i="3"/>
  <c r="G137" i="3" s="1"/>
  <c r="AA27" i="3"/>
  <c r="B148" i="4"/>
  <c r="AA23" i="3" a="1"/>
  <c r="AA23" i="3" s="1"/>
  <c r="BA23" i="3" a="1"/>
  <c r="BA23" i="3" s="1"/>
  <c r="B174" i="4"/>
  <c r="BA27" i="3"/>
  <c r="N23" i="3" a="1"/>
  <c r="N23" i="3" s="1"/>
  <c r="B135" i="4"/>
  <c r="N27" i="3"/>
  <c r="AW23" i="3" a="1"/>
  <c r="AW23" i="3" s="1"/>
  <c r="AW27" i="3"/>
  <c r="B170" i="4"/>
  <c r="S23" i="3" a="1"/>
  <c r="S23" i="3" s="1"/>
  <c r="S27" i="3"/>
  <c r="B140" i="4"/>
  <c r="X27" i="3"/>
  <c r="X23" i="3" a="1"/>
  <c r="X23" i="3" s="1"/>
  <c r="B145" i="4"/>
  <c r="R23" i="3" a="1"/>
  <c r="R23" i="3" s="1"/>
  <c r="R27" i="3"/>
  <c r="B139" i="4"/>
  <c r="B167" i="4"/>
  <c r="AT23" i="3" a="1"/>
  <c r="AT23" i="3" s="1"/>
  <c r="AT27" i="3"/>
  <c r="AJ23" i="3" a="1"/>
  <c r="AJ23" i="3" s="1"/>
  <c r="B157" i="4"/>
  <c r="AJ27" i="3"/>
  <c r="L23" i="3" a="1"/>
  <c r="L23" i="3" s="1"/>
  <c r="B133" i="4"/>
  <c r="L27" i="3"/>
  <c r="AQ23" i="3" a="1"/>
  <c r="AQ23" i="3" s="1"/>
  <c r="AQ27" i="3"/>
  <c r="B164" i="4"/>
  <c r="AC27" i="3"/>
  <c r="B150" i="4"/>
  <c r="AC23" i="3" a="1"/>
  <c r="AC23" i="3" s="1"/>
  <c r="AF23" i="3" a="1"/>
  <c r="AF23" i="3" s="1"/>
  <c r="B153" i="4"/>
  <c r="AF27" i="3"/>
  <c r="AR23" i="3" a="1"/>
  <c r="AR23" i="3" s="1"/>
  <c r="B165" i="4"/>
  <c r="AR27" i="3"/>
  <c r="J23" i="3" a="1"/>
  <c r="J23" i="3" s="1"/>
  <c r="J24" i="3" s="1"/>
  <c r="J165" i="3" s="1"/>
  <c r="J166" i="3" s="1"/>
  <c r="J167" i="3" s="1"/>
  <c r="J27" i="3"/>
  <c r="B131" i="4"/>
  <c r="BF23" i="3" a="1"/>
  <c r="BF23" i="3" s="1"/>
  <c r="B179" i="4"/>
  <c r="B155" i="4"/>
  <c r="AH27" i="3"/>
  <c r="AH23" i="3" a="1"/>
  <c r="AH23" i="3" s="1"/>
  <c r="I152" i="3"/>
  <c r="I151" i="3"/>
  <c r="I119" i="3"/>
  <c r="I120" i="3" s="1"/>
  <c r="K21" i="3"/>
  <c r="BF21" i="3"/>
  <c r="AR21" i="3"/>
  <c r="AA21" i="3"/>
  <c r="Q21" i="3"/>
  <c r="AQ21" i="3"/>
  <c r="BG21" i="3"/>
  <c r="AI21" i="3"/>
  <c r="Z21" i="3"/>
  <c r="M21" i="3"/>
  <c r="AF21" i="3"/>
  <c r="AX21" i="3"/>
  <c r="AV21" i="3"/>
  <c r="AL21" i="3"/>
  <c r="I21" i="3"/>
  <c r="AN21" i="3"/>
  <c r="T21" i="3"/>
  <c r="R21" i="3"/>
  <c r="L21" i="3"/>
  <c r="U21" i="3"/>
  <c r="J21" i="3"/>
  <c r="BB21" i="3"/>
  <c r="AE21" i="3"/>
  <c r="Y21" i="3"/>
  <c r="BI21" i="3"/>
  <c r="AG21" i="3"/>
  <c r="BH21" i="3"/>
  <c r="W21" i="3"/>
  <c r="BC21" i="3"/>
  <c r="AY21" i="3"/>
  <c r="AS21" i="3"/>
  <c r="H21" i="3"/>
  <c r="BA21" i="3"/>
  <c r="P21" i="3"/>
  <c r="AJ21" i="3"/>
  <c r="S21" i="3"/>
  <c r="AH21" i="3"/>
  <c r="AP21" i="3"/>
  <c r="O21" i="3"/>
  <c r="AO21" i="3"/>
  <c r="F21" i="3"/>
  <c r="AD21" i="3"/>
  <c r="AT21" i="3"/>
  <c r="AM21" i="3"/>
  <c r="V21" i="3"/>
  <c r="N21" i="3"/>
  <c r="AB21" i="3"/>
  <c r="BL21" i="3"/>
  <c r="BE21" i="3"/>
  <c r="X21" i="3"/>
  <c r="BK21" i="3"/>
  <c r="G21" i="3"/>
  <c r="AK21" i="3"/>
  <c r="BJ21" i="3"/>
  <c r="AC21" i="3"/>
  <c r="BM21" i="3"/>
  <c r="BD21" i="3"/>
  <c r="AZ21" i="3"/>
  <c r="AW21" i="3"/>
  <c r="AU21" i="3"/>
  <c r="G119" i="3"/>
  <c r="G120" i="3"/>
  <c r="G121" i="3" s="1"/>
  <c r="K130" i="3"/>
  <c r="K131" i="3" s="1"/>
  <c r="K132" i="3" s="1"/>
  <c r="K78" i="3"/>
  <c r="K79" i="3" s="1"/>
  <c r="K146" i="3"/>
  <c r="K147" i="3" s="1"/>
  <c r="K148" i="3" s="1"/>
  <c r="K60" i="3"/>
  <c r="K61" i="3" s="1"/>
  <c r="K26" i="3"/>
  <c r="K162" i="3"/>
  <c r="K163" i="3" s="1"/>
  <c r="K164" i="3" s="1"/>
  <c r="L6" i="3"/>
  <c r="K42" i="3"/>
  <c r="K43" i="3" s="1"/>
  <c r="K24" i="3"/>
  <c r="K114" i="3"/>
  <c r="K115" i="3" s="1"/>
  <c r="K116" i="3" s="1"/>
  <c r="K96" i="3"/>
  <c r="K97" i="3" s="1"/>
  <c r="G78" i="3"/>
  <c r="G79" i="3" s="1"/>
  <c r="F42" i="3"/>
  <c r="H60" i="3"/>
  <c r="H61" i="3" s="1"/>
  <c r="G42" i="3"/>
  <c r="G43" i="3" s="1"/>
  <c r="F96" i="3"/>
  <c r="H96" i="3"/>
  <c r="H97" i="3" s="1"/>
  <c r="F78" i="3"/>
  <c r="H78" i="3"/>
  <c r="H79" i="3" s="1"/>
  <c r="F60" i="3"/>
  <c r="I96" i="3"/>
  <c r="I97" i="3" s="1"/>
  <c r="G96" i="3"/>
  <c r="G97" i="3" s="1"/>
  <c r="I78" i="3"/>
  <c r="I79" i="3" s="1"/>
  <c r="I60" i="3"/>
  <c r="I61" i="3" s="1"/>
  <c r="G60" i="3"/>
  <c r="G61" i="3" s="1"/>
  <c r="F136" i="3"/>
  <c r="H152" i="3"/>
  <c r="H153" i="3" s="1"/>
  <c r="J60" i="3"/>
  <c r="J61" i="3" s="1"/>
  <c r="H42" i="3"/>
  <c r="H43" i="3" s="1"/>
  <c r="I131" i="3"/>
  <c r="I132" i="3" s="1"/>
  <c r="H168" i="3"/>
  <c r="H169" i="3" s="1"/>
  <c r="F150" i="3"/>
  <c r="F137" i="3"/>
  <c r="J96" i="3"/>
  <c r="J97" i="3" s="1"/>
  <c r="BH23" i="3" a="1"/>
  <c r="BH23" i="3" s="1"/>
  <c r="BH27" i="3"/>
  <c r="AG23" i="3" a="1"/>
  <c r="AG23" i="3" s="1"/>
  <c r="AG27" i="3"/>
  <c r="F118" i="3"/>
  <c r="H137" i="3"/>
  <c r="J78" i="3"/>
  <c r="J79" i="3" s="1"/>
  <c r="I163" i="3"/>
  <c r="I164" i="3" s="1"/>
  <c r="I42" i="3"/>
  <c r="I43" i="3" s="1"/>
  <c r="G147" i="3"/>
  <c r="G148" i="3" s="1"/>
  <c r="F166" i="3"/>
  <c r="J115" i="3"/>
  <c r="J116" i="3" s="1"/>
  <c r="J42" i="3"/>
  <c r="J43" i="3" s="1"/>
  <c r="AQ25" i="3" a="1"/>
  <c r="Z25" i="3" a="1"/>
  <c r="AW25" i="3" a="1"/>
  <c r="AL25" i="3" a="1"/>
  <c r="BK25" i="3" a="1"/>
  <c r="L25" i="3" a="1"/>
  <c r="AZ25" i="3" a="1"/>
  <c r="AO25" i="3" a="1"/>
  <c r="AR25" i="3" a="1"/>
  <c r="BH25" i="3" a="1"/>
  <c r="BM25" i="3" a="1"/>
  <c r="AD25" i="3" a="1"/>
  <c r="AS25" i="3" a="1"/>
  <c r="G25" i="3" a="1"/>
  <c r="BL25" i="3" a="1"/>
  <c r="AI25" i="3" a="1"/>
  <c r="O25" i="3" a="1"/>
  <c r="BC25" i="3" a="1"/>
  <c r="AN25" i="3" a="1"/>
  <c r="T25" i="3" a="1"/>
  <c r="AG25" i="3" a="1"/>
  <c r="AK25" i="3" a="1"/>
  <c r="AC25" i="3" a="1"/>
  <c r="F25" i="3" a="1"/>
  <c r="AV25" i="3" a="1"/>
  <c r="J25" i="3" a="1"/>
  <c r="W25" i="3" a="1"/>
  <c r="AX25" i="3" a="1"/>
  <c r="U25" i="3" a="1"/>
  <c r="AT25" i="3" a="1"/>
  <c r="P25" i="3" a="1"/>
  <c r="Y25" i="3" a="1"/>
  <c r="V25" i="3" a="1"/>
  <c r="BE25" i="3" a="1"/>
  <c r="Q25" i="3" a="1"/>
  <c r="AB25" i="3" a="1"/>
  <c r="AY25" i="3" a="1"/>
  <c r="H25" i="3" a="1"/>
  <c r="BG25" i="3" a="1"/>
  <c r="AE25" i="3" a="1"/>
  <c r="BD25" i="3" a="1"/>
  <c r="AF25" i="3" a="1"/>
  <c r="AP25" i="3" a="1"/>
  <c r="N25" i="3" a="1"/>
  <c r="BA25" i="3" a="1"/>
  <c r="X25" i="3" a="1"/>
  <c r="AA25" i="3" a="1"/>
  <c r="BI25" i="3" a="1"/>
  <c r="AH25" i="3" a="1"/>
  <c r="I25" i="3" a="1"/>
  <c r="AM25" i="3" a="1"/>
  <c r="BF25" i="3" a="1"/>
  <c r="AU25" i="3" a="1"/>
  <c r="AJ25" i="3" a="1"/>
  <c r="BJ25" i="3" a="1"/>
  <c r="M25" i="3" a="1"/>
  <c r="K25" i="3" a="1"/>
  <c r="R25" i="3" a="1"/>
  <c r="S25" i="3" a="1"/>
  <c r="BB25" i="3" a="1"/>
  <c r="I32" i="3" l="1"/>
  <c r="J133" i="3"/>
  <c r="J134" i="3" s="1"/>
  <c r="J135" i="3" s="1"/>
  <c r="J149" i="3"/>
  <c r="J150" i="3" s="1"/>
  <c r="I153" i="3"/>
  <c r="BB25" i="3"/>
  <c r="S25" i="3"/>
  <c r="R25" i="3"/>
  <c r="K25" i="3"/>
  <c r="K98" i="3" s="1"/>
  <c r="K99" i="3" s="1"/>
  <c r="K100" i="3" s="1"/>
  <c r="M25" i="3"/>
  <c r="BJ25" i="3"/>
  <c r="AJ25" i="3"/>
  <c r="AU25" i="3"/>
  <c r="BF25" i="3"/>
  <c r="AM25" i="3"/>
  <c r="I25" i="3"/>
  <c r="I62" i="3" s="1"/>
  <c r="I63" i="3" s="1"/>
  <c r="I64" i="3" s="1"/>
  <c r="AH25" i="3"/>
  <c r="BI25" i="3"/>
  <c r="AA25" i="3"/>
  <c r="X25" i="3"/>
  <c r="BA25" i="3"/>
  <c r="N25" i="3"/>
  <c r="AP25" i="3"/>
  <c r="AF25" i="3"/>
  <c r="BD25" i="3"/>
  <c r="AE25" i="3"/>
  <c r="BG25" i="3"/>
  <c r="H25" i="3"/>
  <c r="H44" i="3" s="1"/>
  <c r="AY25" i="3"/>
  <c r="AB25" i="3"/>
  <c r="Q25" i="3"/>
  <c r="BE25" i="3"/>
  <c r="V25" i="3"/>
  <c r="Y25" i="3"/>
  <c r="P25" i="3"/>
  <c r="AT25" i="3"/>
  <c r="U25" i="3"/>
  <c r="AX25" i="3"/>
  <c r="W25" i="3"/>
  <c r="J25" i="3"/>
  <c r="J98" i="3" s="1"/>
  <c r="J99" i="3" s="1"/>
  <c r="J100" i="3" s="1"/>
  <c r="AV25" i="3"/>
  <c r="F25" i="3"/>
  <c r="AC25" i="3"/>
  <c r="AK25" i="3"/>
  <c r="AG25" i="3"/>
  <c r="T25" i="3"/>
  <c r="AN25" i="3"/>
  <c r="BC25" i="3"/>
  <c r="O25" i="3"/>
  <c r="AI25" i="3"/>
  <c r="BL25" i="3"/>
  <c r="G25" i="3"/>
  <c r="G98" i="3" s="1"/>
  <c r="AS25" i="3"/>
  <c r="AD25" i="3"/>
  <c r="BM25" i="3"/>
  <c r="BH25" i="3"/>
  <c r="AR25" i="3"/>
  <c r="AO25" i="3"/>
  <c r="AZ25" i="3"/>
  <c r="L25" i="3"/>
  <c r="BK25" i="3"/>
  <c r="AL25" i="3"/>
  <c r="AW25" i="3"/>
  <c r="Z25" i="3"/>
  <c r="AQ25" i="3"/>
  <c r="J137" i="3"/>
  <c r="J136" i="3"/>
  <c r="F32" i="3"/>
  <c r="F97" i="3"/>
  <c r="AZ22" i="3" a="1"/>
  <c r="AZ22" i="3" s="1"/>
  <c r="X22" i="3" a="1"/>
  <c r="X22" i="3" s="1"/>
  <c r="AD22" i="3" a="1"/>
  <c r="AD22" i="3" s="1"/>
  <c r="P22" i="3" a="1"/>
  <c r="P22" i="3" s="1"/>
  <c r="AG22" i="3" a="1"/>
  <c r="AG22" i="3" s="1"/>
  <c r="R22" i="3" a="1"/>
  <c r="R22" i="3" s="1"/>
  <c r="M22" i="3" a="1"/>
  <c r="M22" i="3" s="1"/>
  <c r="BF22" i="3" a="1"/>
  <c r="BF22" i="3" s="1"/>
  <c r="BD22" i="3" a="1"/>
  <c r="BD22" i="3" s="1"/>
  <c r="BE22" i="3" a="1"/>
  <c r="BE22" i="3" s="1"/>
  <c r="F22" i="3" a="1"/>
  <c r="F22" i="3" s="1"/>
  <c r="BA22" i="3" a="1"/>
  <c r="BA22" i="3" s="1"/>
  <c r="BI22" i="3" a="1"/>
  <c r="BI22" i="3" s="1"/>
  <c r="T22" i="3" a="1"/>
  <c r="T22" i="3" s="1"/>
  <c r="Z22" i="3" a="1"/>
  <c r="Z22" i="3" s="1"/>
  <c r="K22" i="3" a="1"/>
  <c r="K22" i="3" s="1"/>
  <c r="F151" i="3"/>
  <c r="F152" i="3" s="1"/>
  <c r="F153" i="3" s="1"/>
  <c r="K133" i="3"/>
  <c r="K134" i="3" s="1"/>
  <c r="K117" i="3"/>
  <c r="K118" i="3"/>
  <c r="K119" i="3" s="1"/>
  <c r="K165" i="3"/>
  <c r="K166" i="3" s="1"/>
  <c r="K149" i="3"/>
  <c r="K150" i="3" s="1"/>
  <c r="BM22" i="3" a="1"/>
  <c r="BM22" i="3" s="1"/>
  <c r="BL22" i="3" a="1"/>
  <c r="BL22" i="3" s="1"/>
  <c r="AO22" i="3" a="1"/>
  <c r="AO22" i="3" s="1"/>
  <c r="H22" i="3" a="1"/>
  <c r="H22" i="3" s="1"/>
  <c r="Y22" i="3" a="1"/>
  <c r="Y22" i="3" s="1"/>
  <c r="AN22" i="3" a="1"/>
  <c r="AN22" i="3" s="1"/>
  <c r="AI22" i="3" a="1"/>
  <c r="AI22" i="3" s="1"/>
  <c r="H32" i="3"/>
  <c r="F43" i="3"/>
  <c r="F44" i="3" s="1"/>
  <c r="F45" i="3" s="1"/>
  <c r="AC22" i="3" a="1"/>
  <c r="AC22" i="3" s="1"/>
  <c r="AB22" i="3" a="1"/>
  <c r="AB22" i="3" s="1"/>
  <c r="O22" i="3" a="1"/>
  <c r="O22" i="3" s="1"/>
  <c r="AS22" i="3" a="1"/>
  <c r="AS22" i="3" s="1"/>
  <c r="AE22" i="3" a="1"/>
  <c r="AE22" i="3" s="1"/>
  <c r="I22" i="3" a="1"/>
  <c r="I22" i="3" s="1"/>
  <c r="BG22" i="3" a="1"/>
  <c r="BG22" i="3" s="1"/>
  <c r="I121" i="3"/>
  <c r="J32" i="3"/>
  <c r="F61" i="3"/>
  <c r="F62" i="3" s="1"/>
  <c r="F63" i="3" s="1"/>
  <c r="L42" i="3"/>
  <c r="L43" i="3" s="1"/>
  <c r="L26" i="3"/>
  <c r="L96" i="3"/>
  <c r="L97" i="3" s="1"/>
  <c r="L24" i="3"/>
  <c r="L162" i="3"/>
  <c r="M6" i="3"/>
  <c r="L60" i="3"/>
  <c r="L61" i="3" s="1"/>
  <c r="L62" i="3" s="1"/>
  <c r="L78" i="3"/>
  <c r="L79" i="3" s="1"/>
  <c r="L80" i="3" s="1"/>
  <c r="L81" i="3" s="1"/>
  <c r="L82" i="3" s="1"/>
  <c r="L130" i="3"/>
  <c r="L131" i="3" s="1"/>
  <c r="L132" i="3" s="1"/>
  <c r="L146" i="3"/>
  <c r="L114" i="3"/>
  <c r="BJ22" i="3" a="1"/>
  <c r="BJ22" i="3" s="1"/>
  <c r="N22" i="3" a="1"/>
  <c r="N22" i="3" s="1"/>
  <c r="AP22" i="3" a="1"/>
  <c r="AP22" i="3" s="1"/>
  <c r="AY22" i="3" a="1"/>
  <c r="AY22" i="3" s="1"/>
  <c r="BB22" i="3" a="1"/>
  <c r="BB22" i="3" s="1"/>
  <c r="AL22" i="3" a="1"/>
  <c r="AL22" i="3" s="1"/>
  <c r="AQ22" i="3" a="1"/>
  <c r="AQ22" i="3" s="1"/>
  <c r="F167" i="3"/>
  <c r="I165" i="3"/>
  <c r="G149" i="3"/>
  <c r="G32" i="3"/>
  <c r="H80" i="3"/>
  <c r="AK22" i="3" a="1"/>
  <c r="AK22" i="3" s="1"/>
  <c r="V22" i="3" a="1"/>
  <c r="V22" i="3" s="1"/>
  <c r="AH22" i="3" a="1"/>
  <c r="AH22" i="3" s="1"/>
  <c r="BC22" i="3" a="1"/>
  <c r="BC22" i="3" s="1"/>
  <c r="J22" i="3" a="1"/>
  <c r="J22" i="3" s="1"/>
  <c r="AV22" i="3" a="1"/>
  <c r="AV22" i="3" s="1"/>
  <c r="Q22" i="3" a="1"/>
  <c r="Q22" i="3" s="1"/>
  <c r="J117" i="3"/>
  <c r="F79" i="3"/>
  <c r="J151" i="3"/>
  <c r="AU22" i="3" a="1"/>
  <c r="AU22" i="3" s="1"/>
  <c r="G22" i="3" a="1"/>
  <c r="G22" i="3" s="1"/>
  <c r="AM22" i="3" a="1"/>
  <c r="AM22" i="3" s="1"/>
  <c r="S22" i="3" a="1"/>
  <c r="S22" i="3" s="1"/>
  <c r="W22" i="3" a="1"/>
  <c r="W22" i="3" s="1"/>
  <c r="U22" i="3" a="1"/>
  <c r="U22" i="3" s="1"/>
  <c r="AX22" i="3" a="1"/>
  <c r="AX22" i="3" s="1"/>
  <c r="AA22" i="3" a="1"/>
  <c r="AA22" i="3" s="1"/>
  <c r="F120" i="3"/>
  <c r="F119" i="3"/>
  <c r="F121" i="3" s="1"/>
  <c r="J168" i="3"/>
  <c r="J169" i="3"/>
  <c r="I133" i="3"/>
  <c r="G62" i="3"/>
  <c r="AW22" i="3" a="1"/>
  <c r="AW22" i="3" s="1"/>
  <c r="BK22" i="3" a="1"/>
  <c r="BK22" i="3" s="1"/>
  <c r="AT22" i="3" a="1"/>
  <c r="AT22" i="3" s="1"/>
  <c r="AJ22" i="3" a="1"/>
  <c r="AJ22" i="3" s="1"/>
  <c r="BH22" i="3" a="1"/>
  <c r="BH22" i="3" s="1"/>
  <c r="L22" i="3" a="1"/>
  <c r="L22" i="3" s="1"/>
  <c r="AF22" i="3" a="1"/>
  <c r="AF22" i="3" s="1"/>
  <c r="AR22" i="3" a="1"/>
  <c r="AR22" i="3" s="1"/>
  <c r="E134" i="4" a="1"/>
  <c r="D134" i="4" a="1"/>
  <c r="C134" i="4" a="1"/>
  <c r="F134" i="4" a="1"/>
  <c r="D186" i="4" a="1"/>
  <c r="F186" i="4" a="1"/>
  <c r="E186" i="4" a="1"/>
  <c r="C186" i="4" a="1"/>
  <c r="E152" i="4" a="1"/>
  <c r="D152" i="4" a="1"/>
  <c r="C152" i="4" a="1"/>
  <c r="F152" i="4" a="1"/>
  <c r="F135" i="4" a="1"/>
  <c r="E135" i="4" a="1"/>
  <c r="C135" i="4" a="1"/>
  <c r="D135" i="4" a="1"/>
  <c r="F131" i="4" a="1"/>
  <c r="E131" i="4" a="1"/>
  <c r="C131" i="4" a="1"/>
  <c r="D131" i="4" a="1"/>
  <c r="E142" i="4" a="1"/>
  <c r="D142" i="4" a="1"/>
  <c r="C142" i="4" a="1"/>
  <c r="F142" i="4" a="1"/>
  <c r="D157" i="4" a="1"/>
  <c r="F157" i="4" a="1"/>
  <c r="E157" i="4" a="1"/>
  <c r="C157" i="4" a="1"/>
  <c r="F182" i="4" a="1"/>
  <c r="E182" i="4" a="1"/>
  <c r="D182" i="4" a="1"/>
  <c r="C182" i="4" a="1"/>
  <c r="D148" i="4" a="1"/>
  <c r="C148" i="4" a="1"/>
  <c r="E148" i="4" a="1"/>
  <c r="F148" i="4" a="1"/>
  <c r="E141" i="4" a="1"/>
  <c r="D141" i="4" a="1"/>
  <c r="C141" i="4" a="1"/>
  <c r="F141" i="4" a="1"/>
  <c r="C175" i="4" a="1"/>
  <c r="F175" i="4" a="1"/>
  <c r="E175" i="4" a="1"/>
  <c r="D175" i="4" a="1"/>
  <c r="C128" i="4" a="1"/>
  <c r="F128" i="4" a="1"/>
  <c r="E128" i="4" a="1"/>
  <c r="D128" i="4" a="1"/>
  <c r="D147" i="4" a="1"/>
  <c r="C147" i="4" a="1"/>
  <c r="F147" i="4" a="1"/>
  <c r="E147" i="4" a="1"/>
  <c r="D159" i="4" a="1"/>
  <c r="C159" i="4" a="1"/>
  <c r="F159" i="4" a="1"/>
  <c r="E159" i="4" a="1"/>
  <c r="D169" i="4" a="1"/>
  <c r="F169" i="4" a="1"/>
  <c r="E169" i="4" a="1"/>
  <c r="C169" i="4" a="1"/>
  <c r="F149" i="4" a="1"/>
  <c r="E149" i="4" a="1"/>
  <c r="D149" i="4" a="1"/>
  <c r="C149" i="4" a="1"/>
  <c r="D143" i="4" a="1"/>
  <c r="F143" i="4" a="1"/>
  <c r="E143" i="4" a="1"/>
  <c r="C143" i="4" a="1"/>
  <c r="C170" i="4" a="1"/>
  <c r="F170" i="4" a="1"/>
  <c r="E170" i="4" a="1"/>
  <c r="D170" i="4" a="1"/>
  <c r="D179" i="4" a="1"/>
  <c r="C179" i="4" a="1"/>
  <c r="F179" i="4" a="1"/>
  <c r="E179" i="4" a="1"/>
  <c r="E174" i="4" a="1"/>
  <c r="D174" i="4" a="1"/>
  <c r="C174" i="4" a="1"/>
  <c r="F174" i="4" a="1"/>
  <c r="D185" i="4" a="1"/>
  <c r="F185" i="4" a="1"/>
  <c r="E185" i="4" a="1"/>
  <c r="C185" i="4" a="1"/>
  <c r="D163" i="4" a="1"/>
  <c r="C163" i="4" a="1"/>
  <c r="F163" i="4" a="1"/>
  <c r="E163" i="4" a="1"/>
  <c r="C171" i="4" a="1"/>
  <c r="F171" i="4" a="1"/>
  <c r="E171" i="4" a="1"/>
  <c r="D171" i="4" a="1"/>
  <c r="E181" i="4" a="1"/>
  <c r="D181" i="4" a="1"/>
  <c r="C181" i="4" a="1"/>
  <c r="F181" i="4" a="1"/>
  <c r="E162" i="4" a="1"/>
  <c r="D162" i="4" a="1"/>
  <c r="C162" i="4" a="1"/>
  <c r="F162" i="4" a="1"/>
  <c r="E172" i="4" a="1"/>
  <c r="D172" i="4" a="1"/>
  <c r="C172" i="4" a="1"/>
  <c r="F172" i="4" a="1"/>
  <c r="D168" i="4" a="1"/>
  <c r="C168" i="4" a="1"/>
  <c r="F168" i="4" a="1"/>
  <c r="E168" i="4" a="1"/>
  <c r="C133" i="4" a="1"/>
  <c r="E133" i="4" a="1"/>
  <c r="D133" i="4" a="1"/>
  <c r="F133" i="4" a="1"/>
  <c r="E129" i="4" a="1"/>
  <c r="D129" i="4" a="1"/>
  <c r="C129" i="4" a="1"/>
  <c r="F129" i="4" a="1"/>
  <c r="E146" i="4" a="1"/>
  <c r="D146" i="4" a="1"/>
  <c r="C146" i="4" a="1"/>
  <c r="F146" i="4" a="1"/>
  <c r="E130" i="4" a="1"/>
  <c r="D130" i="4" a="1"/>
  <c r="C130" i="4" a="1"/>
  <c r="F130" i="4" a="1"/>
  <c r="E158" i="4" a="1"/>
  <c r="D158" i="4" a="1"/>
  <c r="C158" i="4" a="1"/>
  <c r="F158" i="4" a="1"/>
  <c r="E161" i="4" a="1"/>
  <c r="D161" i="4" a="1"/>
  <c r="F161" i="4" a="1"/>
  <c r="C161" i="4" a="1"/>
  <c r="D164" i="4" a="1"/>
  <c r="C164" i="4" a="1"/>
  <c r="F164" i="4" a="1"/>
  <c r="E164" i="4" a="1"/>
  <c r="C180" i="4" a="1"/>
  <c r="D180" i="4" a="1"/>
  <c r="E180" i="4" a="1"/>
  <c r="F180" i="4" a="1"/>
  <c r="C144" i="4" a="1"/>
  <c r="E144" i="4" a="1"/>
  <c r="F144" i="4" a="1"/>
  <c r="D144" i="4" a="1"/>
  <c r="F173" i="4" a="1"/>
  <c r="E173" i="4" a="1"/>
  <c r="D173" i="4" a="1"/>
  <c r="C173" i="4" a="1"/>
  <c r="C183" i="4" a="1"/>
  <c r="F183" i="4" a="1"/>
  <c r="E183" i="4" a="1"/>
  <c r="D183" i="4" a="1"/>
  <c r="D145" i="4" a="1"/>
  <c r="E145" i="4" a="1"/>
  <c r="F145" i="4" a="1"/>
  <c r="C145" i="4" a="1"/>
  <c r="D138" i="4" a="1"/>
  <c r="E138" i="4" a="1"/>
  <c r="C138" i="4" a="1"/>
  <c r="F138" i="4" a="1"/>
  <c r="F151" i="4" a="1"/>
  <c r="D151" i="4" a="1"/>
  <c r="C151" i="4" a="1"/>
  <c r="E151" i="4" a="1"/>
  <c r="E150" i="4" a="1"/>
  <c r="D150" i="4" a="1"/>
  <c r="C150" i="4" a="1"/>
  <c r="F150" i="4" a="1"/>
  <c r="E160" i="4" a="1"/>
  <c r="D160" i="4" a="1"/>
  <c r="C160" i="4" a="1"/>
  <c r="F160" i="4" a="1"/>
  <c r="E165" i="4" a="1"/>
  <c r="D165" i="4" a="1"/>
  <c r="C165" i="4" a="1"/>
  <c r="F165" i="4" a="1"/>
  <c r="E137" i="4" a="1"/>
  <c r="D137" i="4" a="1"/>
  <c r="C137" i="4" a="1"/>
  <c r="F137" i="4" a="1"/>
  <c r="E177" i="4" a="1"/>
  <c r="D177" i="4" a="1"/>
  <c r="C177" i="4" a="1"/>
  <c r="F177" i="4" a="1"/>
  <c r="D167" i="4" a="1"/>
  <c r="C167" i="4" a="1"/>
  <c r="F167" i="4" a="1"/>
  <c r="E167" i="4" a="1"/>
  <c r="D154" i="4" a="1"/>
  <c r="F154" i="4" a="1"/>
  <c r="E154" i="4" a="1"/>
  <c r="C154" i="4" a="1"/>
  <c r="E178" i="4" a="1"/>
  <c r="D178" i="4" a="1"/>
  <c r="C178" i="4" a="1"/>
  <c r="F178" i="4" a="1"/>
  <c r="D156" i="4" a="1"/>
  <c r="C156" i="4" a="1"/>
  <c r="F156" i="4" a="1"/>
  <c r="E156" i="4" a="1"/>
  <c r="E136" i="4" a="1"/>
  <c r="D136" i="4" a="1"/>
  <c r="C136" i="4" a="1"/>
  <c r="F136" i="4" a="1"/>
  <c r="C155" i="4" a="1"/>
  <c r="F155" i="4" a="1"/>
  <c r="E155" i="4" a="1"/>
  <c r="D155" i="4" a="1"/>
  <c r="C140" i="4" a="1"/>
  <c r="F140" i="4" a="1"/>
  <c r="E140" i="4" a="1"/>
  <c r="D140" i="4" a="1"/>
  <c r="C184" i="4" a="1"/>
  <c r="D184" i="4" a="1"/>
  <c r="F184" i="4" a="1"/>
  <c r="E184" i="4" a="1"/>
  <c r="D153" i="4" a="1"/>
  <c r="F153" i="4" a="1"/>
  <c r="E153" i="4" a="1"/>
  <c r="C153" i="4" a="1"/>
  <c r="D139" i="4" a="1"/>
  <c r="F139" i="4" a="1"/>
  <c r="E139" i="4" a="1"/>
  <c r="C139" i="4" a="1"/>
  <c r="F127" i="4" a="1"/>
  <c r="E127" i="4" a="1"/>
  <c r="C127" i="4" a="1"/>
  <c r="D127" i="4" a="1"/>
  <c r="C132" i="4" a="1"/>
  <c r="F132" i="4" a="1"/>
  <c r="E132" i="4" a="1"/>
  <c r="D132" i="4" a="1"/>
  <c r="E166" i="4" a="1"/>
  <c r="D166" i="4" a="1"/>
  <c r="C166" i="4" a="1"/>
  <c r="F166" i="4" a="1"/>
  <c r="D176" i="4" a="1"/>
  <c r="C176" i="4" a="1"/>
  <c r="F176" i="4" a="1"/>
  <c r="E176" i="4" a="1"/>
  <c r="I80" i="3" l="1"/>
  <c r="I81" i="3" s="1"/>
  <c r="I82" i="3" s="1"/>
  <c r="I98" i="3"/>
  <c r="I99" i="3" s="1"/>
  <c r="I100" i="3" s="1"/>
  <c r="K44" i="3"/>
  <c r="K45" i="3" s="1"/>
  <c r="K46" i="3" s="1"/>
  <c r="K80" i="3"/>
  <c r="K81" i="3" s="1"/>
  <c r="K82" i="3" s="1"/>
  <c r="K62" i="3"/>
  <c r="K63" i="3" s="1"/>
  <c r="K64" i="3" s="1"/>
  <c r="K65" i="3" s="1"/>
  <c r="I44" i="3"/>
  <c r="I45" i="3" s="1"/>
  <c r="I46" i="3" s="1"/>
  <c r="F80" i="3"/>
  <c r="F81" i="3" s="1"/>
  <c r="F82" i="3" s="1"/>
  <c r="L44" i="3"/>
  <c r="J80" i="3"/>
  <c r="J81" i="3" s="1"/>
  <c r="J82" i="3" s="1"/>
  <c r="J62" i="3"/>
  <c r="J63" i="3" s="1"/>
  <c r="J64" i="3" s="1"/>
  <c r="J44" i="3"/>
  <c r="J45" i="3" s="1"/>
  <c r="J46" i="3" s="1"/>
  <c r="L98" i="3"/>
  <c r="L99" i="3" s="1"/>
  <c r="L100" i="3" s="1"/>
  <c r="G80" i="3"/>
  <c r="G81" i="3" s="1"/>
  <c r="G82" i="3" s="1"/>
  <c r="H98" i="3"/>
  <c r="H99" i="3" s="1"/>
  <c r="H100" i="3" s="1"/>
  <c r="H101" i="3" s="1"/>
  <c r="E176" i="4"/>
  <c r="F176" i="4"/>
  <c r="C176" i="4"/>
  <c r="D176" i="4"/>
  <c r="F166" i="4"/>
  <c r="C166" i="4"/>
  <c r="D166" i="4"/>
  <c r="E166" i="4"/>
  <c r="D132" i="4"/>
  <c r="E132" i="4"/>
  <c r="F132" i="4"/>
  <c r="C132" i="4"/>
  <c r="D127" i="4"/>
  <c r="C127" i="4"/>
  <c r="E127" i="4"/>
  <c r="F127" i="4"/>
  <c r="C139" i="4"/>
  <c r="E139" i="4"/>
  <c r="F139" i="4"/>
  <c r="D139" i="4"/>
  <c r="C153" i="4"/>
  <c r="E153" i="4"/>
  <c r="F153" i="4"/>
  <c r="D153" i="4"/>
  <c r="E184" i="4"/>
  <c r="F184" i="4"/>
  <c r="D184" i="4"/>
  <c r="C184" i="4"/>
  <c r="D140" i="4"/>
  <c r="E140" i="4"/>
  <c r="F140" i="4"/>
  <c r="C140" i="4"/>
  <c r="D155" i="4"/>
  <c r="E155" i="4"/>
  <c r="F155" i="4"/>
  <c r="C155" i="4"/>
  <c r="F136" i="4"/>
  <c r="C136" i="4"/>
  <c r="D136" i="4"/>
  <c r="E136" i="4"/>
  <c r="E156" i="4"/>
  <c r="F156" i="4"/>
  <c r="C156" i="4"/>
  <c r="D156" i="4"/>
  <c r="F178" i="4"/>
  <c r="C178" i="4"/>
  <c r="D178" i="4"/>
  <c r="E178" i="4"/>
  <c r="C154" i="4"/>
  <c r="E154" i="4"/>
  <c r="F154" i="4"/>
  <c r="D154" i="4"/>
  <c r="E167" i="4"/>
  <c r="F167" i="4"/>
  <c r="C167" i="4"/>
  <c r="D167" i="4"/>
  <c r="F177" i="4"/>
  <c r="C177" i="4"/>
  <c r="D177" i="4"/>
  <c r="E177" i="4"/>
  <c r="F137" i="4"/>
  <c r="C137" i="4"/>
  <c r="D137" i="4"/>
  <c r="E137" i="4"/>
  <c r="F165" i="4"/>
  <c r="C165" i="4"/>
  <c r="D165" i="4"/>
  <c r="E165" i="4"/>
  <c r="F160" i="4"/>
  <c r="C160" i="4"/>
  <c r="D160" i="4"/>
  <c r="E160" i="4"/>
  <c r="F150" i="4"/>
  <c r="C150" i="4"/>
  <c r="D150" i="4"/>
  <c r="E150" i="4"/>
  <c r="E151" i="4"/>
  <c r="C151" i="4"/>
  <c r="D151" i="4"/>
  <c r="F151" i="4"/>
  <c r="F138" i="4"/>
  <c r="C138" i="4"/>
  <c r="E138" i="4"/>
  <c r="D138" i="4"/>
  <c r="C145" i="4"/>
  <c r="F145" i="4"/>
  <c r="E145" i="4"/>
  <c r="D145" i="4"/>
  <c r="D183" i="4"/>
  <c r="E183" i="4"/>
  <c r="F183" i="4"/>
  <c r="C183" i="4"/>
  <c r="C173" i="4"/>
  <c r="D173" i="4"/>
  <c r="E173" i="4"/>
  <c r="F173" i="4"/>
  <c r="D144" i="4"/>
  <c r="F144" i="4"/>
  <c r="E144" i="4"/>
  <c r="C144" i="4"/>
  <c r="F180" i="4"/>
  <c r="E180" i="4"/>
  <c r="D180" i="4"/>
  <c r="C180" i="4"/>
  <c r="E164" i="4"/>
  <c r="F164" i="4"/>
  <c r="C164" i="4"/>
  <c r="D164" i="4"/>
  <c r="C161" i="4"/>
  <c r="F161" i="4"/>
  <c r="D161" i="4"/>
  <c r="E161" i="4"/>
  <c r="F158" i="4"/>
  <c r="C158" i="4"/>
  <c r="D158" i="4"/>
  <c r="E158" i="4"/>
  <c r="F130" i="4"/>
  <c r="C130" i="4"/>
  <c r="D130" i="4"/>
  <c r="E130" i="4"/>
  <c r="F146" i="4"/>
  <c r="C146" i="4"/>
  <c r="D146" i="4"/>
  <c r="E146" i="4"/>
  <c r="F129" i="4"/>
  <c r="C129" i="4"/>
  <c r="D129" i="4"/>
  <c r="E129" i="4"/>
  <c r="F133" i="4"/>
  <c r="D133" i="4"/>
  <c r="E133" i="4"/>
  <c r="C133" i="4"/>
  <c r="E168" i="4"/>
  <c r="F168" i="4"/>
  <c r="C168" i="4"/>
  <c r="D168" i="4"/>
  <c r="F172" i="4"/>
  <c r="C172" i="4"/>
  <c r="D172" i="4"/>
  <c r="E172" i="4"/>
  <c r="F162" i="4"/>
  <c r="C162" i="4"/>
  <c r="D162" i="4"/>
  <c r="E162" i="4"/>
  <c r="F181" i="4"/>
  <c r="C181" i="4"/>
  <c r="D181" i="4"/>
  <c r="E181" i="4"/>
  <c r="D171" i="4"/>
  <c r="E171" i="4"/>
  <c r="F171" i="4"/>
  <c r="C171" i="4"/>
  <c r="E163" i="4"/>
  <c r="F163" i="4"/>
  <c r="C163" i="4"/>
  <c r="D163" i="4"/>
  <c r="C185" i="4"/>
  <c r="E185" i="4"/>
  <c r="F185" i="4"/>
  <c r="D185" i="4"/>
  <c r="F174" i="4"/>
  <c r="C174" i="4"/>
  <c r="D174" i="4"/>
  <c r="E174" i="4"/>
  <c r="E179" i="4"/>
  <c r="F179" i="4"/>
  <c r="C179" i="4"/>
  <c r="D179" i="4"/>
  <c r="D170" i="4"/>
  <c r="E170" i="4"/>
  <c r="F170" i="4"/>
  <c r="C170" i="4"/>
  <c r="C143" i="4"/>
  <c r="E143" i="4"/>
  <c r="F143" i="4"/>
  <c r="D143" i="4"/>
  <c r="C149" i="4"/>
  <c r="D149" i="4"/>
  <c r="E149" i="4"/>
  <c r="F149" i="4"/>
  <c r="C169" i="4"/>
  <c r="E169" i="4"/>
  <c r="F169" i="4"/>
  <c r="D169" i="4"/>
  <c r="E159" i="4"/>
  <c r="F159" i="4"/>
  <c r="C159" i="4"/>
  <c r="D159" i="4"/>
  <c r="E147" i="4"/>
  <c r="F147" i="4"/>
  <c r="C147" i="4"/>
  <c r="D147" i="4"/>
  <c r="D128" i="4"/>
  <c r="E128" i="4"/>
  <c r="F128" i="4"/>
  <c r="C128" i="4"/>
  <c r="D175" i="4"/>
  <c r="E175" i="4"/>
  <c r="F175" i="4"/>
  <c r="C175" i="4"/>
  <c r="F141" i="4"/>
  <c r="C141" i="4"/>
  <c r="D141" i="4"/>
  <c r="E141" i="4"/>
  <c r="F148" i="4"/>
  <c r="E148" i="4"/>
  <c r="C148" i="4"/>
  <c r="D148" i="4"/>
  <c r="C182" i="4"/>
  <c r="D182" i="4"/>
  <c r="E182" i="4"/>
  <c r="F182" i="4"/>
  <c r="C157" i="4"/>
  <c r="E157" i="4"/>
  <c r="F157" i="4"/>
  <c r="D157" i="4"/>
  <c r="F142" i="4"/>
  <c r="C142" i="4"/>
  <c r="D142" i="4"/>
  <c r="E142" i="4"/>
  <c r="D131" i="4"/>
  <c r="C131" i="4"/>
  <c r="E131" i="4"/>
  <c r="F131" i="4"/>
  <c r="D135" i="4"/>
  <c r="C135" i="4"/>
  <c r="E135" i="4"/>
  <c r="F135" i="4"/>
  <c r="F152" i="4"/>
  <c r="C152" i="4"/>
  <c r="D152" i="4"/>
  <c r="E152" i="4"/>
  <c r="C186" i="4"/>
  <c r="E186" i="4"/>
  <c r="F186" i="4"/>
  <c r="D186" i="4"/>
  <c r="F134" i="4"/>
  <c r="C134" i="4"/>
  <c r="D134" i="4"/>
  <c r="E134" i="4"/>
  <c r="F98" i="3"/>
  <c r="F99" i="3" s="1"/>
  <c r="K151" i="3"/>
  <c r="K152" i="3" s="1"/>
  <c r="K153" i="3" s="1"/>
  <c r="G99" i="3"/>
  <c r="G100" i="3" s="1"/>
  <c r="K135" i="3"/>
  <c r="K136" i="3" s="1"/>
  <c r="F64" i="3"/>
  <c r="F65" i="3" s="1"/>
  <c r="F46" i="3"/>
  <c r="F47" i="3" s="1"/>
  <c r="H45" i="3"/>
  <c r="H46" i="3" s="1"/>
  <c r="H47" i="3" s="1"/>
  <c r="K167" i="3"/>
  <c r="J152" i="3"/>
  <c r="J153" i="3" s="1"/>
  <c r="L45" i="3"/>
  <c r="L46" i="3" s="1"/>
  <c r="L47" i="3" s="1"/>
  <c r="I166" i="3"/>
  <c r="L83" i="3"/>
  <c r="L84" i="3" s="1"/>
  <c r="K101" i="3"/>
  <c r="K102" i="3" s="1"/>
  <c r="M162" i="3"/>
  <c r="M163" i="3" s="1"/>
  <c r="M164" i="3" s="1"/>
  <c r="M26" i="3"/>
  <c r="M114" i="3"/>
  <c r="M115" i="3" s="1"/>
  <c r="M116" i="3" s="1"/>
  <c r="N6" i="3"/>
  <c r="M60" i="3"/>
  <c r="M61" i="3" s="1"/>
  <c r="M62" i="3" s="1"/>
  <c r="M96" i="3"/>
  <c r="M42" i="3"/>
  <c r="M43" i="3" s="1"/>
  <c r="M44" i="3" s="1"/>
  <c r="M130" i="3"/>
  <c r="M131" i="3" s="1"/>
  <c r="M132" i="3" s="1"/>
  <c r="M146" i="3"/>
  <c r="M147" i="3" s="1"/>
  <c r="M148" i="3" s="1"/>
  <c r="M78" i="3"/>
  <c r="M24" i="3"/>
  <c r="I65" i="3"/>
  <c r="I66" i="3" s="1"/>
  <c r="I67" i="3" s="1"/>
  <c r="I134" i="3"/>
  <c r="L163" i="3"/>
  <c r="L164" i="3" s="1"/>
  <c r="G63" i="3"/>
  <c r="G64" i="3" s="1"/>
  <c r="G65" i="3" s="1"/>
  <c r="L165" i="3"/>
  <c r="L166" i="3" s="1"/>
  <c r="L133" i="3"/>
  <c r="J118" i="3"/>
  <c r="F168" i="3"/>
  <c r="L115" i="3"/>
  <c r="L116" i="3" s="1"/>
  <c r="L101" i="3"/>
  <c r="L102" i="3" s="1"/>
  <c r="L103" i="3" s="1"/>
  <c r="H62" i="3"/>
  <c r="G44" i="3"/>
  <c r="H81" i="3"/>
  <c r="H82" i="3" s="1"/>
  <c r="H83" i="3" s="1"/>
  <c r="L63" i="3"/>
  <c r="L64" i="3" s="1"/>
  <c r="L65" i="3" s="1"/>
  <c r="J101" i="3"/>
  <c r="G150" i="3"/>
  <c r="L147" i="3"/>
  <c r="L148" i="3" s="1"/>
  <c r="L149" i="3" s="1"/>
  <c r="L150" i="3" s="1"/>
  <c r="I83" i="3"/>
  <c r="K120" i="3"/>
  <c r="K121" i="3" s="1"/>
  <c r="I101" i="3"/>
  <c r="J83" i="3" l="1"/>
  <c r="J84" i="3" s="1"/>
  <c r="J85" i="3" s="1"/>
  <c r="I47" i="3"/>
  <c r="I48" i="3" s="1"/>
  <c r="F83" i="3"/>
  <c r="F84" i="3" s="1"/>
  <c r="F85" i="3" s="1"/>
  <c r="K83" i="3"/>
  <c r="K84" i="3" s="1"/>
  <c r="K47" i="3"/>
  <c r="K48" i="3" s="1"/>
  <c r="K49" i="3" s="1"/>
  <c r="J65" i="3"/>
  <c r="J66" i="3" s="1"/>
  <c r="J47" i="3"/>
  <c r="J48" i="3" s="1"/>
  <c r="J49" i="3" s="1"/>
  <c r="G83" i="3"/>
  <c r="G84" i="3" s="1"/>
  <c r="G85" i="3" s="1"/>
  <c r="K103" i="3"/>
  <c r="I102" i="3"/>
  <c r="I103" i="3" s="1"/>
  <c r="L134" i="3"/>
  <c r="M79" i="3"/>
  <c r="M80" i="3" s="1"/>
  <c r="G152" i="3"/>
  <c r="G151" i="3"/>
  <c r="I135" i="3"/>
  <c r="I167" i="3"/>
  <c r="H48" i="3"/>
  <c r="H49" i="3" s="1"/>
  <c r="J102" i="3"/>
  <c r="J103" i="3" s="1"/>
  <c r="G101" i="3"/>
  <c r="G102" i="3" s="1"/>
  <c r="L85" i="3"/>
  <c r="K168" i="3"/>
  <c r="K169" i="3" s="1"/>
  <c r="K137" i="3"/>
  <c r="K66" i="3"/>
  <c r="K67" i="3" s="1"/>
  <c r="I84" i="3"/>
  <c r="I85" i="3" s="1"/>
  <c r="L117" i="3"/>
  <c r="G45" i="3"/>
  <c r="M63" i="3"/>
  <c r="M64" i="3" s="1"/>
  <c r="M65" i="3" s="1"/>
  <c r="H102" i="3"/>
  <c r="H103" i="3" s="1"/>
  <c r="F48" i="3"/>
  <c r="F49" i="3" s="1"/>
  <c r="L66" i="3"/>
  <c r="L67" i="3" s="1"/>
  <c r="H84" i="3"/>
  <c r="H85" i="3" s="1"/>
  <c r="F169" i="3"/>
  <c r="G66" i="3"/>
  <c r="G67" i="3" s="1"/>
  <c r="M97" i="3"/>
  <c r="M98" i="3" s="1"/>
  <c r="L48" i="3"/>
  <c r="L49" i="3" s="1"/>
  <c r="F100" i="3"/>
  <c r="L167" i="3"/>
  <c r="L168" i="3" s="1"/>
  <c r="N162" i="3"/>
  <c r="N146" i="3"/>
  <c r="N147" i="3" s="1"/>
  <c r="N148" i="3" s="1"/>
  <c r="N26" i="3"/>
  <c r="O6" i="3"/>
  <c r="N78" i="3"/>
  <c r="N79" i="3" s="1"/>
  <c r="N80" i="3" s="1"/>
  <c r="N24" i="3"/>
  <c r="N60" i="3"/>
  <c r="N114" i="3"/>
  <c r="N42" i="3"/>
  <c r="N130" i="3"/>
  <c r="N131" i="3" s="1"/>
  <c r="N132" i="3" s="1"/>
  <c r="N96" i="3"/>
  <c r="N97" i="3" s="1"/>
  <c r="N98" i="3" s="1"/>
  <c r="M45" i="3"/>
  <c r="M46" i="3" s="1"/>
  <c r="L151" i="3"/>
  <c r="H63" i="3"/>
  <c r="H64" i="3" s="1"/>
  <c r="H65" i="3" s="1"/>
  <c r="J119" i="3"/>
  <c r="M117" i="3"/>
  <c r="M118" i="3" s="1"/>
  <c r="M165" i="3"/>
  <c r="M149" i="3"/>
  <c r="M150" i="3" s="1"/>
  <c r="M133" i="3"/>
  <c r="M134" i="3"/>
  <c r="M135" i="3" s="1"/>
  <c r="F66" i="3"/>
  <c r="K85" i="3" l="1"/>
  <c r="I49" i="3"/>
  <c r="J67" i="3"/>
  <c r="I136" i="3"/>
  <c r="I137" i="3" s="1"/>
  <c r="M151" i="3"/>
  <c r="M119" i="3"/>
  <c r="M120" i="3" s="1"/>
  <c r="M121" i="3" s="1"/>
  <c r="L152" i="3"/>
  <c r="L153" i="3" s="1"/>
  <c r="N163" i="3"/>
  <c r="N164" i="3" s="1"/>
  <c r="M47" i="3"/>
  <c r="M48" i="3" s="1"/>
  <c r="N61" i="3"/>
  <c r="N62" i="3" s="1"/>
  <c r="F101" i="3"/>
  <c r="M66" i="3"/>
  <c r="I169" i="3"/>
  <c r="M81" i="3"/>
  <c r="M99" i="3"/>
  <c r="N133" i="3"/>
  <c r="N134" i="3"/>
  <c r="N149" i="3"/>
  <c r="I168" i="3"/>
  <c r="L135" i="3"/>
  <c r="L136" i="3" s="1"/>
  <c r="N81" i="3"/>
  <c r="N82" i="3" s="1"/>
  <c r="N83" i="3" s="1"/>
  <c r="J120" i="3"/>
  <c r="G153" i="3"/>
  <c r="L169" i="3"/>
  <c r="N43" i="3"/>
  <c r="N44" i="3" s="1"/>
  <c r="L118" i="3"/>
  <c r="M136" i="3"/>
  <c r="M137" i="3" s="1"/>
  <c r="N115" i="3"/>
  <c r="N116" i="3" s="1"/>
  <c r="G46" i="3"/>
  <c r="M166" i="3"/>
  <c r="J121" i="3"/>
  <c r="O60" i="3"/>
  <c r="O61" i="3" s="1"/>
  <c r="O62" i="3" s="1"/>
  <c r="O162" i="3"/>
  <c r="O163" i="3" s="1"/>
  <c r="O164" i="3" s="1"/>
  <c r="P6" i="3"/>
  <c r="O78" i="3"/>
  <c r="O79" i="3" s="1"/>
  <c r="O80" i="3" s="1"/>
  <c r="O96" i="3"/>
  <c r="O114" i="3"/>
  <c r="O115" i="3" s="1"/>
  <c r="O116" i="3" s="1"/>
  <c r="O130" i="3"/>
  <c r="O131" i="3" s="1"/>
  <c r="O132" i="3" s="1"/>
  <c r="O24" i="3"/>
  <c r="O146" i="3"/>
  <c r="O147" i="3" s="1"/>
  <c r="O148" i="3" s="1"/>
  <c r="O42" i="3"/>
  <c r="O43" i="3" s="1"/>
  <c r="O44" i="3" s="1"/>
  <c r="O26" i="3"/>
  <c r="F67" i="3"/>
  <c r="H66" i="3"/>
  <c r="H67" i="3"/>
  <c r="N99" i="3"/>
  <c r="N100" i="3" s="1"/>
  <c r="N101" i="3" s="1"/>
  <c r="G103" i="3"/>
  <c r="N102" i="3" l="1"/>
  <c r="N103" i="3" s="1"/>
  <c r="O97" i="3"/>
  <c r="O98" i="3" s="1"/>
  <c r="N84" i="3"/>
  <c r="N85" i="3" s="1"/>
  <c r="M100" i="3"/>
  <c r="M67" i="3"/>
  <c r="N150" i="3"/>
  <c r="M167" i="3"/>
  <c r="M168" i="3" s="1"/>
  <c r="N135" i="3"/>
  <c r="G47" i="3"/>
  <c r="G48" i="3" s="1"/>
  <c r="G49" i="3" s="1"/>
  <c r="M82" i="3"/>
  <c r="O45" i="3"/>
  <c r="O46" i="3" s="1"/>
  <c r="L137" i="3"/>
  <c r="N117" i="3"/>
  <c r="M49" i="3"/>
  <c r="M152" i="3"/>
  <c r="O81" i="3"/>
  <c r="O82" i="3" s="1"/>
  <c r="O83" i="3" s="1"/>
  <c r="L119" i="3"/>
  <c r="L120" i="3" s="1"/>
  <c r="L121" i="3" s="1"/>
  <c r="P146" i="3"/>
  <c r="P24" i="3"/>
  <c r="P60" i="3"/>
  <c r="P96" i="3"/>
  <c r="P97" i="3" s="1"/>
  <c r="P98" i="3" s="1"/>
  <c r="P162" i="3"/>
  <c r="P163" i="3" s="1"/>
  <c r="P164" i="3" s="1"/>
  <c r="P42" i="3"/>
  <c r="P43" i="3" s="1"/>
  <c r="P44" i="3" s="1"/>
  <c r="Q6" i="3"/>
  <c r="P130" i="3"/>
  <c r="P131" i="3" s="1"/>
  <c r="P132" i="3" s="1"/>
  <c r="P78" i="3"/>
  <c r="P79" i="3" s="1"/>
  <c r="P80" i="3" s="1"/>
  <c r="P114" i="3"/>
  <c r="P115" i="3" s="1"/>
  <c r="P116" i="3" s="1"/>
  <c r="P26" i="3"/>
  <c r="O151" i="3"/>
  <c r="O63" i="3"/>
  <c r="O64" i="3" s="1"/>
  <c r="N45" i="3"/>
  <c r="N165" i="3"/>
  <c r="N166" i="3" s="1"/>
  <c r="N167" i="3" s="1"/>
  <c r="F102" i="3"/>
  <c r="N136" i="3"/>
  <c r="N63" i="3"/>
  <c r="O149" i="3"/>
  <c r="O150" i="3"/>
  <c r="O165" i="3"/>
  <c r="O166" i="3"/>
  <c r="O133" i="3"/>
  <c r="O134" i="3" s="1"/>
  <c r="O117" i="3"/>
  <c r="O118" i="3" s="1"/>
  <c r="N137" i="3" l="1"/>
  <c r="O119" i="3"/>
  <c r="O135" i="3"/>
  <c r="O136" i="3" s="1"/>
  <c r="P99" i="3"/>
  <c r="P100" i="3" s="1"/>
  <c r="P61" i="3"/>
  <c r="P62" i="3" s="1"/>
  <c r="O47" i="3"/>
  <c r="O48" i="3" s="1"/>
  <c r="O49" i="3" s="1"/>
  <c r="P133" i="3"/>
  <c r="P134" i="3"/>
  <c r="P117" i="3"/>
  <c r="P118" i="3" s="1"/>
  <c r="P165" i="3"/>
  <c r="P166" i="3" s="1"/>
  <c r="M153" i="3"/>
  <c r="N151" i="3"/>
  <c r="O152" i="3"/>
  <c r="O153" i="3" s="1"/>
  <c r="N168" i="3"/>
  <c r="Q114" i="3"/>
  <c r="Q60" i="3"/>
  <c r="Q61" i="3" s="1"/>
  <c r="Q62" i="3" s="1"/>
  <c r="R6" i="3"/>
  <c r="Q42" i="3"/>
  <c r="Q162" i="3"/>
  <c r="Q96" i="3"/>
  <c r="Q97" i="3" s="1"/>
  <c r="Q98" i="3" s="1"/>
  <c r="Q130" i="3"/>
  <c r="Q131" i="3" s="1"/>
  <c r="Q132" i="3" s="1"/>
  <c r="Q146" i="3"/>
  <c r="Q147" i="3" s="1"/>
  <c r="Q148" i="3" s="1"/>
  <c r="Q24" i="3"/>
  <c r="Q26" i="3"/>
  <c r="Q78" i="3"/>
  <c r="Q79" i="3" s="1"/>
  <c r="Q80" i="3" s="1"/>
  <c r="N118" i="3"/>
  <c r="M101" i="3"/>
  <c r="P81" i="3"/>
  <c r="P82" i="3" s="1"/>
  <c r="P147" i="3"/>
  <c r="P148" i="3" s="1"/>
  <c r="P149" i="3" s="1"/>
  <c r="P150" i="3" s="1"/>
  <c r="M83" i="3"/>
  <c r="N64" i="3"/>
  <c r="N46" i="3"/>
  <c r="P45" i="3"/>
  <c r="P46" i="3" s="1"/>
  <c r="P47" i="3" s="1"/>
  <c r="O84" i="3"/>
  <c r="O85" i="3" s="1"/>
  <c r="O65" i="3"/>
  <c r="O66" i="3" s="1"/>
  <c r="O67" i="3" s="1"/>
  <c r="F103" i="3"/>
  <c r="M169" i="3"/>
  <c r="O99" i="3"/>
  <c r="O167" i="3"/>
  <c r="O168" i="3" s="1"/>
  <c r="O169" i="3" s="1"/>
  <c r="O137" i="3" l="1"/>
  <c r="P119" i="3"/>
  <c r="P120" i="3" s="1"/>
  <c r="P121" i="3" s="1"/>
  <c r="Q149" i="3"/>
  <c r="Q150" i="3"/>
  <c r="Q133" i="3"/>
  <c r="Q134" i="3" s="1"/>
  <c r="Q135" i="3" s="1"/>
  <c r="Q115" i="3"/>
  <c r="Q116" i="3" s="1"/>
  <c r="N119" i="3"/>
  <c r="P135" i="3"/>
  <c r="P83" i="3"/>
  <c r="P84" i="3" s="1"/>
  <c r="P85" i="3" s="1"/>
  <c r="Q99" i="3"/>
  <c r="Q100" i="3" s="1"/>
  <c r="Q101" i="3" s="1"/>
  <c r="N152" i="3"/>
  <c r="M84" i="3"/>
  <c r="Q163" i="3"/>
  <c r="Q164" i="3" s="1"/>
  <c r="N169" i="3"/>
  <c r="N153" i="3"/>
  <c r="P167" i="3"/>
  <c r="P168" i="3" s="1"/>
  <c r="N47" i="3"/>
  <c r="N48" i="3" s="1"/>
  <c r="Q43" i="3"/>
  <c r="Q44" i="3" s="1"/>
  <c r="P101" i="3"/>
  <c r="P102" i="3" s="1"/>
  <c r="O120" i="3"/>
  <c r="O121" i="3" s="1"/>
  <c r="P48" i="3"/>
  <c r="P49" i="3" s="1"/>
  <c r="M102" i="3"/>
  <c r="M103" i="3" s="1"/>
  <c r="Q81" i="3"/>
  <c r="Q82" i="3" s="1"/>
  <c r="R162" i="3"/>
  <c r="R163" i="3" s="1"/>
  <c r="R164" i="3" s="1"/>
  <c r="R26" i="3"/>
  <c r="R130" i="3"/>
  <c r="R131" i="3" s="1"/>
  <c r="R132" i="3" s="1"/>
  <c r="R146" i="3"/>
  <c r="R147" i="3" s="1"/>
  <c r="R148" i="3" s="1"/>
  <c r="S6" i="3"/>
  <c r="R42" i="3"/>
  <c r="R43" i="3" s="1"/>
  <c r="R44" i="3" s="1"/>
  <c r="R96" i="3"/>
  <c r="R97" i="3" s="1"/>
  <c r="R98" i="3" s="1"/>
  <c r="R60" i="3"/>
  <c r="R61" i="3" s="1"/>
  <c r="R62" i="3" s="1"/>
  <c r="R114" i="3"/>
  <c r="R115" i="3" s="1"/>
  <c r="R116" i="3" s="1"/>
  <c r="R78" i="3"/>
  <c r="R79" i="3" s="1"/>
  <c r="R80" i="3" s="1"/>
  <c r="R24" i="3"/>
  <c r="O100" i="3"/>
  <c r="N65" i="3"/>
  <c r="P151" i="3"/>
  <c r="Q63" i="3"/>
  <c r="Q64" i="3" s="1"/>
  <c r="Q65" i="3" s="1"/>
  <c r="P63" i="3"/>
  <c r="N49" i="3" l="1"/>
  <c r="P169" i="3"/>
  <c r="R165" i="3"/>
  <c r="R166" i="3"/>
  <c r="R117" i="3"/>
  <c r="R118" i="3" s="1"/>
  <c r="R149" i="3"/>
  <c r="R150" i="3"/>
  <c r="R133" i="3"/>
  <c r="R134" i="3" s="1"/>
  <c r="Q117" i="3"/>
  <c r="Q118" i="3" s="1"/>
  <c r="Q119" i="3" s="1"/>
  <c r="P152" i="3"/>
  <c r="P153" i="3" s="1"/>
  <c r="S130" i="3"/>
  <c r="S131" i="3" s="1"/>
  <c r="S132" i="3" s="1"/>
  <c r="T6" i="3"/>
  <c r="S114" i="3"/>
  <c r="S115" i="3" s="1"/>
  <c r="S116" i="3" s="1"/>
  <c r="S146" i="3"/>
  <c r="S147" i="3" s="1"/>
  <c r="S148" i="3" s="1"/>
  <c r="S162" i="3"/>
  <c r="S163" i="3" s="1"/>
  <c r="S164" i="3" s="1"/>
  <c r="S42" i="3"/>
  <c r="S43" i="3" s="1"/>
  <c r="S44" i="3" s="1"/>
  <c r="S24" i="3"/>
  <c r="S78" i="3"/>
  <c r="S79" i="3" s="1"/>
  <c r="S80" i="3" s="1"/>
  <c r="S26" i="3"/>
  <c r="S96" i="3"/>
  <c r="S97" i="3" s="1"/>
  <c r="S98" i="3" s="1"/>
  <c r="S60" i="3"/>
  <c r="S61" i="3" s="1"/>
  <c r="S62" i="3" s="1"/>
  <c r="R81" i="3"/>
  <c r="R82" i="3" s="1"/>
  <c r="R83" i="3" s="1"/>
  <c r="P103" i="3"/>
  <c r="R63" i="3"/>
  <c r="R64" i="3" s="1"/>
  <c r="Q45" i="3"/>
  <c r="N120" i="3"/>
  <c r="Q66" i="3"/>
  <c r="Q67" i="3" s="1"/>
  <c r="O101" i="3"/>
  <c r="R99" i="3"/>
  <c r="Q83" i="3"/>
  <c r="Q84" i="3" s="1"/>
  <c r="M85" i="3"/>
  <c r="N66" i="3"/>
  <c r="Q136" i="3"/>
  <c r="Q137" i="3" s="1"/>
  <c r="P64" i="3"/>
  <c r="R167" i="3"/>
  <c r="R45" i="3"/>
  <c r="R46" i="3" s="1"/>
  <c r="R47" i="3" s="1"/>
  <c r="Q102" i="3"/>
  <c r="P136" i="3"/>
  <c r="P137" i="3" s="1"/>
  <c r="Q165" i="3"/>
  <c r="Q166" i="3" s="1"/>
  <c r="Q167" i="3" s="1"/>
  <c r="Q151" i="3"/>
  <c r="O102" i="3" l="1"/>
  <c r="O103" i="3" s="1"/>
  <c r="R119" i="3"/>
  <c r="R135" i="3"/>
  <c r="R136" i="3" s="1"/>
  <c r="S99" i="3"/>
  <c r="S100" i="3" s="1"/>
  <c r="S101" i="3" s="1"/>
  <c r="Q103" i="3"/>
  <c r="S63" i="3"/>
  <c r="S64" i="3" s="1"/>
  <c r="Q152" i="3"/>
  <c r="Q153" i="3" s="1"/>
  <c r="S117" i="3"/>
  <c r="S118" i="3" s="1"/>
  <c r="S165" i="3"/>
  <c r="S166" i="3" s="1"/>
  <c r="S149" i="3"/>
  <c r="S150" i="3" s="1"/>
  <c r="S151" i="3" s="1"/>
  <c r="S133" i="3"/>
  <c r="S134" i="3"/>
  <c r="R168" i="3"/>
  <c r="R169" i="3"/>
  <c r="Q46" i="3"/>
  <c r="S45" i="3"/>
  <c r="S46" i="3" s="1"/>
  <c r="Q120" i="3"/>
  <c r="Q121" i="3"/>
  <c r="R151" i="3"/>
  <c r="R152" i="3" s="1"/>
  <c r="R65" i="3"/>
  <c r="R66" i="3" s="1"/>
  <c r="S81" i="3"/>
  <c r="S82" i="3" s="1"/>
  <c r="R48" i="3"/>
  <c r="R49" i="3" s="1"/>
  <c r="R100" i="3"/>
  <c r="Q168" i="3"/>
  <c r="Q169" i="3" s="1"/>
  <c r="R84" i="3"/>
  <c r="R85" i="3" s="1"/>
  <c r="P65" i="3"/>
  <c r="P66" i="3" s="1"/>
  <c r="P67" i="3" s="1"/>
  <c r="T130" i="3"/>
  <c r="T131" i="3" s="1"/>
  <c r="T132" i="3" s="1"/>
  <c r="T24" i="3"/>
  <c r="T146" i="3"/>
  <c r="T147" i="3" s="1"/>
  <c r="T148" i="3" s="1"/>
  <c r="T26" i="3"/>
  <c r="T78" i="3"/>
  <c r="T79" i="3" s="1"/>
  <c r="T80" i="3" s="1"/>
  <c r="U6" i="3"/>
  <c r="T42" i="3"/>
  <c r="T43" i="3" s="1"/>
  <c r="T44" i="3" s="1"/>
  <c r="T96" i="3"/>
  <c r="T97" i="3" s="1"/>
  <c r="T98" i="3" s="1"/>
  <c r="T162" i="3"/>
  <c r="T163" i="3" s="1"/>
  <c r="T164" i="3" s="1"/>
  <c r="T60" i="3"/>
  <c r="T61" i="3" s="1"/>
  <c r="T62" i="3" s="1"/>
  <c r="T114" i="3"/>
  <c r="T115" i="3" s="1"/>
  <c r="T116" i="3" s="1"/>
  <c r="N67" i="3"/>
  <c r="Q85" i="3"/>
  <c r="F36" i="3" s="1"/>
  <c r="N121" i="3"/>
  <c r="F37" i="3" l="1"/>
  <c r="S167" i="3"/>
  <c r="S168" i="3" s="1"/>
  <c r="S169" i="3" s="1"/>
  <c r="F35" i="3"/>
  <c r="U114" i="3"/>
  <c r="U115" i="3" s="1"/>
  <c r="U116" i="3" s="1"/>
  <c r="U60" i="3"/>
  <c r="U61" i="3" s="1"/>
  <c r="U62" i="3" s="1"/>
  <c r="U130" i="3"/>
  <c r="U131" i="3" s="1"/>
  <c r="U132" i="3" s="1"/>
  <c r="U78" i="3"/>
  <c r="U79" i="3" s="1"/>
  <c r="U80" i="3" s="1"/>
  <c r="U146" i="3"/>
  <c r="U147" i="3" s="1"/>
  <c r="U148" i="3" s="1"/>
  <c r="V6" i="3"/>
  <c r="U162" i="3"/>
  <c r="U163" i="3" s="1"/>
  <c r="U164" i="3" s="1"/>
  <c r="U42" i="3"/>
  <c r="U43" i="3" s="1"/>
  <c r="U44" i="3" s="1"/>
  <c r="U26" i="3"/>
  <c r="U96" i="3"/>
  <c r="U97" i="3" s="1"/>
  <c r="U98" i="3" s="1"/>
  <c r="U24" i="3"/>
  <c r="Q47" i="3"/>
  <c r="Q48" i="3" s="1"/>
  <c r="S152" i="3"/>
  <c r="S153" i="3" s="1"/>
  <c r="S65" i="3"/>
  <c r="S66" i="3" s="1"/>
  <c r="S67" i="3" s="1"/>
  <c r="S102" i="3"/>
  <c r="S103" i="3" s="1"/>
  <c r="R101" i="3"/>
  <c r="R137" i="3"/>
  <c r="T63" i="3"/>
  <c r="T64" i="3" s="1"/>
  <c r="T65" i="3" s="1"/>
  <c r="T81" i="3"/>
  <c r="T82" i="3" s="1"/>
  <c r="S83" i="3"/>
  <c r="S84" i="3" s="1"/>
  <c r="T99" i="3"/>
  <c r="S135" i="3"/>
  <c r="S136" i="3" s="1"/>
  <c r="S137" i="3" s="1"/>
  <c r="S47" i="3"/>
  <c r="S48" i="3" s="1"/>
  <c r="S49" i="3" s="1"/>
  <c r="R67" i="3"/>
  <c r="S119" i="3"/>
  <c r="S120" i="3" s="1"/>
  <c r="R153" i="3"/>
  <c r="R120" i="3"/>
  <c r="T149" i="3"/>
  <c r="T150" i="3" s="1"/>
  <c r="T117" i="3"/>
  <c r="T133" i="3"/>
  <c r="T134" i="3"/>
  <c r="T165" i="3"/>
  <c r="T166" i="3" s="1"/>
  <c r="T118" i="3"/>
  <c r="T45" i="3"/>
  <c r="T46" i="3" s="1"/>
  <c r="R102" i="3" l="1"/>
  <c r="R103" i="3" s="1"/>
  <c r="S85" i="3"/>
  <c r="T151" i="3"/>
  <c r="T167" i="3"/>
  <c r="T168" i="3" s="1"/>
  <c r="S121" i="3"/>
  <c r="V24" i="3"/>
  <c r="V146" i="3"/>
  <c r="V147" i="3" s="1"/>
  <c r="V148" i="3" s="1"/>
  <c r="V114" i="3"/>
  <c r="V115" i="3" s="1"/>
  <c r="V116" i="3" s="1"/>
  <c r="V130" i="3"/>
  <c r="V131" i="3" s="1"/>
  <c r="V132" i="3" s="1"/>
  <c r="V26" i="3"/>
  <c r="V162" i="3"/>
  <c r="V163" i="3" s="1"/>
  <c r="V164" i="3" s="1"/>
  <c r="W6" i="3"/>
  <c r="V42" i="3"/>
  <c r="V43" i="3" s="1"/>
  <c r="V44" i="3" s="1"/>
  <c r="V78" i="3"/>
  <c r="V79" i="3" s="1"/>
  <c r="V80" i="3" s="1"/>
  <c r="V60" i="3"/>
  <c r="V61" i="3" s="1"/>
  <c r="V62" i="3" s="1"/>
  <c r="V96" i="3"/>
  <c r="V97" i="3" s="1"/>
  <c r="V98" i="3" s="1"/>
  <c r="R121" i="3"/>
  <c r="U81" i="3"/>
  <c r="U82" i="3" s="1"/>
  <c r="U165" i="3"/>
  <c r="U166" i="3" s="1"/>
  <c r="U149" i="3"/>
  <c r="U150" i="3"/>
  <c r="U117" i="3"/>
  <c r="U118" i="3" s="1"/>
  <c r="U133" i="3"/>
  <c r="U134" i="3" s="1"/>
  <c r="T83" i="3"/>
  <c r="T84" i="3" s="1"/>
  <c r="Q49" i="3"/>
  <c r="U99" i="3"/>
  <c r="U100" i="3" s="1"/>
  <c r="U101" i="3" s="1"/>
  <c r="U63" i="3"/>
  <c r="U64" i="3" s="1"/>
  <c r="T119" i="3"/>
  <c r="T120" i="3" s="1"/>
  <c r="T135" i="3"/>
  <c r="T136" i="3" s="1"/>
  <c r="T66" i="3"/>
  <c r="T67" i="3" s="1"/>
  <c r="T47" i="3"/>
  <c r="U45" i="3"/>
  <c r="U46" i="3" s="1"/>
  <c r="T100" i="3"/>
  <c r="T121" i="3" l="1"/>
  <c r="T85" i="3"/>
  <c r="U135" i="3"/>
  <c r="U136" i="3" s="1"/>
  <c r="U119" i="3"/>
  <c r="U120" i="3" s="1"/>
  <c r="U121" i="3" s="1"/>
  <c r="U168" i="3"/>
  <c r="U169" i="3" s="1"/>
  <c r="U167" i="3"/>
  <c r="T101" i="3"/>
  <c r="T102" i="3" s="1"/>
  <c r="T169" i="3"/>
  <c r="T48" i="3"/>
  <c r="F34" i="3"/>
  <c r="V63" i="3"/>
  <c r="V64" i="3" s="1"/>
  <c r="U83" i="3"/>
  <c r="V81" i="3"/>
  <c r="V82" i="3" s="1"/>
  <c r="V83" i="3" s="1"/>
  <c r="V117" i="3"/>
  <c r="V133" i="3"/>
  <c r="V134" i="3" s="1"/>
  <c r="V135" i="3" s="1"/>
  <c r="V165" i="3"/>
  <c r="V166" i="3"/>
  <c r="V118" i="3"/>
  <c r="V119" i="3" s="1"/>
  <c r="V149" i="3"/>
  <c r="V150" i="3"/>
  <c r="T137" i="3"/>
  <c r="V45" i="3"/>
  <c r="V46" i="3" s="1"/>
  <c r="V47" i="3" s="1"/>
  <c r="T152" i="3"/>
  <c r="T153" i="3" s="1"/>
  <c r="V99" i="3"/>
  <c r="V100" i="3" s="1"/>
  <c r="V101" i="3" s="1"/>
  <c r="U151" i="3"/>
  <c r="U47" i="3"/>
  <c r="U65" i="3"/>
  <c r="W24" i="3"/>
  <c r="W96" i="3"/>
  <c r="W97" i="3" s="1"/>
  <c r="W98" i="3" s="1"/>
  <c r="W78" i="3"/>
  <c r="W79" i="3" s="1"/>
  <c r="W80" i="3" s="1"/>
  <c r="W114" i="3"/>
  <c r="W115" i="3" s="1"/>
  <c r="W116" i="3" s="1"/>
  <c r="W162" i="3"/>
  <c r="W163" i="3" s="1"/>
  <c r="W164" i="3" s="1"/>
  <c r="W130" i="3"/>
  <c r="W131" i="3" s="1"/>
  <c r="W132" i="3" s="1"/>
  <c r="X6" i="3"/>
  <c r="W42" i="3"/>
  <c r="W43" i="3" s="1"/>
  <c r="W44" i="3" s="1"/>
  <c r="W60" i="3"/>
  <c r="W61" i="3" s="1"/>
  <c r="W62" i="3" s="1"/>
  <c r="W146" i="3"/>
  <c r="W147" i="3" s="1"/>
  <c r="W148" i="3" s="1"/>
  <c r="W26" i="3"/>
  <c r="U102" i="3"/>
  <c r="U103" i="3" s="1"/>
  <c r="V167" i="3"/>
  <c r="U137" i="3" l="1"/>
  <c r="U152" i="3"/>
  <c r="U153" i="3" s="1"/>
  <c r="U66" i="3"/>
  <c r="U67" i="3" s="1"/>
  <c r="T103" i="3"/>
  <c r="X162" i="3"/>
  <c r="X163" i="3" s="1"/>
  <c r="X164" i="3" s="1"/>
  <c r="X42" i="3"/>
  <c r="X43" i="3" s="1"/>
  <c r="X44" i="3" s="1"/>
  <c r="Y6" i="3"/>
  <c r="X78" i="3"/>
  <c r="X79" i="3" s="1"/>
  <c r="X80" i="3" s="1"/>
  <c r="X130" i="3"/>
  <c r="X131" i="3" s="1"/>
  <c r="X132" i="3" s="1"/>
  <c r="X24" i="3"/>
  <c r="X60" i="3"/>
  <c r="X61" i="3" s="1"/>
  <c r="X62" i="3" s="1"/>
  <c r="X26" i="3"/>
  <c r="X114" i="3"/>
  <c r="X115" i="3" s="1"/>
  <c r="X116" i="3" s="1"/>
  <c r="X146" i="3"/>
  <c r="X147" i="3" s="1"/>
  <c r="X148" i="3" s="1"/>
  <c r="X96" i="3"/>
  <c r="X97" i="3" s="1"/>
  <c r="X98" i="3" s="1"/>
  <c r="W165" i="3"/>
  <c r="W166" i="3" s="1"/>
  <c r="W133" i="3"/>
  <c r="W134" i="3" s="1"/>
  <c r="W117" i="3"/>
  <c r="W118" i="3" s="1"/>
  <c r="W149" i="3"/>
  <c r="W150" i="3" s="1"/>
  <c r="V151" i="3"/>
  <c r="V152" i="3" s="1"/>
  <c r="V168" i="3"/>
  <c r="V169" i="3" s="1"/>
  <c r="W63" i="3"/>
  <c r="W64" i="3" s="1"/>
  <c r="W45" i="3"/>
  <c r="W46" i="3" s="1"/>
  <c r="V84" i="3"/>
  <c r="V85" i="3" s="1"/>
  <c r="T49" i="3"/>
  <c r="W81" i="3"/>
  <c r="W82" i="3" s="1"/>
  <c r="V102" i="3"/>
  <c r="V103" i="3" s="1"/>
  <c r="U48" i="3"/>
  <c r="U49" i="3" s="1"/>
  <c r="V65" i="3"/>
  <c r="V66" i="3" s="1"/>
  <c r="V67" i="3" s="1"/>
  <c r="V136" i="3"/>
  <c r="V137" i="3" s="1"/>
  <c r="V48" i="3"/>
  <c r="V49" i="3" s="1"/>
  <c r="V120" i="3"/>
  <c r="V121" i="3" s="1"/>
  <c r="W99" i="3"/>
  <c r="W100" i="3" s="1"/>
  <c r="W101" i="3" s="1"/>
  <c r="U84" i="3"/>
  <c r="U85" i="3" s="1"/>
  <c r="W151" i="3" l="1"/>
  <c r="W119" i="3"/>
  <c r="W120" i="3" s="1"/>
  <c r="W121" i="3" s="1"/>
  <c r="W135" i="3"/>
  <c r="W136" i="3" s="1"/>
  <c r="W167" i="3"/>
  <c r="W168" i="3" s="1"/>
  <c r="V153" i="3"/>
  <c r="X45" i="3"/>
  <c r="X46" i="3" s="1"/>
  <c r="X47" i="3" s="1"/>
  <c r="W47" i="3"/>
  <c r="W48" i="3" s="1"/>
  <c r="W65" i="3"/>
  <c r="W66" i="3" s="1"/>
  <c r="X149" i="3"/>
  <c r="X150" i="3" s="1"/>
  <c r="X151" i="3" s="1"/>
  <c r="X117" i="3"/>
  <c r="X118" i="3" s="1"/>
  <c r="X133" i="3"/>
  <c r="X134" i="3" s="1"/>
  <c r="X165" i="3"/>
  <c r="X166" i="3" s="1"/>
  <c r="X81" i="3"/>
  <c r="X82" i="3" s="1"/>
  <c r="X83" i="3" s="1"/>
  <c r="W83" i="3"/>
  <c r="W102" i="3"/>
  <c r="W103" i="3"/>
  <c r="X63" i="3"/>
  <c r="X64" i="3" s="1"/>
  <c r="X65" i="3" s="1"/>
  <c r="X99" i="3"/>
  <c r="X100" i="3" s="1"/>
  <c r="Y130" i="3"/>
  <c r="Y131" i="3" s="1"/>
  <c r="Y132" i="3" s="1"/>
  <c r="Y26" i="3"/>
  <c r="Y114" i="3"/>
  <c r="Y115" i="3" s="1"/>
  <c r="Y116" i="3" s="1"/>
  <c r="Y78" i="3"/>
  <c r="Y79" i="3" s="1"/>
  <c r="Y80" i="3" s="1"/>
  <c r="Y24" i="3"/>
  <c r="Y42" i="3"/>
  <c r="Y43" i="3" s="1"/>
  <c r="Y44" i="3" s="1"/>
  <c r="Y162" i="3"/>
  <c r="Y163" i="3" s="1"/>
  <c r="Y164" i="3" s="1"/>
  <c r="Y96" i="3"/>
  <c r="Y97" i="3" s="1"/>
  <c r="Y98" i="3" s="1"/>
  <c r="Y146" i="3"/>
  <c r="Y147" i="3" s="1"/>
  <c r="Y148" i="3" s="1"/>
  <c r="Z6" i="3"/>
  <c r="Y60" i="3"/>
  <c r="Y61" i="3" s="1"/>
  <c r="Y62" i="3" s="1"/>
  <c r="W137" i="3" l="1"/>
  <c r="W152" i="3"/>
  <c r="W153" i="3" s="1"/>
  <c r="X135" i="3"/>
  <c r="X136" i="3" s="1"/>
  <c r="X167" i="3"/>
  <c r="Y63" i="3"/>
  <c r="Y64" i="3" s="1"/>
  <c r="W67" i="3"/>
  <c r="Z162" i="3"/>
  <c r="Z163" i="3" s="1"/>
  <c r="Z164" i="3" s="1"/>
  <c r="Z96" i="3"/>
  <c r="Z97" i="3" s="1"/>
  <c r="Z98" i="3" s="1"/>
  <c r="Z26" i="3"/>
  <c r="Z60" i="3"/>
  <c r="Z61" i="3" s="1"/>
  <c r="Z62" i="3" s="1"/>
  <c r="Z24" i="3"/>
  <c r="Z42" i="3"/>
  <c r="Z43" i="3" s="1"/>
  <c r="Z44" i="3" s="1"/>
  <c r="Z130" i="3"/>
  <c r="Z131" i="3" s="1"/>
  <c r="Z132" i="3" s="1"/>
  <c r="Z78" i="3"/>
  <c r="Z79" i="3" s="1"/>
  <c r="Z80" i="3" s="1"/>
  <c r="Z114" i="3"/>
  <c r="Z115" i="3" s="1"/>
  <c r="Z116" i="3" s="1"/>
  <c r="Z146" i="3"/>
  <c r="Z147" i="3" s="1"/>
  <c r="Z148" i="3" s="1"/>
  <c r="AA6" i="3"/>
  <c r="W49" i="3"/>
  <c r="W169" i="3"/>
  <c r="Y81" i="3"/>
  <c r="Y82" i="3" s="1"/>
  <c r="Y151" i="3"/>
  <c r="X119" i="3"/>
  <c r="X120" i="3" s="1"/>
  <c r="Y99" i="3"/>
  <c r="Y100" i="3" s="1"/>
  <c r="W84" i="3"/>
  <c r="W85" i="3" s="1"/>
  <c r="X101" i="3"/>
  <c r="X102" i="3" s="1"/>
  <c r="Y45" i="3"/>
  <c r="Y46" i="3" s="1"/>
  <c r="Y47" i="3" s="1"/>
  <c r="X66" i="3"/>
  <c r="X67" i="3" s="1"/>
  <c r="Y165" i="3"/>
  <c r="Y117" i="3"/>
  <c r="Y166" i="3"/>
  <c r="Y118" i="3"/>
  <c r="Y133" i="3"/>
  <c r="Y134" i="3" s="1"/>
  <c r="Y135" i="3" s="1"/>
  <c r="Y149" i="3"/>
  <c r="Y150" i="3"/>
  <c r="X84" i="3"/>
  <c r="X85" i="3" s="1"/>
  <c r="X152" i="3"/>
  <c r="X153" i="3" s="1"/>
  <c r="X48" i="3"/>
  <c r="X49" i="3" s="1"/>
  <c r="X168" i="3" l="1"/>
  <c r="X169" i="3" s="1"/>
  <c r="X121" i="3"/>
  <c r="Z99" i="3"/>
  <c r="Z100" i="3" s="1"/>
  <c r="X103" i="3"/>
  <c r="Z81" i="3"/>
  <c r="Z82" i="3" s="1"/>
  <c r="Y120" i="3"/>
  <c r="Y121" i="3"/>
  <c r="Z63" i="3"/>
  <c r="Z64" i="3" s="1"/>
  <c r="Y167" i="3"/>
  <c r="AA162" i="3"/>
  <c r="AA163" i="3" s="1"/>
  <c r="AA164" i="3" s="1"/>
  <c r="AB6" i="3"/>
  <c r="AA96" i="3"/>
  <c r="AA97" i="3" s="1"/>
  <c r="AA98" i="3" s="1"/>
  <c r="AA24" i="3"/>
  <c r="AA60" i="3"/>
  <c r="AA61" i="3" s="1"/>
  <c r="AA62" i="3" s="1"/>
  <c r="AA26" i="3"/>
  <c r="AA42" i="3"/>
  <c r="AA43" i="3" s="1"/>
  <c r="AA44" i="3" s="1"/>
  <c r="AA130" i="3"/>
  <c r="AA131" i="3" s="1"/>
  <c r="AA132" i="3" s="1"/>
  <c r="AA114" i="3"/>
  <c r="AA115" i="3" s="1"/>
  <c r="AA116" i="3" s="1"/>
  <c r="AA146" i="3"/>
  <c r="AA147" i="3" s="1"/>
  <c r="AA148" i="3" s="1"/>
  <c r="AA78" i="3"/>
  <c r="AA79" i="3" s="1"/>
  <c r="AA80" i="3" s="1"/>
  <c r="X137" i="3"/>
  <c r="Y136" i="3"/>
  <c r="Y137" i="3" s="1"/>
  <c r="Z149" i="3"/>
  <c r="Z150" i="3" s="1"/>
  <c r="Z133" i="3"/>
  <c r="Z134" i="3" s="1"/>
  <c r="Z165" i="3"/>
  <c r="Z166" i="3"/>
  <c r="Z167" i="3" s="1"/>
  <c r="Z117" i="3"/>
  <c r="Z118" i="3" s="1"/>
  <c r="Y119" i="3"/>
  <c r="Y152" i="3"/>
  <c r="Y153" i="3" s="1"/>
  <c r="Y83" i="3"/>
  <c r="Y84" i="3" s="1"/>
  <c r="Y85" i="3" s="1"/>
  <c r="Y48" i="3"/>
  <c r="Y49" i="3" s="1"/>
  <c r="Y101" i="3"/>
  <c r="Z45" i="3"/>
  <c r="Z46" i="3" s="1"/>
  <c r="Y65" i="3"/>
  <c r="Y66" i="3" s="1"/>
  <c r="Y67" i="3" s="1"/>
  <c r="Y102" i="3" l="1"/>
  <c r="Y103" i="3" s="1"/>
  <c r="Z135" i="3"/>
  <c r="Z136" i="3" s="1"/>
  <c r="Z137" i="3" s="1"/>
  <c r="Z119" i="3"/>
  <c r="AA45" i="3"/>
  <c r="AA46" i="3" s="1"/>
  <c r="AA47" i="3" s="1"/>
  <c r="AA149" i="3"/>
  <c r="AA150" i="3" s="1"/>
  <c r="AA165" i="3"/>
  <c r="AA166" i="3" s="1"/>
  <c r="AA133" i="3"/>
  <c r="AA134" i="3" s="1"/>
  <c r="AA117" i="3"/>
  <c r="AA118" i="3" s="1"/>
  <c r="AA99" i="3"/>
  <c r="AA100" i="3" s="1"/>
  <c r="AA101" i="3" s="1"/>
  <c r="Y168" i="3"/>
  <c r="Y169" i="3" s="1"/>
  <c r="Z83" i="3"/>
  <c r="Z47" i="3"/>
  <c r="Z48" i="3" s="1"/>
  <c r="Z101" i="3"/>
  <c r="Z102" i="3" s="1"/>
  <c r="Z103" i="3" s="1"/>
  <c r="Z168" i="3"/>
  <c r="Z169" i="3" s="1"/>
  <c r="Z65" i="3"/>
  <c r="AA63" i="3"/>
  <c r="AA64" i="3" s="1"/>
  <c r="Z151" i="3"/>
  <c r="AA81" i="3"/>
  <c r="AA82" i="3" s="1"/>
  <c r="AB42" i="3"/>
  <c r="AB43" i="3" s="1"/>
  <c r="AB44" i="3" s="1"/>
  <c r="AC6" i="3"/>
  <c r="AB162" i="3"/>
  <c r="AB163" i="3" s="1"/>
  <c r="AB164" i="3" s="1"/>
  <c r="AB78" i="3"/>
  <c r="AB79" i="3" s="1"/>
  <c r="AB80" i="3" s="1"/>
  <c r="AB96" i="3"/>
  <c r="AB97" i="3" s="1"/>
  <c r="AB98" i="3" s="1"/>
  <c r="AB146" i="3"/>
  <c r="AB147" i="3" s="1"/>
  <c r="AB148" i="3" s="1"/>
  <c r="AB24" i="3"/>
  <c r="AB114" i="3"/>
  <c r="AB115" i="3" s="1"/>
  <c r="AB116" i="3" s="1"/>
  <c r="AB26" i="3"/>
  <c r="AB130" i="3"/>
  <c r="AB131" i="3" s="1"/>
  <c r="AB132" i="3" s="1"/>
  <c r="AB60" i="3"/>
  <c r="AB61" i="3" s="1"/>
  <c r="AB62" i="3" s="1"/>
  <c r="Z49" i="3" l="1"/>
  <c r="AA167" i="3"/>
  <c r="AA151" i="3"/>
  <c r="AA152" i="3" s="1"/>
  <c r="Z153" i="3"/>
  <c r="AA119" i="3"/>
  <c r="AA120" i="3" s="1"/>
  <c r="AA121" i="3" s="1"/>
  <c r="AA135" i="3"/>
  <c r="AA136" i="3" s="1"/>
  <c r="Z120" i="3"/>
  <c r="Z121" i="3" s="1"/>
  <c r="AA65" i="3"/>
  <c r="AB63" i="3"/>
  <c r="AB64" i="3" s="1"/>
  <c r="Z84" i="3"/>
  <c r="Z85" i="3" s="1"/>
  <c r="AC162" i="3"/>
  <c r="AC163" i="3" s="1"/>
  <c r="AC164" i="3" s="1"/>
  <c r="AC78" i="3"/>
  <c r="AC79" i="3" s="1"/>
  <c r="AC80" i="3" s="1"/>
  <c r="AC26" i="3"/>
  <c r="AD6" i="3"/>
  <c r="AC42" i="3"/>
  <c r="AC43" i="3" s="1"/>
  <c r="AC44" i="3" s="1"/>
  <c r="AC60" i="3"/>
  <c r="AC61" i="3" s="1"/>
  <c r="AC62" i="3" s="1"/>
  <c r="AC114" i="3"/>
  <c r="AC115" i="3" s="1"/>
  <c r="AC116" i="3" s="1"/>
  <c r="AC24" i="3"/>
  <c r="AC146" i="3"/>
  <c r="AC147" i="3" s="1"/>
  <c r="AC148" i="3" s="1"/>
  <c r="AC130" i="3"/>
  <c r="AC131" i="3" s="1"/>
  <c r="AC132" i="3" s="1"/>
  <c r="AC96" i="3"/>
  <c r="AC97" i="3" s="1"/>
  <c r="AC98" i="3" s="1"/>
  <c r="Z66" i="3"/>
  <c r="Z67" i="3" s="1"/>
  <c r="AB45" i="3"/>
  <c r="AB46" i="3" s="1"/>
  <c r="Z152" i="3"/>
  <c r="AB99" i="3"/>
  <c r="AB100" i="3" s="1"/>
  <c r="AB101" i="3" s="1"/>
  <c r="AB81" i="3"/>
  <c r="AB82" i="3" s="1"/>
  <c r="AA102" i="3"/>
  <c r="AA103" i="3" s="1"/>
  <c r="AB117" i="3"/>
  <c r="AB118" i="3" s="1"/>
  <c r="AB165" i="3"/>
  <c r="AB133" i="3"/>
  <c r="AB134" i="3" s="1"/>
  <c r="AB166" i="3"/>
  <c r="AB149" i="3"/>
  <c r="AB150" i="3" s="1"/>
  <c r="AA83" i="3"/>
  <c r="AA84" i="3" s="1"/>
  <c r="AA85" i="3" s="1"/>
  <c r="AA48" i="3"/>
  <c r="AA49" i="3"/>
  <c r="AB135" i="3" l="1"/>
  <c r="AB136" i="3" s="1"/>
  <c r="AB119" i="3"/>
  <c r="AB120" i="3" s="1"/>
  <c r="AB151" i="3"/>
  <c r="AB152" i="3" s="1"/>
  <c r="AC63" i="3"/>
  <c r="AC64" i="3" s="1"/>
  <c r="AA153" i="3"/>
  <c r="AB83" i="3"/>
  <c r="AB84" i="3" s="1"/>
  <c r="AC45" i="3"/>
  <c r="AC46" i="3" s="1"/>
  <c r="AA137" i="3"/>
  <c r="AC99" i="3"/>
  <c r="AC100" i="3" s="1"/>
  <c r="AA66" i="3"/>
  <c r="AA67" i="3" s="1"/>
  <c r="AA168" i="3"/>
  <c r="AA169" i="3" s="1"/>
  <c r="AC117" i="3"/>
  <c r="AC118" i="3"/>
  <c r="AC119" i="3" s="1"/>
  <c r="AC149" i="3"/>
  <c r="AC150" i="3" s="1"/>
  <c r="AC133" i="3"/>
  <c r="AC134" i="3" s="1"/>
  <c r="AC135" i="3" s="1"/>
  <c r="AC165" i="3"/>
  <c r="AC166" i="3"/>
  <c r="AC167" i="3" s="1"/>
  <c r="AB167" i="3"/>
  <c r="AB168" i="3" s="1"/>
  <c r="AB47" i="3"/>
  <c r="AB48" i="3" s="1"/>
  <c r="AB65" i="3"/>
  <c r="AB66" i="3" s="1"/>
  <c r="AB67" i="3" s="1"/>
  <c r="AB102" i="3"/>
  <c r="AB103" i="3" s="1"/>
  <c r="AD114" i="3"/>
  <c r="AD115" i="3" s="1"/>
  <c r="AD116" i="3" s="1"/>
  <c r="AD60" i="3"/>
  <c r="AD61" i="3" s="1"/>
  <c r="AD62" i="3" s="1"/>
  <c r="AD130" i="3"/>
  <c r="AD131" i="3" s="1"/>
  <c r="AD132" i="3" s="1"/>
  <c r="AE6" i="3"/>
  <c r="AD162" i="3"/>
  <c r="AD163" i="3" s="1"/>
  <c r="AD164" i="3" s="1"/>
  <c r="AD42" i="3"/>
  <c r="AD43" i="3" s="1"/>
  <c r="AD44" i="3" s="1"/>
  <c r="AD78" i="3"/>
  <c r="AD79" i="3" s="1"/>
  <c r="AD80" i="3" s="1"/>
  <c r="AD26" i="3"/>
  <c r="AD24" i="3"/>
  <c r="AD146" i="3"/>
  <c r="AD147" i="3" s="1"/>
  <c r="AD148" i="3" s="1"/>
  <c r="AD96" i="3"/>
  <c r="AD97" i="3" s="1"/>
  <c r="AD98" i="3" s="1"/>
  <c r="AC81" i="3"/>
  <c r="AC82" i="3" s="1"/>
  <c r="AC83" i="3" s="1"/>
  <c r="AB153" i="3" l="1"/>
  <c r="AB49" i="3"/>
  <c r="AC151" i="3"/>
  <c r="AC152" i="3" s="1"/>
  <c r="AB121" i="3"/>
  <c r="AE146" i="3"/>
  <c r="AE147" i="3" s="1"/>
  <c r="AE148" i="3" s="1"/>
  <c r="AE26" i="3"/>
  <c r="AE162" i="3"/>
  <c r="AE163" i="3" s="1"/>
  <c r="AE164" i="3" s="1"/>
  <c r="AE24" i="3"/>
  <c r="AE42" i="3"/>
  <c r="AE43" i="3" s="1"/>
  <c r="AE44" i="3" s="1"/>
  <c r="AE60" i="3"/>
  <c r="AE61" i="3" s="1"/>
  <c r="AE62" i="3" s="1"/>
  <c r="AF6" i="3"/>
  <c r="AE130" i="3"/>
  <c r="AE131" i="3" s="1"/>
  <c r="AE132" i="3" s="1"/>
  <c r="AE114" i="3"/>
  <c r="AE115" i="3" s="1"/>
  <c r="AE116" i="3" s="1"/>
  <c r="AE96" i="3"/>
  <c r="AE97" i="3" s="1"/>
  <c r="AE98" i="3" s="1"/>
  <c r="AE78" i="3"/>
  <c r="AE79" i="3" s="1"/>
  <c r="AE80" i="3" s="1"/>
  <c r="AD99" i="3"/>
  <c r="AD100" i="3" s="1"/>
  <c r="AD101" i="3" s="1"/>
  <c r="AC65" i="3"/>
  <c r="AD117" i="3"/>
  <c r="AD118" i="3" s="1"/>
  <c r="AD165" i="3"/>
  <c r="AD166" i="3" s="1"/>
  <c r="AD149" i="3"/>
  <c r="AD150" i="3"/>
  <c r="AD151" i="3" s="1"/>
  <c r="AD133" i="3"/>
  <c r="AD134" i="3"/>
  <c r="AD135" i="3" s="1"/>
  <c r="AB169" i="3"/>
  <c r="AD81" i="3"/>
  <c r="AD82" i="3" s="1"/>
  <c r="AD83" i="3" s="1"/>
  <c r="AB137" i="3"/>
  <c r="AC120" i="3"/>
  <c r="AC121" i="3" s="1"/>
  <c r="AC47" i="3"/>
  <c r="AC48" i="3" s="1"/>
  <c r="AC49" i="3" s="1"/>
  <c r="AD63" i="3"/>
  <c r="AD64" i="3" s="1"/>
  <c r="AC168" i="3"/>
  <c r="AC169" i="3"/>
  <c r="AB85" i="3"/>
  <c r="AC84" i="3"/>
  <c r="AC85" i="3" s="1"/>
  <c r="AD45" i="3"/>
  <c r="AD46" i="3" s="1"/>
  <c r="AD47" i="3" s="1"/>
  <c r="AC101" i="3"/>
  <c r="AC102" i="3" s="1"/>
  <c r="AC136" i="3"/>
  <c r="AC137" i="3" s="1"/>
  <c r="AD167" i="3" l="1"/>
  <c r="AD168" i="3" s="1"/>
  <c r="AD169" i="3" s="1"/>
  <c r="AD119" i="3"/>
  <c r="AD120" i="3" s="1"/>
  <c r="AD121" i="3" s="1"/>
  <c r="AE99" i="3"/>
  <c r="AE100" i="3" s="1"/>
  <c r="AE101" i="3" s="1"/>
  <c r="AE81" i="3"/>
  <c r="AE82" i="3" s="1"/>
  <c r="AD136" i="3"/>
  <c r="AD137" i="3"/>
  <c r="AE135" i="3"/>
  <c r="AE133" i="3"/>
  <c r="AE134" i="3"/>
  <c r="AE165" i="3"/>
  <c r="AE166" i="3" s="1"/>
  <c r="AE167" i="3" s="1"/>
  <c r="AE117" i="3"/>
  <c r="AE118" i="3"/>
  <c r="AE149" i="3"/>
  <c r="AE150" i="3" s="1"/>
  <c r="AD48" i="3"/>
  <c r="AD49" i="3" s="1"/>
  <c r="AD65" i="3"/>
  <c r="AD66" i="3" s="1"/>
  <c r="AC103" i="3"/>
  <c r="AC66" i="3"/>
  <c r="AC67" i="3" s="1"/>
  <c r="AF130" i="3"/>
  <c r="AF131" i="3" s="1"/>
  <c r="AF132" i="3" s="1"/>
  <c r="AF96" i="3"/>
  <c r="AF97" i="3" s="1"/>
  <c r="AF98" i="3" s="1"/>
  <c r="AF146" i="3"/>
  <c r="AF147" i="3" s="1"/>
  <c r="AF148" i="3" s="1"/>
  <c r="AF162" i="3"/>
  <c r="AF163" i="3" s="1"/>
  <c r="AF164" i="3" s="1"/>
  <c r="AF24" i="3"/>
  <c r="AF42" i="3"/>
  <c r="AF43" i="3" s="1"/>
  <c r="AF44" i="3" s="1"/>
  <c r="AG6" i="3"/>
  <c r="AF60" i="3"/>
  <c r="AF61" i="3" s="1"/>
  <c r="AF62" i="3" s="1"/>
  <c r="AF26" i="3"/>
  <c r="AF78" i="3"/>
  <c r="AF79" i="3" s="1"/>
  <c r="AF80" i="3" s="1"/>
  <c r="AF114" i="3"/>
  <c r="AF115" i="3" s="1"/>
  <c r="AF116" i="3" s="1"/>
  <c r="AD152" i="3"/>
  <c r="AD153" i="3" s="1"/>
  <c r="AE63" i="3"/>
  <c r="AE64" i="3" s="1"/>
  <c r="AC153" i="3"/>
  <c r="AD84" i="3"/>
  <c r="AD85" i="3" s="1"/>
  <c r="AD102" i="3"/>
  <c r="AD103" i="3" s="1"/>
  <c r="AE45" i="3"/>
  <c r="AE46" i="3" s="1"/>
  <c r="AE47" i="3" s="1"/>
  <c r="AE151" i="3" l="1"/>
  <c r="AE152" i="3" s="1"/>
  <c r="AE153" i="3" s="1"/>
  <c r="AF45" i="3"/>
  <c r="AF46" i="3" s="1"/>
  <c r="AF133" i="3"/>
  <c r="AF134" i="3" s="1"/>
  <c r="AF149" i="3"/>
  <c r="AF150" i="3" s="1"/>
  <c r="AF165" i="3"/>
  <c r="AF166" i="3" s="1"/>
  <c r="AF167" i="3" s="1"/>
  <c r="AF117" i="3"/>
  <c r="AF118" i="3"/>
  <c r="AF119" i="3" s="1"/>
  <c r="AD67" i="3"/>
  <c r="AG130" i="3"/>
  <c r="AG131" i="3" s="1"/>
  <c r="AG132" i="3" s="1"/>
  <c r="AH6" i="3"/>
  <c r="AG78" i="3"/>
  <c r="AG79" i="3" s="1"/>
  <c r="AG80" i="3" s="1"/>
  <c r="AG26" i="3"/>
  <c r="AG146" i="3"/>
  <c r="AG147" i="3" s="1"/>
  <c r="AG148" i="3" s="1"/>
  <c r="AG114" i="3"/>
  <c r="AG115" i="3" s="1"/>
  <c r="AG116" i="3" s="1"/>
  <c r="AG60" i="3"/>
  <c r="AG61" i="3" s="1"/>
  <c r="AG62" i="3" s="1"/>
  <c r="AG96" i="3"/>
  <c r="AG97" i="3" s="1"/>
  <c r="AG98" i="3" s="1"/>
  <c r="AG24" i="3"/>
  <c r="AG162" i="3"/>
  <c r="AG163" i="3" s="1"/>
  <c r="AG164" i="3" s="1"/>
  <c r="AG42" i="3"/>
  <c r="AG43" i="3" s="1"/>
  <c r="AG44" i="3" s="1"/>
  <c r="AE48" i="3"/>
  <c r="AE49" i="3"/>
  <c r="AE120" i="3"/>
  <c r="AE121" i="3" s="1"/>
  <c r="AF81" i="3"/>
  <c r="AF82" i="3" s="1"/>
  <c r="AF83" i="3" s="1"/>
  <c r="AF99" i="3"/>
  <c r="AF100" i="3" s="1"/>
  <c r="AF101" i="3" s="1"/>
  <c r="AE136" i="3"/>
  <c r="AE137" i="3" s="1"/>
  <c r="AE119" i="3"/>
  <c r="AE65" i="3"/>
  <c r="AE66" i="3" s="1"/>
  <c r="AE83" i="3"/>
  <c r="AE84" i="3" s="1"/>
  <c r="AE102" i="3"/>
  <c r="AE103" i="3" s="1"/>
  <c r="AF63" i="3"/>
  <c r="AF64" i="3" s="1"/>
  <c r="AF65" i="3" s="1"/>
  <c r="AE168" i="3"/>
  <c r="AE169" i="3" s="1"/>
  <c r="AF135" i="3" l="1"/>
  <c r="AF151" i="3"/>
  <c r="AF47" i="3"/>
  <c r="AE85" i="3"/>
  <c r="AG63" i="3"/>
  <c r="AG64" i="3" s="1"/>
  <c r="AG65" i="3" s="1"/>
  <c r="AF120" i="3"/>
  <c r="AF121" i="3" s="1"/>
  <c r="AF102" i="3"/>
  <c r="AF103" i="3" s="1"/>
  <c r="AF66" i="3"/>
  <c r="AF67" i="3" s="1"/>
  <c r="AF84" i="3"/>
  <c r="AF85" i="3" s="1"/>
  <c r="AE67" i="3"/>
  <c r="AG45" i="3"/>
  <c r="AG46" i="3" s="1"/>
  <c r="AG81" i="3"/>
  <c r="AG82" i="3" s="1"/>
  <c r="AG83" i="3" s="1"/>
  <c r="AG134" i="3"/>
  <c r="AG135" i="3" s="1"/>
  <c r="AG117" i="3"/>
  <c r="AG118" i="3"/>
  <c r="AG119" i="3" s="1"/>
  <c r="AG133" i="3"/>
  <c r="AG165" i="3"/>
  <c r="AG166" i="3"/>
  <c r="AG167" i="3" s="1"/>
  <c r="AG149" i="3"/>
  <c r="AG150" i="3"/>
  <c r="AG99" i="3"/>
  <c r="AG100" i="3" s="1"/>
  <c r="AH24" i="3"/>
  <c r="AH146" i="3"/>
  <c r="AH147" i="3" s="1"/>
  <c r="AH148" i="3" s="1"/>
  <c r="AH114" i="3"/>
  <c r="AH115" i="3" s="1"/>
  <c r="AH116" i="3" s="1"/>
  <c r="AH78" i="3"/>
  <c r="AH79" i="3" s="1"/>
  <c r="AH80" i="3" s="1"/>
  <c r="AH96" i="3"/>
  <c r="AH97" i="3" s="1"/>
  <c r="AH98" i="3" s="1"/>
  <c r="AH26" i="3"/>
  <c r="AI6" i="3"/>
  <c r="AH162" i="3"/>
  <c r="AH163" i="3" s="1"/>
  <c r="AH164" i="3" s="1"/>
  <c r="AH60" i="3"/>
  <c r="AH61" i="3" s="1"/>
  <c r="AH62" i="3" s="1"/>
  <c r="AH130" i="3"/>
  <c r="AH131" i="3" s="1"/>
  <c r="AH132" i="3" s="1"/>
  <c r="AH42" i="3"/>
  <c r="AH43" i="3" s="1"/>
  <c r="AH44" i="3" s="1"/>
  <c r="AF168" i="3"/>
  <c r="AF169" i="3"/>
  <c r="AF136" i="3" l="1"/>
  <c r="AF137" i="3" s="1"/>
  <c r="AF48" i="3"/>
  <c r="AF49" i="3" s="1"/>
  <c r="AF152" i="3"/>
  <c r="AF153" i="3" s="1"/>
  <c r="AI130" i="3"/>
  <c r="AI131" i="3" s="1"/>
  <c r="AI132" i="3" s="1"/>
  <c r="AI26" i="3"/>
  <c r="AI42" i="3"/>
  <c r="AI43" i="3" s="1"/>
  <c r="AI44" i="3" s="1"/>
  <c r="AI60" i="3"/>
  <c r="AI61" i="3" s="1"/>
  <c r="AI62" i="3" s="1"/>
  <c r="AI96" i="3"/>
  <c r="AI97" i="3" s="1"/>
  <c r="AI98" i="3" s="1"/>
  <c r="AI162" i="3"/>
  <c r="AI163" i="3" s="1"/>
  <c r="AI164" i="3" s="1"/>
  <c r="AI114" i="3"/>
  <c r="AI115" i="3" s="1"/>
  <c r="AI116" i="3" s="1"/>
  <c r="AI146" i="3"/>
  <c r="AI147" i="3" s="1"/>
  <c r="AI148" i="3" s="1"/>
  <c r="AI24" i="3"/>
  <c r="AI78" i="3"/>
  <c r="AI79" i="3" s="1"/>
  <c r="AI80" i="3" s="1"/>
  <c r="AJ6" i="3"/>
  <c r="AH81" i="3"/>
  <c r="AH82" i="3" s="1"/>
  <c r="AG168" i="3"/>
  <c r="AG169" i="3"/>
  <c r="AH99" i="3"/>
  <c r="AH100" i="3" s="1"/>
  <c r="AG136" i="3"/>
  <c r="AG137" i="3" s="1"/>
  <c r="AG84" i="3"/>
  <c r="AG85" i="3"/>
  <c r="AG66" i="3"/>
  <c r="AG67" i="3" s="1"/>
  <c r="AH45" i="3"/>
  <c r="AH46" i="3" s="1"/>
  <c r="AH63" i="3"/>
  <c r="AH64" i="3" s="1"/>
  <c r="AH149" i="3"/>
  <c r="AH150" i="3"/>
  <c r="AH151" i="3" s="1"/>
  <c r="AH117" i="3"/>
  <c r="AH118" i="3" s="1"/>
  <c r="AH134" i="3"/>
  <c r="AH135" i="3" s="1"/>
  <c r="AH165" i="3"/>
  <c r="AH166" i="3" s="1"/>
  <c r="AH133" i="3"/>
  <c r="AG47" i="3"/>
  <c r="AG120" i="3"/>
  <c r="AG121" i="3"/>
  <c r="AG101" i="3"/>
  <c r="AG102" i="3" s="1"/>
  <c r="AG151" i="3"/>
  <c r="AH167" i="3" l="1"/>
  <c r="AH168" i="3" s="1"/>
  <c r="AH119" i="3"/>
  <c r="AI45" i="3"/>
  <c r="AI46" i="3" s="1"/>
  <c r="AI47" i="3" s="1"/>
  <c r="AH136" i="3"/>
  <c r="AH137" i="3" s="1"/>
  <c r="AI165" i="3"/>
  <c r="AI166" i="3" s="1"/>
  <c r="AI133" i="3"/>
  <c r="AI134" i="3" s="1"/>
  <c r="AI149" i="3"/>
  <c r="AI150" i="3" s="1"/>
  <c r="AI117" i="3"/>
  <c r="AI118" i="3"/>
  <c r="AH152" i="3"/>
  <c r="AH153" i="3" s="1"/>
  <c r="AG103" i="3"/>
  <c r="AG152" i="3"/>
  <c r="AG153" i="3" s="1"/>
  <c r="AI81" i="3"/>
  <c r="AI82" i="3" s="1"/>
  <c r="AI83" i="3" s="1"/>
  <c r="AH47" i="3"/>
  <c r="AH48" i="3" s="1"/>
  <c r="AH49" i="3" s="1"/>
  <c r="AI119" i="3"/>
  <c r="AG48" i="3"/>
  <c r="AG49" i="3" s="1"/>
  <c r="AI99" i="3"/>
  <c r="AI100" i="3" s="1"/>
  <c r="AI101" i="3" s="1"/>
  <c r="AJ162" i="3"/>
  <c r="AJ163" i="3" s="1"/>
  <c r="AJ164" i="3" s="1"/>
  <c r="AJ42" i="3"/>
  <c r="AJ43" i="3" s="1"/>
  <c r="AJ44" i="3" s="1"/>
  <c r="AK6" i="3"/>
  <c r="AJ60" i="3"/>
  <c r="AJ61" i="3" s="1"/>
  <c r="AJ62" i="3" s="1"/>
  <c r="AJ24" i="3"/>
  <c r="AJ146" i="3"/>
  <c r="AJ147" i="3" s="1"/>
  <c r="AJ148" i="3" s="1"/>
  <c r="AJ78" i="3"/>
  <c r="AJ79" i="3" s="1"/>
  <c r="AJ80" i="3" s="1"/>
  <c r="AJ96" i="3"/>
  <c r="AJ97" i="3" s="1"/>
  <c r="AJ98" i="3" s="1"/>
  <c r="AJ26" i="3"/>
  <c r="AJ114" i="3"/>
  <c r="AJ115" i="3" s="1"/>
  <c r="AJ116" i="3" s="1"/>
  <c r="AJ130" i="3"/>
  <c r="AJ131" i="3" s="1"/>
  <c r="AJ132" i="3" s="1"/>
  <c r="AH101" i="3"/>
  <c r="AH102" i="3" s="1"/>
  <c r="AH65" i="3"/>
  <c r="AH66" i="3" s="1"/>
  <c r="AH83" i="3"/>
  <c r="AH84" i="3" s="1"/>
  <c r="AI63" i="3"/>
  <c r="AI64" i="3" s="1"/>
  <c r="AH103" i="3" l="1"/>
  <c r="AI151" i="3"/>
  <c r="AI152" i="3" s="1"/>
  <c r="AI167" i="3"/>
  <c r="AI135" i="3"/>
  <c r="AH85" i="3"/>
  <c r="AJ99" i="3"/>
  <c r="AJ100" i="3" s="1"/>
  <c r="AI102" i="3"/>
  <c r="AI103" i="3" s="1"/>
  <c r="AH120" i="3"/>
  <c r="AH121" i="3" s="1"/>
  <c r="AJ81" i="3"/>
  <c r="AJ82" i="3" s="1"/>
  <c r="AJ83" i="3" s="1"/>
  <c r="AJ149" i="3"/>
  <c r="AJ150" i="3" s="1"/>
  <c r="AJ117" i="3"/>
  <c r="AJ118" i="3" s="1"/>
  <c r="AJ165" i="3"/>
  <c r="AJ166" i="3" s="1"/>
  <c r="AJ167" i="3" s="1"/>
  <c r="AJ133" i="3"/>
  <c r="AJ134" i="3"/>
  <c r="AJ135" i="3" s="1"/>
  <c r="AI120" i="3"/>
  <c r="AI121" i="3" s="1"/>
  <c r="AJ63" i="3"/>
  <c r="AJ64" i="3" s="1"/>
  <c r="AJ65" i="3" s="1"/>
  <c r="AH169" i="3"/>
  <c r="AH67" i="3"/>
  <c r="AI65" i="3"/>
  <c r="AI66" i="3" s="1"/>
  <c r="AK96" i="3"/>
  <c r="AK97" i="3" s="1"/>
  <c r="AK98" i="3" s="1"/>
  <c r="AK114" i="3"/>
  <c r="AK115" i="3" s="1"/>
  <c r="AK116" i="3" s="1"/>
  <c r="AK26" i="3"/>
  <c r="AK130" i="3"/>
  <c r="AK131" i="3" s="1"/>
  <c r="AK132" i="3" s="1"/>
  <c r="AK42" i="3"/>
  <c r="AK43" i="3" s="1"/>
  <c r="AK44" i="3" s="1"/>
  <c r="AK78" i="3"/>
  <c r="AK79" i="3" s="1"/>
  <c r="AK80" i="3" s="1"/>
  <c r="AK146" i="3"/>
  <c r="AK147" i="3" s="1"/>
  <c r="AK148" i="3" s="1"/>
  <c r="AL6" i="3"/>
  <c r="AK162" i="3"/>
  <c r="AK163" i="3" s="1"/>
  <c r="AK164" i="3" s="1"/>
  <c r="AK60" i="3"/>
  <c r="AK61" i="3" s="1"/>
  <c r="AK62" i="3" s="1"/>
  <c r="AK24" i="3"/>
  <c r="AI48" i="3"/>
  <c r="AI49" i="3"/>
  <c r="AJ45" i="3"/>
  <c r="AJ46" i="3" s="1"/>
  <c r="AJ47" i="3" s="1"/>
  <c r="AI84" i="3"/>
  <c r="AI85" i="3" s="1"/>
  <c r="AI136" i="3" l="1"/>
  <c r="AI137" i="3" s="1"/>
  <c r="AJ119" i="3"/>
  <c r="AJ120" i="3" s="1"/>
  <c r="AJ121" i="3" s="1"/>
  <c r="AJ151" i="3"/>
  <c r="AI168" i="3"/>
  <c r="AI169" i="3" s="1"/>
  <c r="AK81" i="3"/>
  <c r="AK82" i="3" s="1"/>
  <c r="AK83" i="3" s="1"/>
  <c r="AI67" i="3"/>
  <c r="AJ136" i="3"/>
  <c r="AJ137" i="3" s="1"/>
  <c r="AK63" i="3"/>
  <c r="AK64" i="3" s="1"/>
  <c r="AK65" i="3" s="1"/>
  <c r="AJ101" i="3"/>
  <c r="AJ102" i="3" s="1"/>
  <c r="AI153" i="3"/>
  <c r="AJ66" i="3"/>
  <c r="AJ67" i="3" s="1"/>
  <c r="AK99" i="3"/>
  <c r="AK100" i="3" s="1"/>
  <c r="AJ48" i="3"/>
  <c r="AJ49" i="3" s="1"/>
  <c r="AL130" i="3"/>
  <c r="AL131" i="3" s="1"/>
  <c r="AL132" i="3" s="1"/>
  <c r="AL42" i="3"/>
  <c r="AL43" i="3" s="1"/>
  <c r="AL44" i="3" s="1"/>
  <c r="AM6" i="3"/>
  <c r="AL60" i="3"/>
  <c r="AL61" i="3" s="1"/>
  <c r="AL62" i="3" s="1"/>
  <c r="AL24" i="3"/>
  <c r="AL78" i="3"/>
  <c r="AL79" i="3" s="1"/>
  <c r="AL80" i="3" s="1"/>
  <c r="AL162" i="3"/>
  <c r="AL163" i="3" s="1"/>
  <c r="AL164" i="3" s="1"/>
  <c r="AL26" i="3"/>
  <c r="AL96" i="3"/>
  <c r="AL97" i="3" s="1"/>
  <c r="AL98" i="3" s="1"/>
  <c r="AL114" i="3"/>
  <c r="AL115" i="3" s="1"/>
  <c r="AL116" i="3" s="1"/>
  <c r="AL146" i="3"/>
  <c r="AL147" i="3" s="1"/>
  <c r="AL148" i="3" s="1"/>
  <c r="AJ168" i="3"/>
  <c r="AJ169" i="3" s="1"/>
  <c r="AJ84" i="3"/>
  <c r="AJ85" i="3"/>
  <c r="AK45" i="3"/>
  <c r="AK46" i="3" s="1"/>
  <c r="AK166" i="3"/>
  <c r="AK117" i="3"/>
  <c r="AK118" i="3" s="1"/>
  <c r="AK133" i="3"/>
  <c r="AK134" i="3" s="1"/>
  <c r="AK165" i="3"/>
  <c r="AK149" i="3"/>
  <c r="AK150" i="3"/>
  <c r="AK151" i="3" s="1"/>
  <c r="AK119" i="3" l="1"/>
  <c r="AK120" i="3" s="1"/>
  <c r="AM114" i="3"/>
  <c r="AM115" i="3" s="1"/>
  <c r="AM116" i="3" s="1"/>
  <c r="AM42" i="3"/>
  <c r="AM43" i="3" s="1"/>
  <c r="AM44" i="3" s="1"/>
  <c r="AM146" i="3"/>
  <c r="AM147" i="3" s="1"/>
  <c r="AM148" i="3" s="1"/>
  <c r="AM130" i="3"/>
  <c r="AM131" i="3" s="1"/>
  <c r="AM132" i="3" s="1"/>
  <c r="AM162" i="3"/>
  <c r="AM163" i="3" s="1"/>
  <c r="AM164" i="3" s="1"/>
  <c r="AM24" i="3"/>
  <c r="AM96" i="3"/>
  <c r="AM97" i="3" s="1"/>
  <c r="AM98" i="3" s="1"/>
  <c r="AN6" i="3"/>
  <c r="AM60" i="3"/>
  <c r="AM61" i="3" s="1"/>
  <c r="AM62" i="3" s="1"/>
  <c r="AM78" i="3"/>
  <c r="AM79" i="3" s="1"/>
  <c r="AM80" i="3" s="1"/>
  <c r="AM26" i="3"/>
  <c r="AL45" i="3"/>
  <c r="AL46" i="3" s="1"/>
  <c r="AL47" i="3" s="1"/>
  <c r="AJ152" i="3"/>
  <c r="AJ153" i="3" s="1"/>
  <c r="AL135" i="3"/>
  <c r="AK84" i="3"/>
  <c r="AK85" i="3" s="1"/>
  <c r="AL81" i="3"/>
  <c r="AL82" i="3" s="1"/>
  <c r="AJ103" i="3"/>
  <c r="AK152" i="3"/>
  <c r="AK153" i="3" s="1"/>
  <c r="AL99" i="3"/>
  <c r="AL100" i="3" s="1"/>
  <c r="AK135" i="3"/>
  <c r="AK47" i="3"/>
  <c r="AL149" i="3"/>
  <c r="AL150" i="3"/>
  <c r="AL165" i="3"/>
  <c r="AL166" i="3" s="1"/>
  <c r="AL167" i="3" s="1"/>
  <c r="AL133" i="3"/>
  <c r="AL134" i="3"/>
  <c r="AL117" i="3"/>
  <c r="AL118" i="3"/>
  <c r="AK101" i="3"/>
  <c r="AK102" i="3" s="1"/>
  <c r="AK66" i="3"/>
  <c r="AK67" i="3"/>
  <c r="AK167" i="3"/>
  <c r="AK168" i="3" s="1"/>
  <c r="AK169" i="3" s="1"/>
  <c r="AL151" i="3"/>
  <c r="AL63" i="3"/>
  <c r="AL64" i="3" s="1"/>
  <c r="AK103" i="3" l="1"/>
  <c r="AM45" i="3"/>
  <c r="AM46" i="3" s="1"/>
  <c r="AM47" i="3" s="1"/>
  <c r="AL136" i="3"/>
  <c r="AL137" i="3"/>
  <c r="AK48" i="3"/>
  <c r="AK49" i="3" s="1"/>
  <c r="AL101" i="3"/>
  <c r="AL102" i="3" s="1"/>
  <c r="AK136" i="3"/>
  <c r="AK137" i="3" s="1"/>
  <c r="AM99" i="3"/>
  <c r="AM100" i="3" s="1"/>
  <c r="AM101" i="3" s="1"/>
  <c r="AL168" i="3"/>
  <c r="AL169" i="3" s="1"/>
  <c r="AL119" i="3"/>
  <c r="AL120" i="3" s="1"/>
  <c r="AM63" i="3"/>
  <c r="AM64" i="3" s="1"/>
  <c r="AM65" i="3" s="1"/>
  <c r="AL83" i="3"/>
  <c r="AL84" i="3" s="1"/>
  <c r="AL85" i="3" s="1"/>
  <c r="AM149" i="3"/>
  <c r="AM150" i="3" s="1"/>
  <c r="AM165" i="3"/>
  <c r="AM166" i="3" s="1"/>
  <c r="AM117" i="3"/>
  <c r="AM118" i="3" s="1"/>
  <c r="AM133" i="3"/>
  <c r="AM134" i="3" s="1"/>
  <c r="AK121" i="3"/>
  <c r="AL65" i="3"/>
  <c r="AM81" i="3"/>
  <c r="AM82" i="3" s="1"/>
  <c r="AM83" i="3" s="1"/>
  <c r="AN60" i="3"/>
  <c r="AN61" i="3" s="1"/>
  <c r="AN62" i="3" s="1"/>
  <c r="AN42" i="3"/>
  <c r="AN43" i="3" s="1"/>
  <c r="AN44" i="3" s="1"/>
  <c r="AN114" i="3"/>
  <c r="AN115" i="3" s="1"/>
  <c r="AN116" i="3" s="1"/>
  <c r="AN146" i="3"/>
  <c r="AN147" i="3" s="1"/>
  <c r="AN148" i="3" s="1"/>
  <c r="AN78" i="3"/>
  <c r="AN79" i="3" s="1"/>
  <c r="AN80" i="3" s="1"/>
  <c r="AN130" i="3"/>
  <c r="AN131" i="3" s="1"/>
  <c r="AN132" i="3" s="1"/>
  <c r="AN26" i="3"/>
  <c r="AN162" i="3"/>
  <c r="AN163" i="3" s="1"/>
  <c r="AN164" i="3" s="1"/>
  <c r="AN24" i="3"/>
  <c r="AO6" i="3"/>
  <c r="AN96" i="3"/>
  <c r="AN97" i="3" s="1"/>
  <c r="AN98" i="3" s="1"/>
  <c r="AL152" i="3"/>
  <c r="AL153" i="3"/>
  <c r="AL48" i="3"/>
  <c r="AL49" i="3" s="1"/>
  <c r="AL121" i="3" l="1"/>
  <c r="AL103" i="3"/>
  <c r="AM135" i="3"/>
  <c r="AM119" i="3"/>
  <c r="AM120" i="3" s="1"/>
  <c r="AM167" i="3"/>
  <c r="AM168" i="3" s="1"/>
  <c r="AM169" i="3" s="1"/>
  <c r="AM84" i="3"/>
  <c r="AM85" i="3" s="1"/>
  <c r="AN99" i="3"/>
  <c r="AN100" i="3" s="1"/>
  <c r="AL66" i="3"/>
  <c r="AL67" i="3" s="1"/>
  <c r="AO42" i="3"/>
  <c r="AO43" i="3" s="1"/>
  <c r="AO44" i="3" s="1"/>
  <c r="AP6" i="3"/>
  <c r="AO162" i="3"/>
  <c r="AO163" i="3" s="1"/>
  <c r="AO164" i="3" s="1"/>
  <c r="AO96" i="3"/>
  <c r="AO97" i="3" s="1"/>
  <c r="AO98" i="3" s="1"/>
  <c r="AO60" i="3"/>
  <c r="AO61" i="3" s="1"/>
  <c r="AO62" i="3" s="1"/>
  <c r="AO24" i="3"/>
  <c r="AO114" i="3"/>
  <c r="AO115" i="3" s="1"/>
  <c r="AO116" i="3" s="1"/>
  <c r="AO78" i="3"/>
  <c r="AO79" i="3" s="1"/>
  <c r="AO80" i="3" s="1"/>
  <c r="AO130" i="3"/>
  <c r="AO131" i="3" s="1"/>
  <c r="AO132" i="3" s="1"/>
  <c r="AO146" i="3"/>
  <c r="AO147" i="3" s="1"/>
  <c r="AO148" i="3" s="1"/>
  <c r="AO26" i="3"/>
  <c r="AN45" i="3"/>
  <c r="AN46" i="3" s="1"/>
  <c r="AM151" i="3"/>
  <c r="AN81" i="3"/>
  <c r="AN82" i="3" s="1"/>
  <c r="AM102" i="3"/>
  <c r="AM103" i="3"/>
  <c r="AN133" i="3"/>
  <c r="AN134" i="3" s="1"/>
  <c r="AN165" i="3"/>
  <c r="AN166" i="3" s="1"/>
  <c r="AN117" i="3"/>
  <c r="AN118" i="3"/>
  <c r="AN149" i="3"/>
  <c r="AN150" i="3" s="1"/>
  <c r="AN63" i="3"/>
  <c r="AN64" i="3" s="1"/>
  <c r="AM66" i="3"/>
  <c r="AM67" i="3" s="1"/>
  <c r="AM48" i="3"/>
  <c r="AM49" i="3" s="1"/>
  <c r="AM152" i="3" l="1"/>
  <c r="AM153" i="3" s="1"/>
  <c r="AN135" i="3"/>
  <c r="AN136" i="3" s="1"/>
  <c r="AN151" i="3"/>
  <c r="AO99" i="3"/>
  <c r="AO100" i="3" s="1"/>
  <c r="AO81" i="3"/>
  <c r="AO82" i="3" s="1"/>
  <c r="AO83" i="3" s="1"/>
  <c r="AN47" i="3"/>
  <c r="AN48" i="3" s="1"/>
  <c r="AN49" i="3" s="1"/>
  <c r="AM121" i="3"/>
  <c r="AN119" i="3"/>
  <c r="AN120" i="3" s="1"/>
  <c r="AM136" i="3"/>
  <c r="AM137" i="3" s="1"/>
  <c r="AO63" i="3"/>
  <c r="AO64" i="3" s="1"/>
  <c r="AN65" i="3"/>
  <c r="AN66" i="3" s="1"/>
  <c r="AN67" i="3" s="1"/>
  <c r="AQ6" i="3"/>
  <c r="AP114" i="3"/>
  <c r="AP115" i="3" s="1"/>
  <c r="AP116" i="3" s="1"/>
  <c r="AP60" i="3"/>
  <c r="AP61" i="3" s="1"/>
  <c r="AP62" i="3" s="1"/>
  <c r="AP26" i="3"/>
  <c r="AP146" i="3"/>
  <c r="AP147" i="3" s="1"/>
  <c r="AP148" i="3" s="1"/>
  <c r="AP162" i="3"/>
  <c r="AP163" i="3" s="1"/>
  <c r="AP164" i="3" s="1"/>
  <c r="AP24" i="3"/>
  <c r="AP96" i="3"/>
  <c r="AP97" i="3" s="1"/>
  <c r="AP98" i="3" s="1"/>
  <c r="AP42" i="3"/>
  <c r="AP43" i="3" s="1"/>
  <c r="AP44" i="3" s="1"/>
  <c r="AP130" i="3"/>
  <c r="AP131" i="3" s="1"/>
  <c r="AP132" i="3" s="1"/>
  <c r="AP78" i="3"/>
  <c r="AP79" i="3" s="1"/>
  <c r="AP80" i="3" s="1"/>
  <c r="AO45" i="3"/>
  <c r="AO46" i="3" s="1"/>
  <c r="AN83" i="3"/>
  <c r="AN84" i="3" s="1"/>
  <c r="AN167" i="3"/>
  <c r="AO149" i="3"/>
  <c r="AO150" i="3"/>
  <c r="AO165" i="3"/>
  <c r="AO166" i="3" s="1"/>
  <c r="AO133" i="3"/>
  <c r="AO134" i="3"/>
  <c r="AO117" i="3"/>
  <c r="AO118" i="3" s="1"/>
  <c r="AN101" i="3"/>
  <c r="AN102" i="3" s="1"/>
  <c r="AN137" i="3" l="1"/>
  <c r="AN103" i="3"/>
  <c r="AO167" i="3"/>
  <c r="AO168" i="3" s="1"/>
  <c r="AO169" i="3" s="1"/>
  <c r="AO119" i="3"/>
  <c r="AO120" i="3" s="1"/>
  <c r="AO121" i="3" s="1"/>
  <c r="AN153" i="3"/>
  <c r="AP63" i="3"/>
  <c r="AP64" i="3" s="1"/>
  <c r="AP65" i="3" s="1"/>
  <c r="AP99" i="3"/>
  <c r="AP100" i="3" s="1"/>
  <c r="AN168" i="3"/>
  <c r="AN169" i="3" s="1"/>
  <c r="AN121" i="3"/>
  <c r="AN152" i="3"/>
  <c r="AN85" i="3"/>
  <c r="AO151" i="3"/>
  <c r="AO152" i="3" s="1"/>
  <c r="AP81" i="3"/>
  <c r="AP82" i="3" s="1"/>
  <c r="AP83" i="3" s="1"/>
  <c r="AP45" i="3"/>
  <c r="AP46" i="3" s="1"/>
  <c r="AP47" i="3" s="1"/>
  <c r="AQ130" i="3"/>
  <c r="AQ131" i="3" s="1"/>
  <c r="AQ132" i="3" s="1"/>
  <c r="AR6" i="3"/>
  <c r="AQ42" i="3"/>
  <c r="AQ43" i="3" s="1"/>
  <c r="AQ44" i="3" s="1"/>
  <c r="AQ60" i="3"/>
  <c r="AQ61" i="3" s="1"/>
  <c r="AQ62" i="3" s="1"/>
  <c r="AQ24" i="3"/>
  <c r="AQ26" i="3"/>
  <c r="AQ78" i="3"/>
  <c r="AQ79" i="3" s="1"/>
  <c r="AQ80" i="3" s="1"/>
  <c r="AQ162" i="3"/>
  <c r="AQ163" i="3" s="1"/>
  <c r="AQ164" i="3" s="1"/>
  <c r="AQ146" i="3"/>
  <c r="AQ147" i="3" s="1"/>
  <c r="AQ148" i="3" s="1"/>
  <c r="AQ114" i="3"/>
  <c r="AQ115" i="3" s="1"/>
  <c r="AQ116" i="3" s="1"/>
  <c r="AQ96" i="3"/>
  <c r="AQ97" i="3" s="1"/>
  <c r="AQ98" i="3" s="1"/>
  <c r="AO135" i="3"/>
  <c r="AO136" i="3" s="1"/>
  <c r="AP133" i="3"/>
  <c r="AP134" i="3"/>
  <c r="AP149" i="3"/>
  <c r="AP150" i="3" s="1"/>
  <c r="AP151" i="3" s="1"/>
  <c r="AP165" i="3"/>
  <c r="AP166" i="3"/>
  <c r="AP117" i="3"/>
  <c r="AP118" i="3" s="1"/>
  <c r="AP167" i="3"/>
  <c r="AO47" i="3"/>
  <c r="AO65" i="3"/>
  <c r="AO66" i="3" s="1"/>
  <c r="AO67" i="3" s="1"/>
  <c r="AO101" i="3"/>
  <c r="AO102" i="3" s="1"/>
  <c r="AO103" i="3" s="1"/>
  <c r="AO84" i="3"/>
  <c r="AO85" i="3"/>
  <c r="AO153" i="3" l="1"/>
  <c r="AP119" i="3"/>
  <c r="AQ117" i="3"/>
  <c r="AQ118" i="3"/>
  <c r="AQ165" i="3"/>
  <c r="AQ166" i="3" s="1"/>
  <c r="AQ133" i="3"/>
  <c r="AQ134" i="3" s="1"/>
  <c r="AQ149" i="3"/>
  <c r="AQ150" i="3" s="1"/>
  <c r="AP84" i="3"/>
  <c r="AP85" i="3" s="1"/>
  <c r="AO48" i="3"/>
  <c r="AO49" i="3" s="1"/>
  <c r="AP152" i="3"/>
  <c r="AP153" i="3" s="1"/>
  <c r="AQ63" i="3"/>
  <c r="AQ64" i="3" s="1"/>
  <c r="AQ45" i="3"/>
  <c r="AQ46" i="3" s="1"/>
  <c r="AQ47" i="3" s="1"/>
  <c r="AO137" i="3"/>
  <c r="AQ99" i="3"/>
  <c r="AQ100" i="3" s="1"/>
  <c r="AP101" i="3"/>
  <c r="AP102" i="3" s="1"/>
  <c r="AP168" i="3"/>
  <c r="AP169" i="3" s="1"/>
  <c r="AR130" i="3"/>
  <c r="AR131" i="3" s="1"/>
  <c r="AR132" i="3" s="1"/>
  <c r="AR42" i="3"/>
  <c r="AR43" i="3" s="1"/>
  <c r="AR44" i="3" s="1"/>
  <c r="AS6" i="3"/>
  <c r="AR114" i="3"/>
  <c r="AR115" i="3" s="1"/>
  <c r="AR116" i="3" s="1"/>
  <c r="AR24" i="3"/>
  <c r="AR96" i="3"/>
  <c r="AR97" i="3" s="1"/>
  <c r="AR98" i="3" s="1"/>
  <c r="AR26" i="3"/>
  <c r="AR78" i="3"/>
  <c r="AR79" i="3" s="1"/>
  <c r="AR80" i="3" s="1"/>
  <c r="AR162" i="3"/>
  <c r="AR163" i="3" s="1"/>
  <c r="AR164" i="3" s="1"/>
  <c r="AR146" i="3"/>
  <c r="AR147" i="3" s="1"/>
  <c r="AR148" i="3" s="1"/>
  <c r="AR60" i="3"/>
  <c r="AR61" i="3" s="1"/>
  <c r="AR62" i="3" s="1"/>
  <c r="AP48" i="3"/>
  <c r="AP49" i="3" s="1"/>
  <c r="AP135" i="3"/>
  <c r="AP66" i="3"/>
  <c r="AP67" i="3" s="1"/>
  <c r="AQ81" i="3"/>
  <c r="AQ82" i="3" s="1"/>
  <c r="AP136" i="3" l="1"/>
  <c r="AP137" i="3" s="1"/>
  <c r="AP120" i="3"/>
  <c r="AP121" i="3" s="1"/>
  <c r="AQ151" i="3"/>
  <c r="AQ152" i="3" s="1"/>
  <c r="AQ153" i="3" s="1"/>
  <c r="AQ135" i="3"/>
  <c r="AQ136" i="3" s="1"/>
  <c r="AQ167" i="3"/>
  <c r="AQ168" i="3" s="1"/>
  <c r="AQ169" i="3" s="1"/>
  <c r="AR99" i="3"/>
  <c r="AR100" i="3" s="1"/>
  <c r="AP103" i="3"/>
  <c r="AQ83" i="3"/>
  <c r="AQ101" i="3"/>
  <c r="AQ102" i="3" s="1"/>
  <c r="AR63" i="3"/>
  <c r="AR64" i="3" s="1"/>
  <c r="AR65" i="3" s="1"/>
  <c r="AS78" i="3"/>
  <c r="AS79" i="3" s="1"/>
  <c r="AS80" i="3" s="1"/>
  <c r="AT6" i="3"/>
  <c r="AS24" i="3"/>
  <c r="AS162" i="3"/>
  <c r="AS163" i="3" s="1"/>
  <c r="AS164" i="3" s="1"/>
  <c r="AS60" i="3"/>
  <c r="AS61" i="3" s="1"/>
  <c r="AS62" i="3" s="1"/>
  <c r="AS130" i="3"/>
  <c r="AS131" i="3" s="1"/>
  <c r="AS132" i="3" s="1"/>
  <c r="AS96" i="3"/>
  <c r="AS97" i="3" s="1"/>
  <c r="AS98" i="3" s="1"/>
  <c r="AS146" i="3"/>
  <c r="AS147" i="3" s="1"/>
  <c r="AS148" i="3" s="1"/>
  <c r="AS26" i="3"/>
  <c r="AS42" i="3"/>
  <c r="AS43" i="3" s="1"/>
  <c r="AS44" i="3" s="1"/>
  <c r="AS114" i="3"/>
  <c r="AS115" i="3" s="1"/>
  <c r="AS116" i="3" s="1"/>
  <c r="AR45" i="3"/>
  <c r="AR46" i="3" s="1"/>
  <c r="AQ65" i="3"/>
  <c r="AQ66" i="3" s="1"/>
  <c r="AQ67" i="3" s="1"/>
  <c r="AR81" i="3"/>
  <c r="AR82" i="3" s="1"/>
  <c r="AQ119" i="3"/>
  <c r="AQ120" i="3" s="1"/>
  <c r="AR165" i="3"/>
  <c r="AR166" i="3" s="1"/>
  <c r="AR117" i="3"/>
  <c r="AR118" i="3" s="1"/>
  <c r="AR119" i="3" s="1"/>
  <c r="AR149" i="3"/>
  <c r="AR150" i="3"/>
  <c r="AR133" i="3"/>
  <c r="AR134" i="3" s="1"/>
  <c r="AQ48" i="3"/>
  <c r="AQ49" i="3" s="1"/>
  <c r="AQ84" i="3" l="1"/>
  <c r="AQ85" i="3" s="1"/>
  <c r="AR135" i="3"/>
  <c r="AR136" i="3" s="1"/>
  <c r="AR167" i="3"/>
  <c r="AR168" i="3" s="1"/>
  <c r="AS165" i="3"/>
  <c r="AS166" i="3"/>
  <c r="AS167" i="3" s="1"/>
  <c r="AS117" i="3"/>
  <c r="AS118" i="3" s="1"/>
  <c r="AS149" i="3"/>
  <c r="AS150" i="3" s="1"/>
  <c r="AS133" i="3"/>
  <c r="AS134" i="3" s="1"/>
  <c r="AQ103" i="3"/>
  <c r="AQ137" i="3"/>
  <c r="AR83" i="3"/>
  <c r="AR84" i="3" s="1"/>
  <c r="AR85" i="3" s="1"/>
  <c r="AS45" i="3"/>
  <c r="AS46" i="3" s="1"/>
  <c r="AS47" i="3" s="1"/>
  <c r="AU6" i="3"/>
  <c r="AT162" i="3"/>
  <c r="AT163" i="3" s="1"/>
  <c r="AT164" i="3" s="1"/>
  <c r="AT42" i="3"/>
  <c r="AT43" i="3" s="1"/>
  <c r="AT44" i="3" s="1"/>
  <c r="AT60" i="3"/>
  <c r="AT61" i="3" s="1"/>
  <c r="AT62" i="3" s="1"/>
  <c r="AT114" i="3"/>
  <c r="AT115" i="3" s="1"/>
  <c r="AT116" i="3" s="1"/>
  <c r="AT26" i="3"/>
  <c r="AT146" i="3"/>
  <c r="AT147" i="3" s="1"/>
  <c r="AT148" i="3" s="1"/>
  <c r="AT130" i="3"/>
  <c r="AT131" i="3" s="1"/>
  <c r="AT132" i="3" s="1"/>
  <c r="AT78" i="3"/>
  <c r="AT79" i="3" s="1"/>
  <c r="AT80" i="3" s="1"/>
  <c r="AT24" i="3"/>
  <c r="AT96" i="3"/>
  <c r="AT97" i="3" s="1"/>
  <c r="AT98" i="3" s="1"/>
  <c r="AS81" i="3"/>
  <c r="AS82" i="3" s="1"/>
  <c r="AS99" i="3"/>
  <c r="AS100" i="3" s="1"/>
  <c r="AS101" i="3" s="1"/>
  <c r="AR101" i="3"/>
  <c r="AR102" i="3" s="1"/>
  <c r="AR103" i="3" s="1"/>
  <c r="AR120" i="3"/>
  <c r="AR121" i="3"/>
  <c r="AR66" i="3"/>
  <c r="AR67" i="3" s="1"/>
  <c r="AR47" i="3"/>
  <c r="AR151" i="3"/>
  <c r="AR152" i="3" s="1"/>
  <c r="AQ121" i="3"/>
  <c r="AS63" i="3"/>
  <c r="AS64" i="3" s="1"/>
  <c r="AR169" i="3" l="1"/>
  <c r="AS135" i="3"/>
  <c r="AS151" i="3"/>
  <c r="AS119" i="3"/>
  <c r="AS120" i="3" s="1"/>
  <c r="AS121" i="3" s="1"/>
  <c r="AT99" i="3"/>
  <c r="AT100" i="3" s="1"/>
  <c r="AT81" i="3"/>
  <c r="AT82" i="3" s="1"/>
  <c r="AT83" i="3" s="1"/>
  <c r="AR48" i="3"/>
  <c r="AR49" i="3" s="1"/>
  <c r="AT45" i="3"/>
  <c r="AT46" i="3" s="1"/>
  <c r="AR153" i="3"/>
  <c r="AR137" i="3"/>
  <c r="AT149" i="3"/>
  <c r="AT150" i="3" s="1"/>
  <c r="AT165" i="3"/>
  <c r="AT166" i="3" s="1"/>
  <c r="AT117" i="3"/>
  <c r="AT118" i="3"/>
  <c r="AT119" i="3" s="1"/>
  <c r="AT133" i="3"/>
  <c r="AT134" i="3" s="1"/>
  <c r="AU114" i="3"/>
  <c r="AU115" i="3" s="1"/>
  <c r="AU116" i="3" s="1"/>
  <c r="AU42" i="3"/>
  <c r="AU43" i="3" s="1"/>
  <c r="AU44" i="3" s="1"/>
  <c r="AU130" i="3"/>
  <c r="AU131" i="3" s="1"/>
  <c r="AU132" i="3" s="1"/>
  <c r="AU60" i="3"/>
  <c r="AU61" i="3" s="1"/>
  <c r="AU62" i="3" s="1"/>
  <c r="AU96" i="3"/>
  <c r="AU97" i="3" s="1"/>
  <c r="AU98" i="3" s="1"/>
  <c r="AU26" i="3"/>
  <c r="AU162" i="3"/>
  <c r="AU163" i="3" s="1"/>
  <c r="AU164" i="3" s="1"/>
  <c r="AU24" i="3"/>
  <c r="AU78" i="3"/>
  <c r="AU79" i="3" s="1"/>
  <c r="AU80" i="3" s="1"/>
  <c r="AV6" i="3"/>
  <c r="AU146" i="3"/>
  <c r="AU147" i="3" s="1"/>
  <c r="AU148" i="3" s="1"/>
  <c r="AS102" i="3"/>
  <c r="AS103" i="3" s="1"/>
  <c r="AS48" i="3"/>
  <c r="AS49" i="3" s="1"/>
  <c r="AS168" i="3"/>
  <c r="AS169" i="3" s="1"/>
  <c r="AS65" i="3"/>
  <c r="AS66" i="3" s="1"/>
  <c r="AS83" i="3"/>
  <c r="AT63" i="3"/>
  <c r="AT64" i="3" s="1"/>
  <c r="AT65" i="3" s="1"/>
  <c r="AT135" i="3" l="1"/>
  <c r="AT167" i="3"/>
  <c r="AT151" i="3"/>
  <c r="AS152" i="3"/>
  <c r="AS153" i="3" s="1"/>
  <c r="AU165" i="3"/>
  <c r="AU166" i="3"/>
  <c r="AU149" i="3"/>
  <c r="AU150" i="3" s="1"/>
  <c r="AU117" i="3"/>
  <c r="AU118" i="3"/>
  <c r="AU133" i="3"/>
  <c r="AU134" i="3"/>
  <c r="AT84" i="3"/>
  <c r="AT85" i="3" s="1"/>
  <c r="AS84" i="3"/>
  <c r="AS85" i="3" s="1"/>
  <c r="AU99" i="3"/>
  <c r="AU100" i="3" s="1"/>
  <c r="AU63" i="3"/>
  <c r="AU64" i="3" s="1"/>
  <c r="AT47" i="3"/>
  <c r="AT48" i="3" s="1"/>
  <c r="AT49" i="3" s="1"/>
  <c r="AS136" i="3"/>
  <c r="AS137" i="3" s="1"/>
  <c r="AT120" i="3"/>
  <c r="AT121" i="3"/>
  <c r="AS67" i="3"/>
  <c r="AT101" i="3"/>
  <c r="AT66" i="3"/>
  <c r="AT67" i="3" s="1"/>
  <c r="AV162" i="3"/>
  <c r="AV163" i="3" s="1"/>
  <c r="AV164" i="3" s="1"/>
  <c r="AV60" i="3"/>
  <c r="AV61" i="3" s="1"/>
  <c r="AV62" i="3" s="1"/>
  <c r="AV42" i="3"/>
  <c r="AV43" i="3" s="1"/>
  <c r="AV44" i="3" s="1"/>
  <c r="AW6" i="3"/>
  <c r="AV26" i="3"/>
  <c r="AV24" i="3"/>
  <c r="AV146" i="3"/>
  <c r="AV147" i="3" s="1"/>
  <c r="AV148" i="3" s="1"/>
  <c r="AV96" i="3"/>
  <c r="AV97" i="3" s="1"/>
  <c r="AV98" i="3" s="1"/>
  <c r="AV114" i="3"/>
  <c r="AV115" i="3" s="1"/>
  <c r="AV116" i="3" s="1"/>
  <c r="AV78" i="3"/>
  <c r="AV79" i="3" s="1"/>
  <c r="AV80" i="3" s="1"/>
  <c r="AV130" i="3"/>
  <c r="AV131" i="3" s="1"/>
  <c r="AV132" i="3" s="1"/>
  <c r="AU45" i="3"/>
  <c r="AU46" i="3" s="1"/>
  <c r="AU47" i="3" s="1"/>
  <c r="AU81" i="3"/>
  <c r="AU82" i="3" s="1"/>
  <c r="AU83" i="3" s="1"/>
  <c r="AU119" i="3"/>
  <c r="AT152" i="3" l="1"/>
  <c r="AT153" i="3" s="1"/>
  <c r="AT102" i="3"/>
  <c r="AT103" i="3" s="1"/>
  <c r="AT169" i="3"/>
  <c r="AU151" i="3"/>
  <c r="AU152" i="3" s="1"/>
  <c r="AU168" i="3"/>
  <c r="AU169" i="3" s="1"/>
  <c r="AW146" i="3"/>
  <c r="AW147" i="3" s="1"/>
  <c r="AW148" i="3" s="1"/>
  <c r="AX6" i="3"/>
  <c r="AW114" i="3"/>
  <c r="AW115" i="3" s="1"/>
  <c r="AW116" i="3" s="1"/>
  <c r="AW78" i="3"/>
  <c r="AW79" i="3" s="1"/>
  <c r="AW80" i="3" s="1"/>
  <c r="AW26" i="3"/>
  <c r="AW60" i="3"/>
  <c r="AW61" i="3" s="1"/>
  <c r="AW62" i="3" s="1"/>
  <c r="AW162" i="3"/>
  <c r="AW163" i="3" s="1"/>
  <c r="AW164" i="3" s="1"/>
  <c r="AW96" i="3"/>
  <c r="AW97" i="3" s="1"/>
  <c r="AW98" i="3" s="1"/>
  <c r="AW42" i="3"/>
  <c r="AW43" i="3" s="1"/>
  <c r="AW44" i="3" s="1"/>
  <c r="AW130" i="3"/>
  <c r="AW131" i="3" s="1"/>
  <c r="AW132" i="3" s="1"/>
  <c r="AW24" i="3"/>
  <c r="AT168" i="3"/>
  <c r="AV81" i="3"/>
  <c r="AV82" i="3" s="1"/>
  <c r="AV83" i="3" s="1"/>
  <c r="AU167" i="3"/>
  <c r="AU65" i="3"/>
  <c r="AU66" i="3" s="1"/>
  <c r="AU67" i="3" s="1"/>
  <c r="AV99" i="3"/>
  <c r="AV100" i="3" s="1"/>
  <c r="AV101" i="3" s="1"/>
  <c r="AU120" i="3"/>
  <c r="AU121" i="3" s="1"/>
  <c r="AT136" i="3"/>
  <c r="AT137" i="3" s="1"/>
  <c r="AU48" i="3"/>
  <c r="AU49" i="3" s="1"/>
  <c r="AV45" i="3"/>
  <c r="AV46" i="3" s="1"/>
  <c r="AV47" i="3" s="1"/>
  <c r="AV63" i="3"/>
  <c r="AV64" i="3" s="1"/>
  <c r="AV65" i="3" s="1"/>
  <c r="AU84" i="3"/>
  <c r="AU85" i="3"/>
  <c r="AU101" i="3"/>
  <c r="AU102" i="3" s="1"/>
  <c r="AU103" i="3" s="1"/>
  <c r="AV134" i="3"/>
  <c r="AV149" i="3"/>
  <c r="AV150" i="3" s="1"/>
  <c r="AV133" i="3"/>
  <c r="AV165" i="3"/>
  <c r="AV166" i="3"/>
  <c r="AV167" i="3" s="1"/>
  <c r="AV117" i="3"/>
  <c r="AV118" i="3"/>
  <c r="AV119" i="3" s="1"/>
  <c r="AU135" i="3"/>
  <c r="AV151" i="3" l="1"/>
  <c r="AW45" i="3"/>
  <c r="AW46" i="3" s="1"/>
  <c r="AV102" i="3"/>
  <c r="AV103" i="3" s="1"/>
  <c r="AW99" i="3"/>
  <c r="AW100" i="3" s="1"/>
  <c r="AV48" i="3"/>
  <c r="AV49" i="3"/>
  <c r="AU136" i="3"/>
  <c r="AU137" i="3" s="1"/>
  <c r="AW63" i="3"/>
  <c r="AW64" i="3" s="1"/>
  <c r="AW65" i="3" s="1"/>
  <c r="AW81" i="3"/>
  <c r="AW82" i="3" s="1"/>
  <c r="AU153" i="3"/>
  <c r="AV84" i="3"/>
  <c r="AV85" i="3"/>
  <c r="AV120" i="3"/>
  <c r="AV121" i="3" s="1"/>
  <c r="AV168" i="3"/>
  <c r="AV169" i="3"/>
  <c r="AV135" i="3"/>
  <c r="AV136" i="3" s="1"/>
  <c r="AV66" i="3"/>
  <c r="AV67" i="3" s="1"/>
  <c r="AW133" i="3"/>
  <c r="AW134" i="3" s="1"/>
  <c r="AW117" i="3"/>
  <c r="AW118" i="3"/>
  <c r="AW119" i="3" s="1"/>
  <c r="AW165" i="3"/>
  <c r="AW166" i="3"/>
  <c r="AW149" i="3"/>
  <c r="AW150" i="3"/>
  <c r="AX162" i="3"/>
  <c r="AX163" i="3" s="1"/>
  <c r="AX164" i="3" s="1"/>
  <c r="AX78" i="3"/>
  <c r="AX79" i="3" s="1"/>
  <c r="AX80" i="3" s="1"/>
  <c r="AX60" i="3"/>
  <c r="AX61" i="3" s="1"/>
  <c r="AX62" i="3" s="1"/>
  <c r="AX146" i="3"/>
  <c r="AX147" i="3" s="1"/>
  <c r="AX148" i="3" s="1"/>
  <c r="AX96" i="3"/>
  <c r="AX97" i="3" s="1"/>
  <c r="AX98" i="3" s="1"/>
  <c r="AX26" i="3"/>
  <c r="AX42" i="3"/>
  <c r="AX43" i="3" s="1"/>
  <c r="AX44" i="3" s="1"/>
  <c r="AX130" i="3"/>
  <c r="AX131" i="3" s="1"/>
  <c r="AX132" i="3" s="1"/>
  <c r="AY6" i="3"/>
  <c r="AX24" i="3"/>
  <c r="AX114" i="3"/>
  <c r="AX115" i="3" s="1"/>
  <c r="AX116" i="3" s="1"/>
  <c r="AW135" i="3" l="1"/>
  <c r="AX45" i="3"/>
  <c r="AX46" i="3" s="1"/>
  <c r="AX99" i="3"/>
  <c r="AX100" i="3" s="1"/>
  <c r="AW151" i="3"/>
  <c r="AW168" i="3"/>
  <c r="AW169" i="3" s="1"/>
  <c r="AV137" i="3"/>
  <c r="AX63" i="3"/>
  <c r="AX64" i="3" s="1"/>
  <c r="AX65" i="3" s="1"/>
  <c r="AX81" i="3"/>
  <c r="AX82" i="3" s="1"/>
  <c r="AW66" i="3"/>
  <c r="AW67" i="3" s="1"/>
  <c r="AW120" i="3"/>
  <c r="AW121" i="3" s="1"/>
  <c r="AW167" i="3"/>
  <c r="AV152" i="3"/>
  <c r="AV153" i="3" s="1"/>
  <c r="AW47" i="3"/>
  <c r="AX165" i="3"/>
  <c r="AX166" i="3" s="1"/>
  <c r="AX133" i="3"/>
  <c r="AX134" i="3"/>
  <c r="AX117" i="3"/>
  <c r="AX118" i="3" s="1"/>
  <c r="AX149" i="3"/>
  <c r="AX150" i="3" s="1"/>
  <c r="AX151" i="3" s="1"/>
  <c r="AY162" i="3"/>
  <c r="AY163" i="3" s="1"/>
  <c r="AY164" i="3" s="1"/>
  <c r="AY60" i="3"/>
  <c r="AY61" i="3" s="1"/>
  <c r="AY62" i="3" s="1"/>
  <c r="AY96" i="3"/>
  <c r="AY97" i="3" s="1"/>
  <c r="AY98" i="3" s="1"/>
  <c r="AY26" i="3"/>
  <c r="AY146" i="3"/>
  <c r="AY147" i="3" s="1"/>
  <c r="AY148" i="3" s="1"/>
  <c r="AY78" i="3"/>
  <c r="AY79" i="3" s="1"/>
  <c r="AY80" i="3" s="1"/>
  <c r="AY114" i="3"/>
  <c r="AY115" i="3" s="1"/>
  <c r="AY116" i="3" s="1"/>
  <c r="AY42" i="3"/>
  <c r="AY43" i="3" s="1"/>
  <c r="AY44" i="3" s="1"/>
  <c r="AY130" i="3"/>
  <c r="AY131" i="3" s="1"/>
  <c r="AY132" i="3" s="1"/>
  <c r="AY24" i="3"/>
  <c r="AZ6" i="3"/>
  <c r="AX135" i="3"/>
  <c r="AW83" i="3"/>
  <c r="AW84" i="3" s="1"/>
  <c r="AW101" i="3"/>
  <c r="AW152" i="3" l="1"/>
  <c r="AW153" i="3" s="1"/>
  <c r="AW48" i="3"/>
  <c r="AW49" i="3" s="1"/>
  <c r="AX167" i="3"/>
  <c r="AY81" i="3"/>
  <c r="AY82" i="3" s="1"/>
  <c r="AY83" i="3" s="1"/>
  <c r="AX120" i="3"/>
  <c r="AX121" i="3" s="1"/>
  <c r="AW102" i="3"/>
  <c r="AW103" i="3" s="1"/>
  <c r="AZ78" i="3"/>
  <c r="AZ79" i="3" s="1"/>
  <c r="AZ80" i="3" s="1"/>
  <c r="AZ146" i="3"/>
  <c r="AZ147" i="3" s="1"/>
  <c r="AZ148" i="3" s="1"/>
  <c r="AZ96" i="3"/>
  <c r="AZ97" i="3" s="1"/>
  <c r="AZ98" i="3" s="1"/>
  <c r="AZ130" i="3"/>
  <c r="AZ131" i="3" s="1"/>
  <c r="AZ132" i="3" s="1"/>
  <c r="BA6" i="3"/>
  <c r="AZ24" i="3"/>
  <c r="AZ60" i="3"/>
  <c r="AZ61" i="3" s="1"/>
  <c r="AZ62" i="3" s="1"/>
  <c r="AZ42" i="3"/>
  <c r="AZ43" i="3" s="1"/>
  <c r="AZ44" i="3" s="1"/>
  <c r="AZ26" i="3"/>
  <c r="AZ114" i="3"/>
  <c r="AZ115" i="3" s="1"/>
  <c r="AZ116" i="3" s="1"/>
  <c r="AZ162" i="3"/>
  <c r="AZ163" i="3" s="1"/>
  <c r="AZ164" i="3" s="1"/>
  <c r="AY117" i="3"/>
  <c r="AY118" i="3"/>
  <c r="AY165" i="3"/>
  <c r="AY166" i="3" s="1"/>
  <c r="AY149" i="3"/>
  <c r="AY150" i="3"/>
  <c r="AY151" i="3" s="1"/>
  <c r="AY133" i="3"/>
  <c r="AY134" i="3" s="1"/>
  <c r="AW85" i="3"/>
  <c r="AW136" i="3"/>
  <c r="AW137" i="3" s="1"/>
  <c r="AX119" i="3"/>
  <c r="AY99" i="3"/>
  <c r="AY100" i="3" s="1"/>
  <c r="AY63" i="3"/>
  <c r="AY64" i="3" s="1"/>
  <c r="AX152" i="3"/>
  <c r="AX153" i="3" s="1"/>
  <c r="AX66" i="3"/>
  <c r="AX67" i="3" s="1"/>
  <c r="AX136" i="3"/>
  <c r="AX137" i="3" s="1"/>
  <c r="AX47" i="3"/>
  <c r="AY45" i="3"/>
  <c r="AY46" i="3" s="1"/>
  <c r="AX83" i="3"/>
  <c r="AX84" i="3" s="1"/>
  <c r="AX101" i="3"/>
  <c r="AX48" i="3" l="1"/>
  <c r="AX49" i="3" s="1"/>
  <c r="AY135" i="3"/>
  <c r="AY136" i="3" s="1"/>
  <c r="AY167" i="3"/>
  <c r="AY168" i="3" s="1"/>
  <c r="AX169" i="3"/>
  <c r="AX102" i="3"/>
  <c r="AX103" i="3" s="1"/>
  <c r="AX85" i="3"/>
  <c r="AZ149" i="3"/>
  <c r="AZ150" i="3"/>
  <c r="AZ151" i="3" s="1"/>
  <c r="AZ165" i="3"/>
  <c r="AZ166" i="3" s="1"/>
  <c r="AZ133" i="3"/>
  <c r="AZ134" i="3"/>
  <c r="AZ117" i="3"/>
  <c r="AZ118" i="3" s="1"/>
  <c r="AY119" i="3"/>
  <c r="BA24" i="3"/>
  <c r="BA26" i="3"/>
  <c r="BA114" i="3"/>
  <c r="BA115" i="3" s="1"/>
  <c r="BA116" i="3" s="1"/>
  <c r="BA146" i="3"/>
  <c r="BA147" i="3" s="1"/>
  <c r="BA148" i="3" s="1"/>
  <c r="BA78" i="3"/>
  <c r="BA79" i="3" s="1"/>
  <c r="BA80" i="3" s="1"/>
  <c r="BA130" i="3"/>
  <c r="BA131" i="3" s="1"/>
  <c r="BA132" i="3" s="1"/>
  <c r="BA96" i="3"/>
  <c r="BA97" i="3" s="1"/>
  <c r="BA98" i="3" s="1"/>
  <c r="BA162" i="3"/>
  <c r="BA163" i="3" s="1"/>
  <c r="BA164" i="3" s="1"/>
  <c r="BB6" i="3"/>
  <c r="BA42" i="3"/>
  <c r="BA43" i="3" s="1"/>
  <c r="BA44" i="3" s="1"/>
  <c r="BA60" i="3"/>
  <c r="BA61" i="3" s="1"/>
  <c r="BA62" i="3" s="1"/>
  <c r="AY84" i="3"/>
  <c r="AY85" i="3" s="1"/>
  <c r="AZ99" i="3"/>
  <c r="AZ100" i="3" s="1"/>
  <c r="AZ101" i="3" s="1"/>
  <c r="AY47" i="3"/>
  <c r="AY48" i="3" s="1"/>
  <c r="AY49" i="3" s="1"/>
  <c r="AY65" i="3"/>
  <c r="AY66" i="3" s="1"/>
  <c r="AY101" i="3"/>
  <c r="AY102" i="3" s="1"/>
  <c r="AY152" i="3"/>
  <c r="AY153" i="3" s="1"/>
  <c r="AZ81" i="3"/>
  <c r="AZ82" i="3" s="1"/>
  <c r="AX168" i="3"/>
  <c r="AZ45" i="3"/>
  <c r="AZ46" i="3" s="1"/>
  <c r="AZ63" i="3"/>
  <c r="AZ64" i="3" s="1"/>
  <c r="AY67" i="3" l="1"/>
  <c r="AY103" i="3"/>
  <c r="AZ119" i="3"/>
  <c r="AZ120" i="3" s="1"/>
  <c r="AZ167" i="3"/>
  <c r="AZ168" i="3" s="1"/>
  <c r="BB146" i="3"/>
  <c r="BB147" i="3" s="1"/>
  <c r="BB148" i="3" s="1"/>
  <c r="BB42" i="3"/>
  <c r="BB43" i="3" s="1"/>
  <c r="BB44" i="3" s="1"/>
  <c r="BB114" i="3"/>
  <c r="BB115" i="3" s="1"/>
  <c r="BB116" i="3" s="1"/>
  <c r="BB162" i="3"/>
  <c r="BB163" i="3" s="1"/>
  <c r="BB164" i="3" s="1"/>
  <c r="BB60" i="3"/>
  <c r="BB61" i="3" s="1"/>
  <c r="BB62" i="3" s="1"/>
  <c r="BB78" i="3"/>
  <c r="BB79" i="3" s="1"/>
  <c r="BB80" i="3" s="1"/>
  <c r="BB26" i="3"/>
  <c r="BB24" i="3"/>
  <c r="BB96" i="3"/>
  <c r="BB97" i="3" s="1"/>
  <c r="BB98" i="3" s="1"/>
  <c r="BB130" i="3"/>
  <c r="BB131" i="3" s="1"/>
  <c r="BB132" i="3" s="1"/>
  <c r="BC6" i="3"/>
  <c r="AY169" i="3"/>
  <c r="BA99" i="3"/>
  <c r="BA100" i="3" s="1"/>
  <c r="BA101" i="3" s="1"/>
  <c r="AZ47" i="3"/>
  <c r="AZ48" i="3" s="1"/>
  <c r="AZ49" i="3" s="1"/>
  <c r="BA45" i="3"/>
  <c r="BA46" i="3" s="1"/>
  <c r="AZ152" i="3"/>
  <c r="AZ153" i="3"/>
  <c r="AY120" i="3"/>
  <c r="AY121" i="3" s="1"/>
  <c r="BA81" i="3"/>
  <c r="BA82" i="3" s="1"/>
  <c r="AY137" i="3"/>
  <c r="BA63" i="3"/>
  <c r="BA64" i="3" s="1"/>
  <c r="BA65" i="3" s="1"/>
  <c r="BA165" i="3"/>
  <c r="BA166" i="3" s="1"/>
  <c r="BA117" i="3"/>
  <c r="BA118" i="3" s="1"/>
  <c r="BA149" i="3"/>
  <c r="BA150" i="3" s="1"/>
  <c r="BA133" i="3"/>
  <c r="BA134" i="3" s="1"/>
  <c r="AZ83" i="3"/>
  <c r="AZ84" i="3" s="1"/>
  <c r="AZ102" i="3"/>
  <c r="AZ103" i="3" s="1"/>
  <c r="AZ65" i="3"/>
  <c r="AZ66" i="3" s="1"/>
  <c r="AZ135" i="3"/>
  <c r="AZ136" i="3" s="1"/>
  <c r="AZ85" i="3" l="1"/>
  <c r="BA151" i="3"/>
  <c r="BA152" i="3" s="1"/>
  <c r="BA135" i="3"/>
  <c r="BA119" i="3"/>
  <c r="BA120" i="3" s="1"/>
  <c r="BA121" i="3" s="1"/>
  <c r="BA167" i="3"/>
  <c r="BA168" i="3" s="1"/>
  <c r="BB81" i="3"/>
  <c r="BB82" i="3" s="1"/>
  <c r="BB83" i="3" s="1"/>
  <c r="AZ67" i="3"/>
  <c r="BA66" i="3"/>
  <c r="BA67" i="3" s="1"/>
  <c r="BB63" i="3"/>
  <c r="BB64" i="3" s="1"/>
  <c r="AZ169" i="3"/>
  <c r="BC114" i="3"/>
  <c r="BC115" i="3" s="1"/>
  <c r="BC116" i="3" s="1"/>
  <c r="BC146" i="3"/>
  <c r="BC147" i="3" s="1"/>
  <c r="BC148" i="3" s="1"/>
  <c r="BC26" i="3"/>
  <c r="BC162" i="3"/>
  <c r="BC163" i="3" s="1"/>
  <c r="BC164" i="3" s="1"/>
  <c r="BC78" i="3"/>
  <c r="BC79" i="3" s="1"/>
  <c r="BC80" i="3" s="1"/>
  <c r="BC96" i="3"/>
  <c r="BC97" i="3" s="1"/>
  <c r="BC98" i="3" s="1"/>
  <c r="BC130" i="3"/>
  <c r="BC131" i="3" s="1"/>
  <c r="BC132" i="3" s="1"/>
  <c r="BC60" i="3"/>
  <c r="BC61" i="3" s="1"/>
  <c r="BC62" i="3" s="1"/>
  <c r="BC24" i="3"/>
  <c r="BD6" i="3"/>
  <c r="BC42" i="3"/>
  <c r="BC43" i="3" s="1"/>
  <c r="BC44" i="3" s="1"/>
  <c r="BB45" i="3"/>
  <c r="BB46" i="3" s="1"/>
  <c r="BB47" i="3" s="1"/>
  <c r="AZ121" i="3"/>
  <c r="AZ137" i="3"/>
  <c r="BA102" i="3"/>
  <c r="BA103" i="3" s="1"/>
  <c r="BA83" i="3"/>
  <c r="BA84" i="3" s="1"/>
  <c r="BA47" i="3"/>
  <c r="BA48" i="3" s="1"/>
  <c r="BB99" i="3"/>
  <c r="BB100" i="3" s="1"/>
  <c r="BB165" i="3"/>
  <c r="BB166" i="3" s="1"/>
  <c r="BB167" i="3" s="1"/>
  <c r="BB149" i="3"/>
  <c r="BB150" i="3" s="1"/>
  <c r="BB117" i="3"/>
  <c r="BB118" i="3" s="1"/>
  <c r="BB133" i="3"/>
  <c r="BB134" i="3" s="1"/>
  <c r="BA85" i="3" l="1"/>
  <c r="BB135" i="3"/>
  <c r="BB136" i="3" s="1"/>
  <c r="BB137" i="3" s="1"/>
  <c r="BB119" i="3"/>
  <c r="BB120" i="3" s="1"/>
  <c r="BB151" i="3"/>
  <c r="BA136" i="3"/>
  <c r="BA137" i="3" s="1"/>
  <c r="BC63" i="3"/>
  <c r="BC64" i="3" s="1"/>
  <c r="BC65" i="3" s="1"/>
  <c r="BB101" i="3"/>
  <c r="BB102" i="3" s="1"/>
  <c r="BC117" i="3"/>
  <c r="BC118" i="3"/>
  <c r="BC149" i="3"/>
  <c r="BC150" i="3" s="1"/>
  <c r="BC133" i="3"/>
  <c r="BC134" i="3" s="1"/>
  <c r="BC165" i="3"/>
  <c r="BC166" i="3" s="1"/>
  <c r="BA169" i="3"/>
  <c r="BD114" i="3"/>
  <c r="BD115" i="3" s="1"/>
  <c r="BD116" i="3" s="1"/>
  <c r="BD60" i="3"/>
  <c r="BD61" i="3" s="1"/>
  <c r="BD62" i="3" s="1"/>
  <c r="BD78" i="3"/>
  <c r="BD79" i="3" s="1"/>
  <c r="BD80" i="3" s="1"/>
  <c r="BD42" i="3"/>
  <c r="BD43" i="3" s="1"/>
  <c r="BD44" i="3" s="1"/>
  <c r="BD130" i="3"/>
  <c r="BD131" i="3" s="1"/>
  <c r="BD132" i="3" s="1"/>
  <c r="BD26" i="3"/>
  <c r="BD162" i="3"/>
  <c r="BD163" i="3" s="1"/>
  <c r="BD164" i="3" s="1"/>
  <c r="BD24" i="3"/>
  <c r="BD96" i="3"/>
  <c r="BD97" i="3" s="1"/>
  <c r="BD98" i="3" s="1"/>
  <c r="BD146" i="3"/>
  <c r="BD147" i="3" s="1"/>
  <c r="BD148" i="3" s="1"/>
  <c r="BE6" i="3"/>
  <c r="BA49" i="3"/>
  <c r="BC99" i="3"/>
  <c r="BC100" i="3" s="1"/>
  <c r="BB65" i="3"/>
  <c r="BA153" i="3"/>
  <c r="BB168" i="3"/>
  <c r="BB169" i="3"/>
  <c r="BC45" i="3"/>
  <c r="BC46" i="3" s="1"/>
  <c r="BB84" i="3"/>
  <c r="BB85" i="3" s="1"/>
  <c r="BB48" i="3"/>
  <c r="BB49" i="3" s="1"/>
  <c r="BC81" i="3"/>
  <c r="BC82" i="3" s="1"/>
  <c r="BB152" i="3" l="1"/>
  <c r="BB153" i="3" s="1"/>
  <c r="BB103" i="3"/>
  <c r="BC167" i="3"/>
  <c r="BC168" i="3" s="1"/>
  <c r="BC135" i="3"/>
  <c r="BC136" i="3" s="1"/>
  <c r="BC151" i="3"/>
  <c r="BC152" i="3" s="1"/>
  <c r="BD63" i="3"/>
  <c r="BD64" i="3" s="1"/>
  <c r="BD165" i="3"/>
  <c r="BD166" i="3" s="1"/>
  <c r="BD167" i="3" s="1"/>
  <c r="BD117" i="3"/>
  <c r="BD118" i="3"/>
  <c r="BD133" i="3"/>
  <c r="BD134" i="3"/>
  <c r="BD149" i="3"/>
  <c r="BD150" i="3"/>
  <c r="BD151" i="3" s="1"/>
  <c r="BC101" i="3"/>
  <c r="BC102" i="3" s="1"/>
  <c r="BB66" i="3"/>
  <c r="BB67" i="3" s="1"/>
  <c r="BC119" i="3"/>
  <c r="BC120" i="3" s="1"/>
  <c r="BB121" i="3"/>
  <c r="BD99" i="3"/>
  <c r="BD100" i="3" s="1"/>
  <c r="BC47" i="3"/>
  <c r="BC48" i="3" s="1"/>
  <c r="BC49" i="3" s="1"/>
  <c r="BD135" i="3"/>
  <c r="BC66" i="3"/>
  <c r="BC67" i="3" s="1"/>
  <c r="BD45" i="3"/>
  <c r="BD46" i="3" s="1"/>
  <c r="BC83" i="3"/>
  <c r="BE114" i="3"/>
  <c r="BE115" i="3" s="1"/>
  <c r="BE116" i="3" s="1"/>
  <c r="BE96" i="3"/>
  <c r="BE97" i="3" s="1"/>
  <c r="BE98" i="3" s="1"/>
  <c r="BE78" i="3"/>
  <c r="BE79" i="3" s="1"/>
  <c r="BE80" i="3" s="1"/>
  <c r="BE162" i="3"/>
  <c r="BE163" i="3" s="1"/>
  <c r="BE164" i="3" s="1"/>
  <c r="BF6" i="3"/>
  <c r="BE26" i="3"/>
  <c r="BE60" i="3"/>
  <c r="BE61" i="3" s="1"/>
  <c r="BE62" i="3" s="1"/>
  <c r="BE24" i="3"/>
  <c r="BE42" i="3"/>
  <c r="BE43" i="3" s="1"/>
  <c r="BE44" i="3" s="1"/>
  <c r="BE146" i="3"/>
  <c r="BE147" i="3" s="1"/>
  <c r="BE148" i="3" s="1"/>
  <c r="BE130" i="3"/>
  <c r="BE131" i="3" s="1"/>
  <c r="BE132" i="3" s="1"/>
  <c r="BD81" i="3"/>
  <c r="BD82" i="3" s="1"/>
  <c r="BC84" i="3" l="1"/>
  <c r="BC85" i="3" s="1"/>
  <c r="BD136" i="3"/>
  <c r="BD137" i="3"/>
  <c r="BE133" i="3"/>
  <c r="BE165" i="3"/>
  <c r="BE134" i="3"/>
  <c r="BE117" i="3"/>
  <c r="BE118" i="3" s="1"/>
  <c r="BE166" i="3"/>
  <c r="BE149" i="3"/>
  <c r="BE150" i="3"/>
  <c r="BD65" i="3"/>
  <c r="BD66" i="3" s="1"/>
  <c r="BD67" i="3" s="1"/>
  <c r="BC137" i="3"/>
  <c r="BC103" i="3"/>
  <c r="BD168" i="3"/>
  <c r="BD169" i="3"/>
  <c r="BC169" i="3"/>
  <c r="BD47" i="3"/>
  <c r="BC121" i="3"/>
  <c r="BD101" i="3"/>
  <c r="BD102" i="3" s="1"/>
  <c r="BE81" i="3"/>
  <c r="BE82" i="3" s="1"/>
  <c r="BD152" i="3"/>
  <c r="BD153" i="3" s="1"/>
  <c r="BC153" i="3"/>
  <c r="BE45" i="3"/>
  <c r="BE46" i="3" s="1"/>
  <c r="BE63" i="3"/>
  <c r="BE64" i="3" s="1"/>
  <c r="BF146" i="3"/>
  <c r="BF147" i="3" s="1"/>
  <c r="BF148" i="3" s="1"/>
  <c r="BF114" i="3"/>
  <c r="BF115" i="3" s="1"/>
  <c r="BF116" i="3" s="1"/>
  <c r="BG6" i="3"/>
  <c r="BF60" i="3"/>
  <c r="BF61" i="3" s="1"/>
  <c r="BF62" i="3" s="1"/>
  <c r="BF24" i="3"/>
  <c r="BF130" i="3"/>
  <c r="BF131" i="3" s="1"/>
  <c r="BF132" i="3" s="1"/>
  <c r="BF26" i="3"/>
  <c r="BF42" i="3"/>
  <c r="BF43" i="3" s="1"/>
  <c r="BF44" i="3" s="1"/>
  <c r="BF162" i="3"/>
  <c r="BF163" i="3" s="1"/>
  <c r="BF164" i="3" s="1"/>
  <c r="BF96" i="3"/>
  <c r="BF97" i="3" s="1"/>
  <c r="BF98" i="3" s="1"/>
  <c r="BF78" i="3"/>
  <c r="BF79" i="3" s="1"/>
  <c r="BF80" i="3" s="1"/>
  <c r="BD83" i="3"/>
  <c r="BD84" i="3" s="1"/>
  <c r="BE99" i="3"/>
  <c r="BE100" i="3" s="1"/>
  <c r="BD119" i="3"/>
  <c r="BD120" i="3" s="1"/>
  <c r="BE119" i="3" l="1"/>
  <c r="BE120" i="3" s="1"/>
  <c r="BD85" i="3"/>
  <c r="BF81" i="3"/>
  <c r="BF82" i="3" s="1"/>
  <c r="BF83" i="3" s="1"/>
  <c r="BG42" i="3"/>
  <c r="BG43" i="3" s="1"/>
  <c r="BG44" i="3" s="1"/>
  <c r="BG162" i="3"/>
  <c r="BG163" i="3" s="1"/>
  <c r="BG164" i="3" s="1"/>
  <c r="BH6" i="3"/>
  <c r="BG114" i="3"/>
  <c r="BG115" i="3" s="1"/>
  <c r="BG116" i="3" s="1"/>
  <c r="BG24" i="3"/>
  <c r="BG130" i="3"/>
  <c r="BG131" i="3" s="1"/>
  <c r="BG132" i="3" s="1"/>
  <c r="BG96" i="3"/>
  <c r="BG97" i="3" s="1"/>
  <c r="BG98" i="3" s="1"/>
  <c r="BG60" i="3"/>
  <c r="BG61" i="3" s="1"/>
  <c r="BG62" i="3" s="1"/>
  <c r="BG146" i="3"/>
  <c r="BG147" i="3" s="1"/>
  <c r="BG148" i="3" s="1"/>
  <c r="BG78" i="3"/>
  <c r="BG79" i="3" s="1"/>
  <c r="BG80" i="3" s="1"/>
  <c r="BG26" i="3"/>
  <c r="BF45" i="3"/>
  <c r="BF46" i="3" s="1"/>
  <c r="BF99" i="3"/>
  <c r="BF100" i="3" s="1"/>
  <c r="BF101" i="3" s="1"/>
  <c r="BD48" i="3"/>
  <c r="BD49" i="3" s="1"/>
  <c r="BE167" i="3"/>
  <c r="BD103" i="3"/>
  <c r="BF63" i="3"/>
  <c r="BF64" i="3" s="1"/>
  <c r="BE152" i="3"/>
  <c r="BD121" i="3"/>
  <c r="BE83" i="3"/>
  <c r="BE84" i="3" s="1"/>
  <c r="BE85" i="3" s="1"/>
  <c r="BE101" i="3"/>
  <c r="BE102" i="3" s="1"/>
  <c r="BE65" i="3"/>
  <c r="BE151" i="3"/>
  <c r="BE135" i="3"/>
  <c r="BE136" i="3" s="1"/>
  <c r="BE137" i="3" s="1"/>
  <c r="BF118" i="3"/>
  <c r="BF165" i="3"/>
  <c r="BF166" i="3"/>
  <c r="BF117" i="3"/>
  <c r="BF149" i="3"/>
  <c r="BF150" i="3"/>
  <c r="BF151" i="3" s="1"/>
  <c r="BF133" i="3"/>
  <c r="BF134" i="3" s="1"/>
  <c r="BE47" i="3"/>
  <c r="BE153" i="3" l="1"/>
  <c r="BE103" i="3"/>
  <c r="BE66" i="3"/>
  <c r="BE67" i="3" s="1"/>
  <c r="BF135" i="3"/>
  <c r="BG99" i="3"/>
  <c r="BG100" i="3" s="1"/>
  <c r="BG101" i="3" s="1"/>
  <c r="BE168" i="3"/>
  <c r="BE169" i="3" s="1"/>
  <c r="BG63" i="3"/>
  <c r="BG64" i="3" s="1"/>
  <c r="BF47" i="3"/>
  <c r="BF48" i="3" s="1"/>
  <c r="BF119" i="3"/>
  <c r="BF120" i="3" s="1"/>
  <c r="BF121" i="3" s="1"/>
  <c r="BG81" i="3"/>
  <c r="BG82" i="3" s="1"/>
  <c r="BG83" i="3" s="1"/>
  <c r="BE121" i="3"/>
  <c r="BF84" i="3"/>
  <c r="BF85" i="3"/>
  <c r="BF65" i="3"/>
  <c r="BF66" i="3" s="1"/>
  <c r="BF67" i="3" s="1"/>
  <c r="BG117" i="3"/>
  <c r="BG118" i="3" s="1"/>
  <c r="BG165" i="3"/>
  <c r="BG166" i="3" s="1"/>
  <c r="BG133" i="3"/>
  <c r="BG134" i="3" s="1"/>
  <c r="BG149" i="3"/>
  <c r="BG150" i="3" s="1"/>
  <c r="BF152" i="3"/>
  <c r="BF153" i="3"/>
  <c r="BF167" i="3"/>
  <c r="BE48" i="3"/>
  <c r="BE49" i="3" s="1"/>
  <c r="BH26" i="3"/>
  <c r="BH146" i="3"/>
  <c r="BH147" i="3" s="1"/>
  <c r="BH148" i="3" s="1"/>
  <c r="BH24" i="3"/>
  <c r="BH42" i="3"/>
  <c r="BH43" i="3" s="1"/>
  <c r="BH44" i="3" s="1"/>
  <c r="BH60" i="3"/>
  <c r="BH61" i="3" s="1"/>
  <c r="BH62" i="3" s="1"/>
  <c r="BH96" i="3"/>
  <c r="BH97" i="3" s="1"/>
  <c r="BH98" i="3" s="1"/>
  <c r="BI6" i="3"/>
  <c r="BH130" i="3"/>
  <c r="BH131" i="3" s="1"/>
  <c r="BH132" i="3" s="1"/>
  <c r="BH78" i="3"/>
  <c r="BH79" i="3" s="1"/>
  <c r="BH80" i="3" s="1"/>
  <c r="BH162" i="3"/>
  <c r="BH163" i="3" s="1"/>
  <c r="BH164" i="3" s="1"/>
  <c r="BH114" i="3"/>
  <c r="BH115" i="3" s="1"/>
  <c r="BH116" i="3" s="1"/>
  <c r="BF102" i="3"/>
  <c r="BF103" i="3" s="1"/>
  <c r="BG45" i="3"/>
  <c r="BG46" i="3" s="1"/>
  <c r="BG47" i="3" s="1"/>
  <c r="BG167" i="3" l="1"/>
  <c r="BG119" i="3"/>
  <c r="BG120" i="3" s="1"/>
  <c r="BG151" i="3"/>
  <c r="BG152" i="3" s="1"/>
  <c r="BG153" i="3" s="1"/>
  <c r="BH99" i="3"/>
  <c r="BH100" i="3" s="1"/>
  <c r="BG84" i="3"/>
  <c r="BG85" i="3" s="1"/>
  <c r="BI78" i="3"/>
  <c r="BI79" i="3" s="1"/>
  <c r="BI80" i="3" s="1"/>
  <c r="BJ6" i="3"/>
  <c r="BI130" i="3"/>
  <c r="BI131" i="3" s="1"/>
  <c r="BI132" i="3" s="1"/>
  <c r="BI42" i="3"/>
  <c r="BI43" i="3" s="1"/>
  <c r="BI44" i="3" s="1"/>
  <c r="BI114" i="3"/>
  <c r="BI115" i="3" s="1"/>
  <c r="BI116" i="3" s="1"/>
  <c r="BI146" i="3"/>
  <c r="BI147" i="3" s="1"/>
  <c r="BI148" i="3" s="1"/>
  <c r="BI24" i="3"/>
  <c r="BI96" i="3"/>
  <c r="BI97" i="3" s="1"/>
  <c r="BI98" i="3" s="1"/>
  <c r="BI26" i="3"/>
  <c r="BI162" i="3"/>
  <c r="BI163" i="3" s="1"/>
  <c r="BI164" i="3" s="1"/>
  <c r="BI60" i="3"/>
  <c r="BI61" i="3" s="1"/>
  <c r="BI62" i="3" s="1"/>
  <c r="BF49" i="3"/>
  <c r="BF168" i="3"/>
  <c r="BF169" i="3" s="1"/>
  <c r="BF136" i="3"/>
  <c r="BF137" i="3" s="1"/>
  <c r="BH45" i="3"/>
  <c r="BH46" i="3" s="1"/>
  <c r="BG65" i="3"/>
  <c r="BH165" i="3"/>
  <c r="BH166" i="3" s="1"/>
  <c r="BH133" i="3"/>
  <c r="BH134" i="3" s="1"/>
  <c r="BH149" i="3"/>
  <c r="BH150" i="3" s="1"/>
  <c r="BH151" i="3" s="1"/>
  <c r="BH117" i="3"/>
  <c r="BH118" i="3"/>
  <c r="BH119" i="3" s="1"/>
  <c r="BH81" i="3"/>
  <c r="BH82" i="3" s="1"/>
  <c r="BH63" i="3"/>
  <c r="BH64" i="3" s="1"/>
  <c r="BH65" i="3" s="1"/>
  <c r="BG48" i="3"/>
  <c r="BG49" i="3"/>
  <c r="BG135" i="3"/>
  <c r="BG136" i="3" s="1"/>
  <c r="BG102" i="3"/>
  <c r="BG103" i="3" s="1"/>
  <c r="BG168" i="3" l="1"/>
  <c r="BG169" i="3" s="1"/>
  <c r="BG66" i="3"/>
  <c r="BG67" i="3" s="1"/>
  <c r="BH135" i="3"/>
  <c r="BH152" i="3"/>
  <c r="BH153" i="3"/>
  <c r="BG121" i="3"/>
  <c r="BI99" i="3"/>
  <c r="BI100" i="3" s="1"/>
  <c r="BH83" i="3"/>
  <c r="BH84" i="3" s="1"/>
  <c r="BH47" i="3"/>
  <c r="BH48" i="3" s="1"/>
  <c r="BI45" i="3"/>
  <c r="BI46" i="3" s="1"/>
  <c r="BI81" i="3"/>
  <c r="BI82" i="3" s="1"/>
  <c r="BI83" i="3" s="1"/>
  <c r="BG137" i="3"/>
  <c r="BI117" i="3"/>
  <c r="BI118" i="3" s="1"/>
  <c r="BI165" i="3"/>
  <c r="BI149" i="3"/>
  <c r="BI150" i="3"/>
  <c r="BI151" i="3" s="1"/>
  <c r="BI133" i="3"/>
  <c r="BI134" i="3"/>
  <c r="BI135" i="3" s="1"/>
  <c r="BI166" i="3"/>
  <c r="BH120" i="3"/>
  <c r="BH121" i="3" s="1"/>
  <c r="BH167" i="3"/>
  <c r="BH168" i="3" s="1"/>
  <c r="BH169" i="3" s="1"/>
  <c r="BH101" i="3"/>
  <c r="BH102" i="3" s="1"/>
  <c r="BI63" i="3"/>
  <c r="BI64" i="3" s="1"/>
  <c r="BI65" i="3" s="1"/>
  <c r="BH66" i="3"/>
  <c r="BH67" i="3" s="1"/>
  <c r="BJ78" i="3"/>
  <c r="BJ79" i="3" s="1"/>
  <c r="BJ80" i="3" s="1"/>
  <c r="BJ24" i="3"/>
  <c r="BJ26" i="3"/>
  <c r="BJ130" i="3"/>
  <c r="BJ131" i="3" s="1"/>
  <c r="BJ132" i="3" s="1"/>
  <c r="BK6" i="3"/>
  <c r="BJ60" i="3"/>
  <c r="BJ61" i="3" s="1"/>
  <c r="BJ62" i="3" s="1"/>
  <c r="BJ114" i="3"/>
  <c r="BJ115" i="3" s="1"/>
  <c r="BJ116" i="3" s="1"/>
  <c r="BJ96" i="3"/>
  <c r="BJ97" i="3" s="1"/>
  <c r="BJ98" i="3" s="1"/>
  <c r="BJ162" i="3"/>
  <c r="BJ163" i="3" s="1"/>
  <c r="BJ164" i="3" s="1"/>
  <c r="BJ42" i="3"/>
  <c r="BJ43" i="3" s="1"/>
  <c r="BJ44" i="3" s="1"/>
  <c r="BJ146" i="3"/>
  <c r="BJ147" i="3" s="1"/>
  <c r="BJ148" i="3" s="1"/>
  <c r="BI119" i="3" l="1"/>
  <c r="BI120" i="3" s="1"/>
  <c r="BI66" i="3"/>
  <c r="BI67" i="3" s="1"/>
  <c r="BH49" i="3"/>
  <c r="BJ133" i="3"/>
  <c r="BJ134" i="3"/>
  <c r="BJ135" i="3" s="1"/>
  <c r="BJ117" i="3"/>
  <c r="BJ118" i="3" s="1"/>
  <c r="BJ149" i="3"/>
  <c r="BJ150" i="3" s="1"/>
  <c r="BJ165" i="3"/>
  <c r="BJ166" i="3" s="1"/>
  <c r="BK26" i="3"/>
  <c r="BK162" i="3"/>
  <c r="BK163" i="3" s="1"/>
  <c r="BK164" i="3" s="1"/>
  <c r="BK24" i="3"/>
  <c r="BK60" i="3"/>
  <c r="BK61" i="3" s="1"/>
  <c r="BK62" i="3" s="1"/>
  <c r="BK114" i="3"/>
  <c r="BK115" i="3" s="1"/>
  <c r="BK116" i="3" s="1"/>
  <c r="BL6" i="3"/>
  <c r="BK96" i="3"/>
  <c r="BK97" i="3" s="1"/>
  <c r="BK98" i="3" s="1"/>
  <c r="BK78" i="3"/>
  <c r="BK79" i="3" s="1"/>
  <c r="BK80" i="3" s="1"/>
  <c r="BK146" i="3"/>
  <c r="BK147" i="3" s="1"/>
  <c r="BK148" i="3" s="1"/>
  <c r="BK42" i="3"/>
  <c r="BK43" i="3" s="1"/>
  <c r="BK44" i="3" s="1"/>
  <c r="BK130" i="3"/>
  <c r="BK131" i="3" s="1"/>
  <c r="BK132" i="3" s="1"/>
  <c r="BI136" i="3"/>
  <c r="BI137" i="3" s="1"/>
  <c r="BJ45" i="3"/>
  <c r="BJ46" i="3" s="1"/>
  <c r="BJ81" i="3"/>
  <c r="BJ82" i="3" s="1"/>
  <c r="BI152" i="3"/>
  <c r="BI153" i="3" s="1"/>
  <c r="BI167" i="3"/>
  <c r="BI168" i="3" s="1"/>
  <c r="BH103" i="3"/>
  <c r="BI101" i="3"/>
  <c r="BI102" i="3" s="1"/>
  <c r="BI103" i="3" s="1"/>
  <c r="BI84" i="3"/>
  <c r="BI85" i="3"/>
  <c r="BJ99" i="3"/>
  <c r="BJ100" i="3" s="1"/>
  <c r="BH85" i="3"/>
  <c r="BH136" i="3"/>
  <c r="BH137" i="3" s="1"/>
  <c r="BJ63" i="3"/>
  <c r="BJ64" i="3" s="1"/>
  <c r="BJ65" i="3" s="1"/>
  <c r="BI47" i="3"/>
  <c r="BJ151" i="3" l="1"/>
  <c r="BJ119" i="3"/>
  <c r="BJ120" i="3" s="1"/>
  <c r="BJ167" i="3"/>
  <c r="BJ168" i="3" s="1"/>
  <c r="BJ169" i="3" s="1"/>
  <c r="BL146" i="3"/>
  <c r="BL147" i="3" s="1"/>
  <c r="BL148" i="3" s="1"/>
  <c r="BL60" i="3"/>
  <c r="BL61" i="3" s="1"/>
  <c r="BL62" i="3" s="1"/>
  <c r="BL42" i="3"/>
  <c r="BL43" i="3" s="1"/>
  <c r="BL44" i="3" s="1"/>
  <c r="BL114" i="3"/>
  <c r="BL115" i="3" s="1"/>
  <c r="BL116" i="3" s="1"/>
  <c r="BL78" i="3"/>
  <c r="BL79" i="3" s="1"/>
  <c r="BL80" i="3" s="1"/>
  <c r="BM6" i="3"/>
  <c r="BL162" i="3"/>
  <c r="BL163" i="3" s="1"/>
  <c r="BL164" i="3" s="1"/>
  <c r="BL130" i="3"/>
  <c r="BL131" i="3" s="1"/>
  <c r="BL132" i="3" s="1"/>
  <c r="BL26" i="3"/>
  <c r="BL24" i="3"/>
  <c r="BL96" i="3"/>
  <c r="BL97" i="3" s="1"/>
  <c r="BL98" i="3" s="1"/>
  <c r="BK63" i="3"/>
  <c r="BK64" i="3" s="1"/>
  <c r="BK45" i="3"/>
  <c r="BK46" i="3" s="1"/>
  <c r="BJ136" i="3"/>
  <c r="BJ137" i="3" s="1"/>
  <c r="BK151" i="3"/>
  <c r="BI121" i="3"/>
  <c r="BI48" i="3"/>
  <c r="BI49" i="3" s="1"/>
  <c r="BJ47" i="3"/>
  <c r="BI169" i="3"/>
  <c r="BJ66" i="3"/>
  <c r="BJ67" i="3" s="1"/>
  <c r="BJ101" i="3"/>
  <c r="BK117" i="3"/>
  <c r="BK165" i="3"/>
  <c r="BK118" i="3"/>
  <c r="BK119" i="3" s="1"/>
  <c r="BK166" i="3"/>
  <c r="BK133" i="3"/>
  <c r="BK134" i="3" s="1"/>
  <c r="BK149" i="3"/>
  <c r="BK150" i="3"/>
  <c r="BJ83" i="3"/>
  <c r="BJ84" i="3" s="1"/>
  <c r="BK81" i="3"/>
  <c r="BK82" i="3" s="1"/>
  <c r="BK99" i="3"/>
  <c r="BK100" i="3" s="1"/>
  <c r="BK101" i="3" s="1"/>
  <c r="BJ152" i="3" l="1"/>
  <c r="BJ153" i="3" s="1"/>
  <c r="BJ102" i="3"/>
  <c r="BJ103" i="3" s="1"/>
  <c r="BK135" i="3"/>
  <c r="BL99" i="3"/>
  <c r="BL100" i="3" s="1"/>
  <c r="BL101" i="3" s="1"/>
  <c r="BL45" i="3"/>
  <c r="BL46" i="3" s="1"/>
  <c r="BL47" i="3" s="1"/>
  <c r="BJ121" i="3"/>
  <c r="BK47" i="3"/>
  <c r="BK48" i="3" s="1"/>
  <c r="BL63" i="3"/>
  <c r="BL64" i="3" s="1"/>
  <c r="BL65" i="3" s="1"/>
  <c r="BK65" i="3"/>
  <c r="BJ48" i="3"/>
  <c r="BJ49" i="3" s="1"/>
  <c r="BK102" i="3"/>
  <c r="BK103" i="3" s="1"/>
  <c r="BK83" i="3"/>
  <c r="BK84" i="3" s="1"/>
  <c r="BK120" i="3"/>
  <c r="BK121" i="3" s="1"/>
  <c r="BL149" i="3"/>
  <c r="BL150" i="3" s="1"/>
  <c r="BL117" i="3"/>
  <c r="BL165" i="3"/>
  <c r="BL166" i="3" s="1"/>
  <c r="BL167" i="3" s="1"/>
  <c r="BL118" i="3"/>
  <c r="BL119" i="3" s="1"/>
  <c r="BL133" i="3"/>
  <c r="BL134" i="3" s="1"/>
  <c r="BK167" i="3"/>
  <c r="BK152" i="3"/>
  <c r="BK153" i="3" s="1"/>
  <c r="BJ85" i="3"/>
  <c r="BM162" i="3"/>
  <c r="BM114" i="3"/>
  <c r="BM146" i="3"/>
  <c r="BM24" i="3"/>
  <c r="BM26" i="3"/>
  <c r="BM130" i="3"/>
  <c r="BM78" i="3"/>
  <c r="BM60" i="3"/>
  <c r="BM42" i="3"/>
  <c r="BM96" i="3"/>
  <c r="D12" i="3"/>
  <c r="BL81" i="3"/>
  <c r="BL82" i="3" s="1"/>
  <c r="BL83" i="3" s="1"/>
  <c r="BL135" i="3" l="1"/>
  <c r="BL136" i="3" s="1"/>
  <c r="BK49" i="3"/>
  <c r="BL102" i="3"/>
  <c r="BL103" i="3" s="1"/>
  <c r="D17" i="3"/>
  <c r="D203" i="3"/>
  <c r="B7" i="4" s="1"/>
  <c r="BM115" i="3"/>
  <c r="BM116" i="3" s="1"/>
  <c r="BM117" i="3" s="1"/>
  <c r="D117" i="3" s="1"/>
  <c r="D123" i="3"/>
  <c r="BM43" i="3"/>
  <c r="BM44" i="3" s="1"/>
  <c r="D51" i="3" a="1"/>
  <c r="D51" i="3" s="1"/>
  <c r="BK168" i="3"/>
  <c r="BK169" i="3" s="1"/>
  <c r="BK85" i="3"/>
  <c r="BK66" i="3"/>
  <c r="BK67" i="3" s="1"/>
  <c r="BK136" i="3"/>
  <c r="BK137" i="3" s="1"/>
  <c r="BL84" i="3"/>
  <c r="BL85" i="3" s="1"/>
  <c r="BL168" i="3"/>
  <c r="BL169" i="3" s="1"/>
  <c r="BL66" i="3"/>
  <c r="BL67" i="3" s="1"/>
  <c r="F33" i="3"/>
  <c r="G33" i="3"/>
  <c r="H33" i="3"/>
  <c r="I33" i="3"/>
  <c r="J33" i="3"/>
  <c r="BM147" i="3"/>
  <c r="BM148" i="3" s="1"/>
  <c r="D155" i="3"/>
  <c r="BM97" i="3"/>
  <c r="BM98" i="3" s="1"/>
  <c r="D105" i="3" a="1"/>
  <c r="D105" i="3" s="1"/>
  <c r="BM163" i="3"/>
  <c r="BM164" i="3" s="1"/>
  <c r="D171" i="3"/>
  <c r="BL120" i="3"/>
  <c r="BL121" i="3" s="1"/>
  <c r="BM61" i="3"/>
  <c r="BM62" i="3" s="1"/>
  <c r="D69" i="3" a="1"/>
  <c r="D69" i="3" s="1"/>
  <c r="BM79" i="3"/>
  <c r="BM80" i="3" s="1"/>
  <c r="D87" i="3" a="1"/>
  <c r="D87" i="3" s="1"/>
  <c r="BL48" i="3"/>
  <c r="BL49" i="3" s="1"/>
  <c r="BM131" i="3"/>
  <c r="BM132" i="3" s="1"/>
  <c r="D139" i="3"/>
  <c r="BL151" i="3"/>
  <c r="BL152" i="3" s="1"/>
  <c r="BL153" i="3" s="1"/>
  <c r="E21" i="4" a="1"/>
  <c r="C21" i="4" a="1"/>
  <c r="F21" i="4" a="1"/>
  <c r="D21" i="4" a="1"/>
  <c r="D21" i="4" l="1"/>
  <c r="F21" i="4"/>
  <c r="C21" i="4"/>
  <c r="E21" i="4"/>
  <c r="BM63" i="3"/>
  <c r="BL137" i="3"/>
  <c r="BM118" i="3"/>
  <c r="BM149" i="3"/>
  <c r="BM45" i="3"/>
  <c r="BM133" i="3"/>
  <c r="D138" i="3"/>
  <c r="D104" i="3"/>
  <c r="F20" i="4" s="1"/>
  <c r="D122" i="3"/>
  <c r="D50" i="3"/>
  <c r="C20" i="4" s="1"/>
  <c r="G20" i="4" s="1"/>
  <c r="D170" i="3"/>
  <c r="D154" i="3"/>
  <c r="D86" i="3"/>
  <c r="E20" i="4" s="1"/>
  <c r="D68" i="3"/>
  <c r="D20" i="4" s="1"/>
  <c r="BM81" i="3"/>
  <c r="BM99" i="3"/>
  <c r="BM165" i="3"/>
  <c r="G21" i="4" l="1"/>
  <c r="D165" i="3"/>
  <c r="BM166" i="3"/>
  <c r="BM82" i="3"/>
  <c r="D81" i="3"/>
  <c r="D133" i="3"/>
  <c r="BM134" i="3"/>
  <c r="BM46" i="3"/>
  <c r="D45" i="3"/>
  <c r="BM100" i="3"/>
  <c r="D99" i="3"/>
  <c r="D149" i="3"/>
  <c r="BM150" i="3"/>
  <c r="D118" i="3"/>
  <c r="BM119" i="3"/>
  <c r="BM120" i="3" s="1"/>
  <c r="BM64" i="3"/>
  <c r="D63" i="3"/>
  <c r="D120" i="3" l="1"/>
  <c r="D125" i="3"/>
  <c r="D82" i="3"/>
  <c r="BM83" i="3"/>
  <c r="D150" i="3"/>
  <c r="BM151" i="3"/>
  <c r="BM152" i="3" s="1"/>
  <c r="D46" i="3"/>
  <c r="BM47" i="3"/>
  <c r="D166" i="3"/>
  <c r="BM167" i="3"/>
  <c r="BM168" i="3" s="1"/>
  <c r="D64" i="3"/>
  <c r="BM65" i="3"/>
  <c r="D119" i="3"/>
  <c r="D124" i="3"/>
  <c r="D100" i="3"/>
  <c r="BM101" i="3"/>
  <c r="BM121" i="3"/>
  <c r="D134" i="3"/>
  <c r="BM135" i="3"/>
  <c r="BM153" i="3" l="1"/>
  <c r="D173" i="3"/>
  <c r="D168" i="3"/>
  <c r="D158" i="3"/>
  <c r="D153" i="3"/>
  <c r="BM136" i="3"/>
  <c r="BM169" i="3"/>
  <c r="D152" i="3"/>
  <c r="D157" i="3"/>
  <c r="D65" i="3"/>
  <c r="D70" i="3" a="1"/>
  <c r="D70" i="3" s="1"/>
  <c r="D47" i="3"/>
  <c r="D52" i="3" a="1"/>
  <c r="D52" i="3" s="1"/>
  <c r="D88" i="3" a="1"/>
  <c r="D88" i="3" s="1"/>
  <c r="D83" i="3"/>
  <c r="D121" i="3"/>
  <c r="D126" i="3"/>
  <c r="D127" i="3" s="1"/>
  <c r="D193" i="3" s="1"/>
  <c r="C13" i="4" s="1"/>
  <c r="D101" i="3"/>
  <c r="D106" i="3" a="1"/>
  <c r="D106" i="3" s="1"/>
  <c r="BM66" i="3"/>
  <c r="BM67" i="3" s="1"/>
  <c r="BM48" i="3"/>
  <c r="BM84" i="3"/>
  <c r="BM102" i="3"/>
  <c r="D167" i="3"/>
  <c r="D172" i="3"/>
  <c r="D156" i="3"/>
  <c r="D151" i="3"/>
  <c r="D135" i="3"/>
  <c r="D140" i="3"/>
  <c r="E22" i="4" a="1"/>
  <c r="D22" i="4" a="1"/>
  <c r="F22" i="4" a="1"/>
  <c r="C22" i="4" a="1"/>
  <c r="D159" i="3" l="1"/>
  <c r="D195" i="3" s="1"/>
  <c r="C15" i="4" s="1"/>
  <c r="C22" i="4"/>
  <c r="F22" i="4"/>
  <c r="D22" i="4"/>
  <c r="E22" i="4"/>
  <c r="D67" i="3"/>
  <c r="D185" i="3" a="1"/>
  <c r="D185" i="3" s="1"/>
  <c r="D72" i="3" a="1"/>
  <c r="D72" i="3" s="1"/>
  <c r="G35" i="3"/>
  <c r="H35" i="3"/>
  <c r="I35" i="3"/>
  <c r="J35" i="3"/>
  <c r="D174" i="3"/>
  <c r="D175" i="3" s="1"/>
  <c r="D196" i="3" s="1"/>
  <c r="C16" i="4" s="1"/>
  <c r="D169" i="3"/>
  <c r="D66" i="3"/>
  <c r="D71" i="3" a="1"/>
  <c r="D71" i="3" s="1"/>
  <c r="D89" i="3" a="1"/>
  <c r="D89" i="3" s="1"/>
  <c r="D84" i="3"/>
  <c r="D141" i="3"/>
  <c r="D136" i="3"/>
  <c r="D48" i="3"/>
  <c r="D53" i="3" a="1"/>
  <c r="D53" i="3" s="1"/>
  <c r="D107" i="3" a="1"/>
  <c r="D107" i="3" s="1"/>
  <c r="D102" i="3"/>
  <c r="BM103" i="3"/>
  <c r="BM85" i="3"/>
  <c r="BM49" i="3"/>
  <c r="BM137" i="3"/>
  <c r="D23" i="4" a="1"/>
  <c r="F14" i="4" a="1"/>
  <c r="F23" i="4" a="1"/>
  <c r="C23" i="4" a="1"/>
  <c r="D24" i="4" a="1"/>
  <c r="E23" i="4" a="1"/>
  <c r="G22" i="4" l="1"/>
  <c r="E23" i="4"/>
  <c r="D24" i="4"/>
  <c r="C23" i="4"/>
  <c r="F23" i="4"/>
  <c r="F14" i="4"/>
  <c r="D23" i="4"/>
  <c r="D73" i="3"/>
  <c r="D181" i="3" s="1" a="1"/>
  <c r="D181" i="3" s="1"/>
  <c r="D137" i="3"/>
  <c r="D142" i="3"/>
  <c r="D143" i="3" s="1"/>
  <c r="D194" i="3" s="1"/>
  <c r="C14" i="4" s="1"/>
  <c r="D31" i="4" s="1"/>
  <c r="D90" i="3" a="1"/>
  <c r="D90" i="3" s="1"/>
  <c r="D85" i="3"/>
  <c r="D186" i="3" a="1"/>
  <c r="D186" i="3" s="1"/>
  <c r="G36" i="3"/>
  <c r="H36" i="3"/>
  <c r="I36" i="3"/>
  <c r="J36" i="3"/>
  <c r="G34" i="3"/>
  <c r="D184" i="3" a="1"/>
  <c r="D184" i="3" s="1"/>
  <c r="D49" i="3"/>
  <c r="D54" i="3" a="1"/>
  <c r="D54" i="3" s="1"/>
  <c r="H34" i="3"/>
  <c r="I34" i="3"/>
  <c r="J34" i="3"/>
  <c r="D108" i="3" a="1"/>
  <c r="D108" i="3" s="1"/>
  <c r="D187" i="3" a="1"/>
  <c r="D187" i="3" s="1"/>
  <c r="D103" i="3"/>
  <c r="G37" i="3"/>
  <c r="H37" i="3"/>
  <c r="I37" i="3"/>
  <c r="J37" i="3"/>
  <c r="F16" i="4" a="1"/>
  <c r="E24" i="4" a="1"/>
  <c r="F13" i="4" a="1"/>
  <c r="C24" i="4" a="1"/>
  <c r="F15" i="4" a="1"/>
  <c r="F24" i="4" a="1"/>
  <c r="E80" i="4" a="1"/>
  <c r="D14" i="4" a="1"/>
  <c r="E88" i="4" a="1"/>
  <c r="E79" i="4" a="1"/>
  <c r="E78" i="4" a="1"/>
  <c r="E116" i="4" a="1"/>
  <c r="E107" i="4" a="1"/>
  <c r="E91" i="4" a="1"/>
  <c r="E99" i="4" a="1"/>
  <c r="E109" i="4" a="1"/>
  <c r="E94" i="4" a="1"/>
  <c r="E90" i="4" a="1"/>
  <c r="E69" i="4" a="1"/>
  <c r="E101" i="4" a="1"/>
  <c r="B6" i="4" a="1"/>
  <c r="E87" i="4" a="1"/>
  <c r="E112" i="4" a="1"/>
  <c r="E95" i="4" a="1"/>
  <c r="E76" i="4" a="1"/>
  <c r="E86" i="4" a="1"/>
  <c r="E97" i="4" a="1"/>
  <c r="D25" i="4" a="1"/>
  <c r="E75" i="4" a="1"/>
  <c r="E118" i="4" a="1"/>
  <c r="E110" i="4" a="1"/>
  <c r="E83" i="4" a="1"/>
  <c r="E106" i="4" a="1"/>
  <c r="E71" i="4" a="1"/>
  <c r="E102" i="4" a="1"/>
  <c r="E82" i="4" a="1"/>
  <c r="E98" i="4" a="1"/>
  <c r="E100" i="4" a="1"/>
  <c r="E74" i="4" a="1"/>
  <c r="E72" i="4" a="1"/>
  <c r="E89" i="4" a="1"/>
  <c r="E81" i="4" a="1"/>
  <c r="E105" i="4" a="1"/>
  <c r="E114" i="4" a="1"/>
  <c r="E14" i="4" a="1"/>
  <c r="E115" i="4" a="1"/>
  <c r="E93" i="4" a="1"/>
  <c r="E85" i="4" a="1"/>
  <c r="E104" i="4" a="1"/>
  <c r="E117" i="4" a="1"/>
  <c r="E77" i="4" a="1"/>
  <c r="E103" i="4" a="1"/>
  <c r="E108" i="4" a="1"/>
  <c r="E92" i="4" a="1"/>
  <c r="E84" i="4" a="1"/>
  <c r="E96" i="4" a="1"/>
  <c r="E113" i="4" a="1"/>
  <c r="E70" i="4" a="1"/>
  <c r="E73" i="4" a="1"/>
  <c r="E111" i="4" a="1"/>
  <c r="E111" i="4" l="1"/>
  <c r="E73" i="4"/>
  <c r="E70" i="4"/>
  <c r="E113" i="4"/>
  <c r="E96" i="4"/>
  <c r="E84" i="4"/>
  <c r="E92" i="4"/>
  <c r="E108" i="4"/>
  <c r="E103" i="4"/>
  <c r="E77" i="4"/>
  <c r="E117" i="4"/>
  <c r="E104" i="4"/>
  <c r="E85" i="4"/>
  <c r="E93" i="4"/>
  <c r="E115" i="4"/>
  <c r="E14" i="4"/>
  <c r="E114" i="4"/>
  <c r="E105" i="4"/>
  <c r="E81" i="4"/>
  <c r="E89" i="4"/>
  <c r="E72" i="4"/>
  <c r="E74" i="4"/>
  <c r="E100" i="4"/>
  <c r="E98" i="4"/>
  <c r="E82" i="4"/>
  <c r="E102" i="4"/>
  <c r="E71" i="4"/>
  <c r="E106" i="4"/>
  <c r="E83" i="4"/>
  <c r="E110" i="4"/>
  <c r="E118" i="4"/>
  <c r="E75" i="4"/>
  <c r="D25" i="4"/>
  <c r="E97" i="4"/>
  <c r="E86" i="4"/>
  <c r="E76" i="4"/>
  <c r="E95" i="4"/>
  <c r="E112" i="4"/>
  <c r="E87" i="4"/>
  <c r="B6" i="4"/>
  <c r="E101" i="4"/>
  <c r="E69" i="4"/>
  <c r="E90" i="4"/>
  <c r="E94" i="4"/>
  <c r="E109" i="4"/>
  <c r="E99" i="4"/>
  <c r="E91" i="4"/>
  <c r="E107" i="4"/>
  <c r="E116" i="4"/>
  <c r="E78" i="4"/>
  <c r="E79" i="4"/>
  <c r="E88" i="4"/>
  <c r="D14" i="4"/>
  <c r="E80" i="4"/>
  <c r="F24" i="4"/>
  <c r="F15" i="4"/>
  <c r="C24" i="4"/>
  <c r="G24" i="4" s="1"/>
  <c r="F13" i="4"/>
  <c r="E24" i="4"/>
  <c r="F16" i="4"/>
  <c r="D109" i="3"/>
  <c r="D183" i="3" s="1" a="1"/>
  <c r="D183" i="3" s="1"/>
  <c r="G23" i="4"/>
  <c r="D55" i="3"/>
  <c r="D180" i="3" s="1" a="1"/>
  <c r="D180" i="3" s="1"/>
  <c r="D91" i="3"/>
  <c r="D182" i="3" s="1" a="1"/>
  <c r="D182" i="3" s="1"/>
  <c r="F107" i="4" a="1"/>
  <c r="F94" i="4" a="1"/>
  <c r="F77" i="4" a="1"/>
  <c r="F117" i="4" a="1"/>
  <c r="F88" i="4" a="1"/>
  <c r="E25" i="4" a="1"/>
  <c r="F97" i="4" a="1"/>
  <c r="F113" i="4" a="1"/>
  <c r="F80" i="4" a="1"/>
  <c r="D15" i="4" a="1"/>
  <c r="F100" i="4" a="1"/>
  <c r="F78" i="4" a="1"/>
  <c r="F118" i="4" a="1"/>
  <c r="F79" i="4" a="1"/>
  <c r="F101" i="4" a="1"/>
  <c r="F75" i="4" a="1"/>
  <c r="F115" i="4" a="1"/>
  <c r="F72" i="4" a="1"/>
  <c r="F81" i="4" a="1"/>
  <c r="F112" i="4" a="1"/>
  <c r="F104" i="4" a="1"/>
  <c r="F103" i="4" a="1"/>
  <c r="F105" i="4" a="1"/>
  <c r="F96" i="4" a="1"/>
  <c r="F109" i="4" a="1"/>
  <c r="F92" i="4" a="1"/>
  <c r="F114" i="4" a="1"/>
  <c r="F89" i="4" a="1"/>
  <c r="F106" i="4" a="1"/>
  <c r="F86" i="4" a="1"/>
  <c r="F110" i="4" a="1"/>
  <c r="F91" i="4" a="1"/>
  <c r="F98" i="4" a="1"/>
  <c r="F71" i="4" a="1"/>
  <c r="F82" i="4" a="1"/>
  <c r="F102" i="4" a="1"/>
  <c r="F116" i="4" a="1"/>
  <c r="F108" i="4" a="1"/>
  <c r="F73" i="4" a="1"/>
  <c r="F84" i="4" a="1"/>
  <c r="F70" i="4" a="1"/>
  <c r="F93" i="4" a="1"/>
  <c r="F83" i="4" a="1"/>
  <c r="F74" i="4" a="1"/>
  <c r="F85" i="4" a="1"/>
  <c r="F87" i="4" a="1"/>
  <c r="F111" i="4" a="1"/>
  <c r="F99" i="4" a="1"/>
  <c r="F95" i="4" a="1"/>
  <c r="F90" i="4" a="1"/>
  <c r="E15" i="4" a="1"/>
  <c r="F69" i="4" a="1"/>
  <c r="F76" i="4" a="1"/>
  <c r="G112" i="4" a="1"/>
  <c r="G107" i="4" a="1"/>
  <c r="G115" i="4" a="1"/>
  <c r="G99" i="4" a="1"/>
  <c r="G106" i="4" a="1"/>
  <c r="G88" i="4" a="1"/>
  <c r="G87" i="4" a="1"/>
  <c r="G76" i="4" a="1"/>
  <c r="G118" i="4" a="1"/>
  <c r="G117" i="4" a="1"/>
  <c r="G85" i="4" a="1"/>
  <c r="G102" i="4" a="1"/>
  <c r="E16" i="4" a="1"/>
  <c r="G100" i="4" a="1"/>
  <c r="G84" i="4" a="1"/>
  <c r="G94" i="4" a="1"/>
  <c r="G70" i="4" a="1"/>
  <c r="G109" i="4" a="1"/>
  <c r="G83" i="4" a="1"/>
  <c r="G98" i="4" a="1"/>
  <c r="G111" i="4" a="1"/>
  <c r="G95" i="4" a="1"/>
  <c r="G93" i="4" a="1"/>
  <c r="G80" i="4" a="1"/>
  <c r="G72" i="4" a="1"/>
  <c r="G92" i="4" a="1"/>
  <c r="G79" i="4" a="1"/>
  <c r="G73" i="4" a="1"/>
  <c r="D16" i="4" a="1"/>
  <c r="G105" i="4" a="1"/>
  <c r="G91" i="4" a="1"/>
  <c r="G77" i="4" a="1"/>
  <c r="G116" i="4" a="1"/>
  <c r="G71" i="4" a="1"/>
  <c r="G97" i="4" a="1"/>
  <c r="G101" i="4" a="1"/>
  <c r="G86" i="4" a="1"/>
  <c r="G78" i="4" a="1"/>
  <c r="G104" i="4" a="1"/>
  <c r="G75" i="4" a="1"/>
  <c r="F25" i="4" a="1"/>
  <c r="G113" i="4" a="1"/>
  <c r="G90" i="4" a="1"/>
  <c r="G82" i="4" a="1"/>
  <c r="G114" i="4" a="1"/>
  <c r="G103" i="4" a="1"/>
  <c r="G96" i="4" a="1"/>
  <c r="G108" i="4" a="1"/>
  <c r="G89" i="4" a="1"/>
  <c r="G81" i="4" a="1"/>
  <c r="G110" i="4" a="1"/>
  <c r="G74" i="4" a="1"/>
  <c r="G69" i="4" a="1"/>
  <c r="D114" i="4" a="1"/>
  <c r="D77" i="4" a="1"/>
  <c r="D113" i="4" a="1"/>
  <c r="D102" i="4" a="1"/>
  <c r="D86" i="4" a="1"/>
  <c r="D103" i="4" a="1"/>
  <c r="D98" i="4" a="1"/>
  <c r="C25" i="4" a="1"/>
  <c r="D88" i="4" a="1"/>
  <c r="D85" i="4" a="1"/>
  <c r="D104" i="4" a="1"/>
  <c r="D76" i="4" a="1"/>
  <c r="D13" i="4" a="1"/>
  <c r="D100" i="4" a="1"/>
  <c r="D78" i="4" a="1"/>
  <c r="D109" i="4" a="1"/>
  <c r="D110" i="4" a="1"/>
  <c r="D96" i="4" a="1"/>
  <c r="D117" i="4" a="1"/>
  <c r="D71" i="4" a="1"/>
  <c r="D87" i="4" a="1"/>
  <c r="D116" i="4" a="1"/>
  <c r="D99" i="4" a="1"/>
  <c r="D90" i="4" a="1"/>
  <c r="D81" i="4" a="1"/>
  <c r="D105" i="4" a="1"/>
  <c r="D95" i="4" a="1"/>
  <c r="D73" i="4" a="1"/>
  <c r="D75" i="4" a="1"/>
  <c r="D115" i="4" a="1"/>
  <c r="D94" i="4" a="1"/>
  <c r="D93" i="4" a="1"/>
  <c r="D83" i="4" a="1"/>
  <c r="D91" i="4" a="1"/>
  <c r="D82" i="4" a="1"/>
  <c r="D107" i="4" a="1"/>
  <c r="D108" i="4" a="1"/>
  <c r="D89" i="4" a="1"/>
  <c r="D80" i="4" a="1"/>
  <c r="D97" i="4" a="1"/>
  <c r="D69" i="4" a="1"/>
  <c r="D72" i="4" a="1"/>
  <c r="D79" i="4" a="1"/>
  <c r="D112" i="4" a="1"/>
  <c r="E13" i="4" a="1"/>
  <c r="D70" i="4" a="1"/>
  <c r="D74" i="4" a="1"/>
  <c r="D92" i="4" a="1"/>
  <c r="D84" i="4" a="1"/>
  <c r="D111" i="4" a="1"/>
  <c r="D118" i="4" a="1"/>
  <c r="D101" i="4" a="1"/>
  <c r="D106" i="4" a="1"/>
  <c r="D188" i="3" l="1" a="1"/>
  <c r="D188" i="3" s="1"/>
  <c r="D106" i="4"/>
  <c r="D101" i="4"/>
  <c r="D118" i="4"/>
  <c r="D111" i="4"/>
  <c r="D84" i="4"/>
  <c r="D92" i="4"/>
  <c r="D74" i="4"/>
  <c r="D70" i="4"/>
  <c r="E13" i="4"/>
  <c r="D112" i="4"/>
  <c r="D79" i="4"/>
  <c r="D72" i="4"/>
  <c r="D69" i="4"/>
  <c r="D97" i="4"/>
  <c r="D80" i="4"/>
  <c r="D89" i="4"/>
  <c r="D108" i="4"/>
  <c r="D107" i="4"/>
  <c r="D82" i="4"/>
  <c r="D91" i="4"/>
  <c r="D83" i="4"/>
  <c r="D93" i="4"/>
  <c r="D94" i="4"/>
  <c r="D115" i="4"/>
  <c r="D75" i="4"/>
  <c r="D73" i="4"/>
  <c r="D95" i="4"/>
  <c r="D105" i="4"/>
  <c r="D81" i="4"/>
  <c r="D90" i="4"/>
  <c r="D99" i="4"/>
  <c r="D116" i="4"/>
  <c r="D87" i="4"/>
  <c r="D71" i="4"/>
  <c r="D117" i="4"/>
  <c r="D96" i="4"/>
  <c r="D110" i="4"/>
  <c r="D109" i="4"/>
  <c r="D78" i="4"/>
  <c r="D100" i="4"/>
  <c r="D13" i="4"/>
  <c r="D76" i="4"/>
  <c r="D104" i="4"/>
  <c r="D85" i="4"/>
  <c r="D88" i="4"/>
  <c r="C25" i="4"/>
  <c r="G25" i="4" s="1"/>
  <c r="D98" i="4"/>
  <c r="D103" i="4"/>
  <c r="D86" i="4"/>
  <c r="D102" i="4"/>
  <c r="D113" i="4"/>
  <c r="D77" i="4"/>
  <c r="D114" i="4"/>
  <c r="G69" i="4"/>
  <c r="G74" i="4"/>
  <c r="G110" i="4"/>
  <c r="G81" i="4"/>
  <c r="G89" i="4"/>
  <c r="G108" i="4"/>
  <c r="G96" i="4"/>
  <c r="G103" i="4"/>
  <c r="G114" i="4"/>
  <c r="G82" i="4"/>
  <c r="G90" i="4"/>
  <c r="G113" i="4"/>
  <c r="F25" i="4"/>
  <c r="G75" i="4"/>
  <c r="G104" i="4"/>
  <c r="G78" i="4"/>
  <c r="G86" i="4"/>
  <c r="G101" i="4"/>
  <c r="G97" i="4"/>
  <c r="G71" i="4"/>
  <c r="G116" i="4"/>
  <c r="G77" i="4"/>
  <c r="G91" i="4"/>
  <c r="G105" i="4"/>
  <c r="D16" i="4"/>
  <c r="G73" i="4"/>
  <c r="G79" i="4"/>
  <c r="G92" i="4"/>
  <c r="G72" i="4"/>
  <c r="G80" i="4"/>
  <c r="G93" i="4"/>
  <c r="G95" i="4"/>
  <c r="G111" i="4"/>
  <c r="G98" i="4"/>
  <c r="G83" i="4"/>
  <c r="G109" i="4"/>
  <c r="G70" i="4"/>
  <c r="G94" i="4"/>
  <c r="G84" i="4"/>
  <c r="G100" i="4"/>
  <c r="E16" i="4"/>
  <c r="G102" i="4"/>
  <c r="G85" i="4"/>
  <c r="G117" i="4"/>
  <c r="G118" i="4"/>
  <c r="G76" i="4"/>
  <c r="G87" i="4"/>
  <c r="G88" i="4"/>
  <c r="G106" i="4"/>
  <c r="G99" i="4"/>
  <c r="G115" i="4"/>
  <c r="G107" i="4"/>
  <c r="G112" i="4"/>
  <c r="F76" i="4"/>
  <c r="F69" i="4"/>
  <c r="E15" i="4"/>
  <c r="D35" i="4" s="1"/>
  <c r="F90" i="4"/>
  <c r="F95" i="4"/>
  <c r="F99" i="4"/>
  <c r="F111" i="4"/>
  <c r="F87" i="4"/>
  <c r="F85" i="4"/>
  <c r="F74" i="4"/>
  <c r="F83" i="4"/>
  <c r="F93" i="4"/>
  <c r="F70" i="4"/>
  <c r="F84" i="4"/>
  <c r="F73" i="4"/>
  <c r="F108" i="4"/>
  <c r="F116" i="4"/>
  <c r="F102" i="4"/>
  <c r="F82" i="4"/>
  <c r="F71" i="4"/>
  <c r="F98" i="4"/>
  <c r="F91" i="4"/>
  <c r="F110" i="4"/>
  <c r="F86" i="4"/>
  <c r="F106" i="4"/>
  <c r="F89" i="4"/>
  <c r="F114" i="4"/>
  <c r="F92" i="4"/>
  <c r="F109" i="4"/>
  <c r="F96" i="4"/>
  <c r="F105" i="4"/>
  <c r="F103" i="4"/>
  <c r="F104" i="4"/>
  <c r="F112" i="4"/>
  <c r="F81" i="4"/>
  <c r="F72" i="4"/>
  <c r="F115" i="4"/>
  <c r="F75" i="4"/>
  <c r="F101" i="4"/>
  <c r="F79" i="4"/>
  <c r="F118" i="4"/>
  <c r="F78" i="4"/>
  <c r="F100" i="4"/>
  <c r="D15" i="4"/>
  <c r="D34" i="4" s="1"/>
  <c r="F80" i="4"/>
  <c r="F113" i="4"/>
  <c r="F97" i="4"/>
  <c r="E25" i="4"/>
  <c r="F88" i="4"/>
  <c r="F117" i="4"/>
  <c r="F77" i="4"/>
  <c r="F94" i="4"/>
  <c r="F107" i="4"/>
  <c r="D191" i="3" a="1"/>
  <c r="D191" i="3" s="1"/>
  <c r="D189" i="3" a="1"/>
  <c r="D189" i="3" s="1"/>
  <c r="D190" i="3" a="1"/>
  <c r="D190" i="3" s="1"/>
  <c r="D192" i="3" a="1"/>
  <c r="D192" i="3" s="1"/>
  <c r="G13" i="4" a="1"/>
  <c r="G14" i="4" a="1"/>
  <c r="D120" i="4" a="1"/>
  <c r="D33" i="4" a="1"/>
  <c r="B46" i="4" a="1"/>
  <c r="G15" i="4" a="1"/>
  <c r="G16" i="4" a="1"/>
  <c r="G13" i="4" l="1"/>
  <c r="G16" i="4"/>
  <c r="G15" i="4"/>
  <c r="C47" i="4"/>
  <c r="D46" i="4"/>
  <c r="C46" i="4"/>
  <c r="B47" i="4"/>
  <c r="B123" i="4" s="1"/>
  <c r="E47" i="4"/>
  <c r="B46" i="4"/>
  <c r="B122" i="4" s="1"/>
  <c r="B48" i="4"/>
  <c r="B124" i="4" s="1"/>
  <c r="E48" i="4"/>
  <c r="C48" i="4"/>
  <c r="D47" i="4"/>
  <c r="D48" i="4"/>
  <c r="E46" i="4"/>
  <c r="D33" i="4"/>
  <c r="D120" i="4"/>
  <c r="G14" i="4"/>
  <c r="D30" i="4"/>
  <c r="D32" i="4"/>
  <c r="F124" i="4" l="1"/>
  <c r="G122" i="4"/>
  <c r="F123" i="4"/>
  <c r="F122" i="4"/>
  <c r="G124" i="4"/>
  <c r="G123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<sst xmlns="http://schemas.openxmlformats.org/spreadsheetml/2006/main" count="765" uniqueCount="361">
  <si>
    <t xml:space="preserve">Решение о расширении мощностей</t>
  </si>
  <si>
    <t xml:space="preserve">Пример МоделРиск  ·  Производство  ·  MF-07</t>
  </si>
  <si>
    <t xml:space="preserve">Сколько прессов добавить?  Сезонный, растущий, неопределенный спрос против мощности, сверхурочной работы и субподрядчика.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</si>
  <si>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</si>
  <si>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</si>
  <si>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</si>
  <si>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Производство</t>
  </si>
  <si>
    <t xml:space="preserve">Сложность</t>
  </si>
  <si>
    <t xml:space="preserve">★★★★☆   Шестьдесят месяцев сезонного неопределенного спроса; четыре варианта мощности со сверхурочной работой, субподрядом и потерянными продажами месяц за месяцем — в сравнении на одних и тех же смоделированных месяцах и с планом.</t>
  </si>
  <si>
    <t xml:space="preserve">Вопрос бизнеса</t>
  </si>
  <si>
    <t xml:space="preserve">Завод работает на четырех прессах почти на пределе в пиковые месяцы, а спрос растет. Сверхурочная работа и субподрядчик могут поглотить часть пиков; сверх этого продажи теряются. Сколько прессов заводу добавить сейчас — ни одного, один, два или три, — когда неопределенны и рост спроса, и его уровень от месяца к месяцу, и эффективность прессов? И что упускает план, построенный на среднем прогнозе?</t>
  </si>
  <si>
    <t xml:space="preserve">Для кого</t>
  </si>
  <si>
    <t xml:space="preserve">Руководителям операций и заводов, специалистам по планированию мощностей, финансистам производства и инвестиционным комитетам.</t>
  </si>
  <si>
    <t xml:space="preserve">Основные результаты</t>
  </si>
  <si>
    <t xml:space="preserve">Затраты по каждому варианту за пять лет — новые прессы за вычетом остаточной стоимости, постоянные затраты, сверхурочная работа, субподряд и потерянные продажи — по плану и по моделированию: среднее, 1 раз из 10 и вероятность, что вариант дешевле всех · доля выполненного спроса · месячный спрос против мощности · что определяет ценность нового пресса.</t>
  </si>
  <si>
    <t xml:space="preserve">Приемы МоделРиск</t>
  </si>
  <si>
    <t xml:space="preserve">Сезонный спрос как сезонное геометрическое броуновское движение (VoseTimeSeasonalGBM) с неопределенным ростом · ОЕЕ каждого месяца вокруг неопределенного уровня завода · сверхурочная работа, субподряд и потерянные продажи месяц за месяцем · четыре варианта на одних и тех же смоделированных месяцах (общие случайные числа) · план на среднем прогнозе против моделирования · веерная диаграмма спроса против мощности.</t>
  </si>
  <si>
    <t xml:space="preserve">Файл</t>
  </si>
  <si>
    <t xml:space="preserve">MF-07 Решение о расширении мощностей  ·  Версия 1.0  ·  Ноябрь 2026  ·  создано в МоделРиск</t>
  </si>
  <si>
    <t xml:space="preserve">Вопрос бизнеса</t>
  </si>
  <si>
    <t xml:space="preserve">Предприятие отливает пластиковые корпуса для кондиционеров на четырех термопластавтоматах. Спрос в среднем около 78 000 деталей в месяц, достигает пика в конце весны на 15% выше среднего и, как ожидается, растет примерно на 6% в год — но программа нового заказчика может добавить больше, а потеря заказчика может остановить рост. Прессы выпускают около 80 000 деталей в месяц; сверхурочная работа по субботам добавляет до 10%, а субподрядчик может взять до 10 000 деталей в месяц с надбавкой. Корпуса делаются под заказ для модели каждого заказчика, поэтому завод не может создать запас перед пиком: то, что нельзя сделать в свой месяц, теряется. Новый пресс стоит 400 000 долл. с монтажом, и его поставка занимает около шести месяцев. План, построенный на среднем прогнозе, находит сверхурочную работу и субподрядчика дешевле нового пресса. Прав ли он — и если пресс нужен, то один или два?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</si>
  <si>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</si>
  <si>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</si>
  <si>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</si>
  <si>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Сегодняшний спрос без сезонности, его рост (неопределенный) и волатильность; двенадцать месячных сезонных коэффициентов; прессы, их выработка при полной эффективности и ОЕЕ завода; пределы и стоимость сверхурочной работы и субподряда; маржинальный доход, теряемый на потерянной продаже; цена, постоянные затраты, срок поставки и остаточная стоимость нового пресса; ставка дисконтирования.</t>
  </si>
  <si>
    <t xml:space="preserve">2  Мощность</t>
  </si>
  <si>
    <t xml:space="preserve">VoseTimeSeasonalGBM разыгрывает шестьдесят месяцев спроса, а ОЕЕ каждого месяца разыгрывается вокруг уровня завода. Каждый вариант — без нового пресса, один, два или три — это одинаковый блок строк: прессы делают, что могут, в нормальное время; сверхурочная работа, затем субподрядчик берут, что могут, из нехватки; остальное теряется. Блок заканчивается затратами варианта за пять лет по составляющим, дисконтированными к сегодняшнему дню. План прогоняет те же блоки на среднем прогнозе.</t>
  </si>
  <si>
    <t xml:space="preserve">3  Результаты</t>
  </si>
  <si>
    <t xml:space="preserve">Затраты каждого варианта за пять лет по плану и по моделированию; доля выполненного спроса и вероятность, что вариант дешевле всех; откуда берутся затраты; экономия от одного пресса и защита от второго; месячный спрос против мощности; что определяет экономию.</t>
  </si>
  <si>
    <t xml:space="preserve">Как пользоваться моделью</t>
  </si>
  <si>
    <t xml:space="preserve">Шаг 1</t>
  </si>
  <si>
    <t xml:space="preserve">Введите свой спрос, его рост и сезонную картину на листе «Исходные данные».</t>
  </si>
  <si>
    <t xml:space="preserve">Шаг 2</t>
  </si>
  <si>
    <t xml:space="preserve">Введите свои прессы и их эффективность, пределы и стоимость сверхурочной работы, субподряда и потерянных продаж.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</si>
  <si>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</si>
  <si>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</si>
  <si>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</si>
  <si>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Сравнивайте варианты по средним затратам и по плохим годам; попробуйте более крупного субподрядчика или более быструю поставку.</t>
  </si>
  <si>
    <t xml:space="preserve">Структура модели</t>
  </si>
  <si>
    <t xml:space="preserve">Исходные данные</t>
  </si>
  <si>
    <t xml:space="preserve">Спрос, сезонность, прессы, гибкая мощность, новые прессы, ставка дисконтирования.</t>
  </si>
  <si>
    <t xml:space="preserve">Мощность</t>
  </si>
  <si>
    <t xml:space="preserve">Месячный спрос и ОЕЕ; сводка по годам; каждый вариант месяц за месяцем с его затратами; план; выходы и проверки.</t>
  </si>
  <si>
    <t xml:space="preserve">Результаты</t>
  </si>
  <si>
    <t xml:space="preserve">Сравнение вариантов, откуда берутся их затраты, спрос против мощности, что определяет экономию от пресса.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</si>
  <si>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</si>
  <si>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</si>
  <si>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</si>
  <si>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</si>
  <si>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</si>
  <si>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</si>
  <si>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</si>
  <si>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</si>
  <si>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</si>
  <si>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</si>
  <si>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</si>
  <si>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</si>
  <si>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Детали</t>
  </si>
  <si>
    <t xml:space="preserve">Тысяч деталей в месяц.</t>
  </si>
  <si>
    <t xml:space="preserve">Деньги</t>
  </si>
  <si>
    <t xml:space="preserve">Тысячи долларов США (тыс. долл.), в сегодняшних ценах; затраты на деталь в долл.</t>
  </si>
  <si>
    <t xml:space="preserve">Месяцы</t>
  </si>
  <si>
    <t xml:space="preserve">Месяц 1 — январь следующего года; затраты дисконтируются помесячно к сегодняшнему дню.</t>
  </si>
  <si>
    <t xml:space="preserve">Затраты за пять лет</t>
  </si>
  <si>
    <t xml:space="preserve">Новые прессы по цене за вычетом приведенной стоимости того, что от них останется через пять лет, плюс их постоянные затраты, надбавки за сверхурочную работу и субподряд и маржинальный доход, потерянный на потерянных продажах — все дисконтировано.</t>
  </si>
  <si>
    <t xml:space="preserve">План</t>
  </si>
  <si>
    <t xml:space="preserve">Тот же расчет с ростом по наиболее вероятной ставке и без волатильности, ОЕЕ на наиболее вероятном уровне каждый месяц и поставкой в наиболее вероятный срок.</t>
  </si>
  <si>
    <t xml:space="preserve">Основные допущения и ограничения</t>
  </si>
  <si>
    <t xml:space="preserve">Спрос</t>
  </si>
  <si>
    <t xml:space="preserve">Сезонное геометрическое броуновское движение: изменения уровня сохраняются, а сезонная картина повторяется каждый год.</t>
  </si>
  <si>
    <t xml:space="preserve">Предложение</t>
  </si>
  <si>
    <t xml:space="preserve">Сначала нормальное время, затем сверхурочная работа, затем субподрядчик; спрос, который нельзя выполнить в его месяц, теряется, а не переносится.</t>
  </si>
  <si>
    <t xml:space="preserve">Прессы</t>
  </si>
  <si>
    <t xml:space="preserve">Все прессы одинаковы; новые прессы заказываются сейчас и выпускают детали с месяца после поставки; через пять лет пресс стоит половину своей цены.</t>
  </si>
  <si>
    <t xml:space="preserve">Данные</t>
  </si>
  <si>
    <t xml:space="preserve">Компания и все цифры придуманы для этого примера.</t>
  </si>
  <si>
    <t xml:space="preserve">Функции МоделРиск в модели</t>
  </si>
  <si>
    <t>VoseTimeSeasonalGBM</t>
  </si>
  <si>
    <t xml:space="preserve">Шестьдесят месяцев спроса: растущий неопределенный уровень с повторяющейся сезонной картиной (функция массива).</t>
  </si>
  <si>
    <t>VosePERT</t>
  </si>
  <si>
    <t xml:space="preserve">Устойчивая ОЕЕ завода, ОЕЕ каждого месяца вокруг нее, рост спроса и срок поставки.</t>
  </si>
  <si>
    <t>VoseInput, VoseOutput</t>
  </si>
  <si>
    <t xml:space="preserve">Отмечают неопределенные входы и выходы, записываемые на каждой итерации.</t>
  </si>
  <si>
    <t>VoseSimMean, VoseSimPercentile, VoseSimProbability</t>
  </si>
  <si>
    <t xml:space="preserve">Статистика моделирования для таблиц и графиков на листе «Результаты».</t>
  </si>
  <si>
    <t>VoseSimSensitivityMean</t>
  </si>
  <si>
    <t xml:space="preserve">Торнадо-диаграмма: каждый VoseInput ранжирован по тому, насколько средняя экономия от пресса меняется в его диапазоне.</t>
  </si>
  <si>
    <t xml:space="preserve">Что почитать</t>
  </si>
  <si>
    <t xml:space="preserve">Планирование мощностей</t>
  </si>
  <si>
    <t>Stevenson, W. J. (2021). Operations Management, 14th edition. McGraw-Hill — strategic capacity planning.</t>
  </si>
  <si>
    <t xml:space="preserve">Планирование по средним</t>
  </si>
  <si>
    <t>Savage, S. L. (2009). The Flaw of Averages. Wiley.</t>
  </si>
  <si>
    <t xml:space="preserve">Гибкость</t>
  </si>
  <si>
    <t>de Neufville, R. &amp; Scholtes, S. (2011). Flexibility in Engineering Design. MIT Press.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</si>
  <si>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</si>
  <si>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</si>
  <si>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</si>
  <si>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Мощность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</si>
  <si>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</si>
  <si>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Спрос</t>
  </si>
  <si>
    <t xml:space="preserve">Спрос на корпуса и его рост.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</si>
  <si>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</si>
  <si>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</si>
  <si>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</si>
  <si>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</si>
  <si>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</si>
  <si>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</si>
  <si>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</si>
  <si>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</si>
  <si>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Обоснование / источник (условно)</t>
  </si>
  <si>
    <t xml:space="preserve">Спрос сегодня, без сезонности</t>
  </si>
  <si>
    <t xml:space="preserve">тыс. дет./мес.</t>
  </si>
  <si>
    <t xml:space="preserve">Константа</t>
  </si>
  <si>
    <t xml:space="preserve">Средний месяц из последних двенадцати.</t>
  </si>
  <si>
    <t xml:space="preserve">Рост спроса</t>
  </si>
  <si>
    <t xml:space="preserve">в год</t>
  </si>
  <si>
    <t>PERT</t>
  </si>
  <si>
    <t xml:space="preserve">План продаж 6%; программа нового заказчика может добавить больше, потеря заказчика может остановить рост.</t>
  </si>
  <si>
    <t xml:space="preserve">Волатильность уровня спроса</t>
  </si>
  <si>
    <t xml:space="preserve">в месяц</t>
  </si>
  <si>
    <t xml:space="preserve">Изменения сохраняются: изменение одного месяца переходит на следующие.</t>
  </si>
  <si>
    <t xml:space="preserve">2   Сезонность</t>
  </si>
  <si>
    <t xml:space="preserve">Спрос каждого месяца как кратное среднему месяцу.</t>
  </si>
  <si>
    <t xml:space="preserve">Январь</t>
  </si>
  <si>
    <t xml:space="preserve">× средний месяц</t>
  </si>
  <si>
    <t xml:space="preserve">По продажам последних трех лет; среднее двенадцати коэффициентов — 1.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</si>
  <si>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</si>
  <si>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</si>
  <si>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</si>
  <si>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</si>
  <si>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</si>
  <si>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</si>
  <si>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</si>
  <si>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</si>
  <si>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</si>
  <si>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</si>
  <si>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</si>
  <si>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Среднее двенадцати коэффициентов</t>
  </si>
  <si>
    <t xml:space="preserve">Расчетное</t>
  </si>
  <si>
    <t xml:space="preserve">Должно быть 1,00.</t>
  </si>
  <si>
    <t xml:space="preserve">3   Прессы</t>
  </si>
  <si>
    <t xml:space="preserve">Сегодняшние прессы и их эффективность.</t>
  </si>
  <si>
    <t xml:space="preserve">Прессов сегодня</t>
  </si>
  <si>
    <t xml:space="preserve">прессов</t>
  </si>
  <si>
    <t xml:space="preserve">Выработка одного пресса при полной эффективности</t>
  </si>
  <si>
    <t xml:space="preserve">Две смены, пять дней в неделю.</t>
  </si>
  <si>
    <t xml:space="preserve">ОЕЕ завода, устойчивая</t>
  </si>
  <si>
    <t xml:space="preserve">от полной эффективности</t>
  </si>
  <si>
    <t xml:space="preserve">Общая эффективность оборудования (ОЕЕ): готовность × скорость × качество. В прошлом году 79%.</t>
  </si>
  <si>
    <t xml:space="preserve">Плохой месяц: ОЕЕ ниже уровня завода до …</t>
  </si>
  <si>
    <t xml:space="preserve">п. п.</t>
  </si>
  <si>
    <t xml:space="preserve">Поломки, проблемы с материалом, отсутствие персонала.</t>
  </si>
  <si>
    <t xml:space="preserve">Хороший месяц: ОЕЕ выше уровня завода до …</t>
  </si>
  <si>
    <t xml:space="preserve">4   Сверхурочная работа, субподряд и потерянные продажи</t>
  </si>
  <si>
    <t xml:space="preserve">Используются в этом порядке, когда спрос превышает нормальную выработку.</t>
  </si>
  <si>
    <t xml:space="preserve">Сверхурочная работа: дополнительная выработка, не более</t>
  </si>
  <si>
    <t xml:space="preserve">от нормальной выработки</t>
  </si>
  <si>
    <t xml:space="preserve">Субботние смены.</t>
  </si>
  <si>
    <t xml:space="preserve">Сверхурочная работа: дополнительные затраты</t>
  </si>
  <si>
    <t xml:space="preserve">долл. за деталь</t>
  </si>
  <si>
    <t xml:space="preserve">Надбавка к оплате сверхурочной работы.</t>
  </si>
  <si>
    <t xml:space="preserve">Субподрядчик: мощность</t>
  </si>
  <si>
    <t xml:space="preserve">Литейщик со свободными прессами; оснастка уже квалифицирована.</t>
  </si>
  <si>
    <t xml:space="preserve">Субподрядчик: дополнительные затраты</t>
  </si>
  <si>
    <t xml:space="preserve">Его цена за вычетом наших собственных переменных затрат.</t>
  </si>
  <si>
    <t xml:space="preserve">Потерянная продажа: потерянный маржинальный доход</t>
  </si>
  <si>
    <t xml:space="preserve">Цена за вычетом переменных затрат: заказчик покупает в другом месте.</t>
  </si>
  <si>
    <t xml:space="preserve">5   Новые прессы</t>
  </si>
  <si>
    <t xml:space="preserve">Заказываются сейчас.</t>
  </si>
  <si>
    <t xml:space="preserve">Цена пресса с монтажом</t>
  </si>
  <si>
    <t xml:space="preserve">тыс. долл.</t>
  </si>
  <si>
    <t xml:space="preserve">Постоянные затраты пресса</t>
  </si>
  <si>
    <t xml:space="preserve">тыс. долл. в месяц</t>
  </si>
  <si>
    <t xml:space="preserve">Обслуживание, энергия и площадь — с месяца начала работы.</t>
  </si>
  <si>
    <t xml:space="preserve">Поставка и монтаж</t>
  </si>
  <si>
    <t xml:space="preserve">мес.</t>
  </si>
  <si>
    <t xml:space="preserve">Округляется до целых месяцев; пресс выпускает детали со следующего месяца.</t>
  </si>
  <si>
    <t xml:space="preserve">Остаточная стоимость через пять лет</t>
  </si>
  <si>
    <t xml:space="preserve">от цены</t>
  </si>
  <si>
    <t xml:space="preserve">Срок службы десять лет: через пять лет пресс изношен наполовину.</t>
  </si>
  <si>
    <t xml:space="preserve">6   Финансирование</t>
  </si>
  <si>
    <t xml:space="preserve">Ставка дисконтирования</t>
  </si>
  <si>
    <t xml:space="preserve">Стоимость капитала.</t>
  </si>
  <si>
    <t xml:space="preserve">МОЩНОСТЬ   ·   Шестьдесят месяцев спроса, выработка и затраты каждого варианта.</t>
  </si>
  <si>
    <t xml:space="preserve">◂  Исходные данные</t>
  </si>
  <si>
    <t xml:space="preserve">Далее:  Результаты  ▸</t>
  </si>
  <si>
    <t xml:space="preserve">Месяц</t>
  </si>
  <si>
    <t xml:space="preserve">Итого</t>
  </si>
  <si>
    <t xml:space="preserve">Календарный месяц</t>
  </si>
  <si>
    <t xml:space="preserve">1   Единичные значения этой итерации</t>
  </si>
  <si>
    <t xml:space="preserve">Величина</t>
  </si>
  <si>
    <t xml:space="preserve">Значение</t>
  </si>
  <si>
    <t xml:space="preserve">Как рассчитывается</t>
  </si>
  <si>
    <t xml:space="preserve">Первый месяц прогноза</t>
  </si>
  <si>
    <t xml:space="preserve">дата</t>
  </si>
  <si>
    <t xml:space="preserve">Январь следующего года: сезонные коэффициенты начинаются с января</t>
  </si>
  <si>
    <t xml:space="preserve">Месяцев в прогнозе</t>
  </si>
  <si>
    <t xml:space="preserve">Столбцы месяцев этого листа</t>
  </si>
  <si>
    <t xml:space="preserve">Снос логарифма спроса</t>
  </si>
  <si>
    <t xml:space="preserve">Сохраняет рост ожидаемого уровня по ставке роста: ln(1 + g) ÷ 12 − σ²/2</t>
  </si>
  <si>
    <t xml:space="preserve">Спрос в декабре, месяце перед прогнозом</t>
  </si>
  <si>
    <t xml:space="preserve">тыс. деталей</t>
  </si>
  <si>
    <t xml:space="preserve">Сегодняшний уровень × коэффициент декабря: ряд продолжается от него</t>
  </si>
  <si>
    <t xml:space="preserve">Месяцев до начала работы нового пресса</t>
  </si>
  <si>
    <t xml:space="preserve">Поставка и монтаж, с округлением; пресс выпускает детали со следующего месяца</t>
  </si>
  <si>
    <t xml:space="preserve">…по плану</t>
  </si>
  <si>
    <t xml:space="preserve">Наиболее вероятный срок поставки</t>
  </si>
  <si>
    <t xml:space="preserve">Чистая стоимость пресса, купленного сейчас</t>
  </si>
  <si>
    <t xml:space="preserve">Его цена за вычетом приведенной стоимости того, что от него останется в конце прогноза</t>
  </si>
  <si>
    <t xml:space="preserve">2   Спрос и эффективность</t>
  </si>
  <si>
    <t xml:space="preserve">VoseTimeSeasonalGBM: шестьдесят месяцев спроса, одинаковые для всех четырех вариантов. ОЕЕ каждого месяца разыгрывается вокруг уровня завода.</t>
  </si>
  <si>
    <t xml:space="preserve">Спрос  (выход для веерной диаграммы)</t>
  </si>
  <si>
    <t xml:space="preserve">Сезонный коэффициент</t>
  </si>
  <si>
    <t xml:space="preserve">Спрос по плану  (средний прогноз)</t>
  </si>
  <si>
    <t xml:space="preserve">ОЕЕ в этом месяце</t>
  </si>
  <si>
    <t xml:space="preserve">Коэффициент дисконтирования</t>
  </si>
  <si>
    <t xml:space="preserve">Календарный год</t>
  </si>
  <si>
    <t xml:space="preserve">3   По годам</t>
  </si>
  <si>
    <t xml:space="preserve">Месяцы этой итерации, сложенные по календарным годам: СУММЕСЛИ по строке календарного года (нажмите F9 для другой итерации).</t>
  </si>
  <si>
    <t xml:space="preserve">Тысяч деталей за год</t>
  </si>
  <si>
    <t xml:space="preserve">Спрос по плану</t>
  </si>
  <si>
    <t xml:space="preserve">Потерянные продажи: без нового пресса</t>
  </si>
  <si>
    <t xml:space="preserve">Потерянные продажи: один новый пресс</t>
  </si>
  <si>
    <t xml:space="preserve">Потерянные продажи: два новых пресса</t>
  </si>
  <si>
    <t xml:space="preserve">Потерянные продажи: три новых пресса</t>
  </si>
  <si>
    <t xml:space="preserve">4   Вариант 0: без нового пресса</t>
  </si>
  <si>
    <t xml:space="preserve">Только сегодняшние прессы. Сначала нормальное время, затем сверхурочная работа, затем субподрядчик; остальное теряется. Затем затраты за пять лет, дисконтированные к сегодняшнему дню; зеленые ячейки записываются на каждой итерации.</t>
  </si>
  <si>
    <t xml:space="preserve">Новых прессов заказано сейчас</t>
  </si>
  <si>
    <t xml:space="preserve">Вариант: все месяцы ниже читают эту одну ячейку</t>
  </si>
  <si>
    <t xml:space="preserve">Новых прессов в работе</t>
  </si>
  <si>
    <t xml:space="preserve">Прессов в работе</t>
  </si>
  <si>
    <t xml:space="preserve">Нормальная выработка</t>
  </si>
  <si>
    <t xml:space="preserve">Сделано в нормальное время</t>
  </si>
  <si>
    <t xml:space="preserve">Нехватка</t>
  </si>
  <si>
    <t xml:space="preserve">Сверхурочно</t>
  </si>
  <si>
    <t xml:space="preserve">На субподряде</t>
  </si>
  <si>
    <t xml:space="preserve">Потерянные продажи</t>
  </si>
  <si>
    <t xml:space="preserve">Новые прессы за вычетом их остаточной стоимости</t>
  </si>
  <si>
    <t xml:space="preserve">Чистая стоимость пресса × заказанные прессы</t>
  </si>
  <si>
    <t xml:space="preserve">Постоянные затраты новых прессов</t>
  </si>
  <si>
    <t xml:space="preserve">Постоянные затраты в месяц × новые прессы в работе, с дисконтированием</t>
  </si>
  <si>
    <t xml:space="preserve">Надбавка за сверхурочную работу</t>
  </si>
  <si>
    <t xml:space="preserve">Дополнительные затраты на деталь × детали, сделанные сверхурочно, с дисконтированием</t>
  </si>
  <si>
    <t xml:space="preserve">Надбавка за субподряд</t>
  </si>
  <si>
    <t xml:space="preserve">Дополнительные затраты на деталь × детали на субподряде, с дисконтированием</t>
  </si>
  <si>
    <t xml:space="preserve">Потерянный маржинальный доход</t>
  </si>
  <si>
    <t xml:space="preserve">Маржинальный доход на деталь × потерянные продажи, с дисконтированием</t>
  </si>
  <si>
    <t xml:space="preserve">Сумма пяти составляющих затрат</t>
  </si>
  <si>
    <t xml:space="preserve">5   Вариант 1: один новый пресс</t>
  </si>
  <si>
    <t xml:space="preserve">Один новый пресс заказывается сейчас и работает с месяца после поставки. В остальном как вариант 0.</t>
  </si>
  <si>
    <t xml:space="preserve">6   Вариант 2: два новых пресса</t>
  </si>
  <si>
    <t xml:space="preserve">Два новых пресса заказываются сейчас и работают с месяца после поставки. В остальном как вариант 0.</t>
  </si>
  <si>
    <t xml:space="preserve">7   Вариант 3: три новых пресса</t>
  </si>
  <si>
    <t xml:space="preserve">Три новых пресса заказываются сейчас и работают с месяца после поставки. В остальном как вариант 0.</t>
  </si>
  <si>
    <t xml:space="preserve">8   План: те же варианты на среднем прогнозе</t>
  </si>
  <si>
    <t xml:space="preserve">Рост по наиболее вероятной ставке, без волатильности, ОЕЕ на наиболее вероятном уровне и поставка в наиболее вероятный срок; те же строки, что у каждого варианта выше.</t>
  </si>
  <si>
    <t xml:space="preserve">Без нового пресса</t>
  </si>
  <si>
    <t xml:space="preserve">Один новый пресс</t>
  </si>
  <si>
    <t xml:space="preserve">Два новых пресса</t>
  </si>
  <si>
    <t xml:space="preserve">Три новых пресса</t>
  </si>
  <si>
    <t xml:space="preserve">9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</si>
  <si>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</si>
  <si>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</si>
  <si>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</si>
  <si>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Затраты за пять лет: без нового пресса</t>
  </si>
  <si>
    <t xml:space="preserve">Из блока варианта выше.</t>
  </si>
  <si>
    <t xml:space="preserve">Затраты за пять лет: один новый пресс</t>
  </si>
  <si>
    <t xml:space="preserve">Затраты за пять лет: два новых пресса</t>
  </si>
  <si>
    <t xml:space="preserve">Затраты за пять лет: три новых пресса</t>
  </si>
  <si>
    <t xml:space="preserve">Спрос выполнен: без нового пресса</t>
  </si>
  <si>
    <t xml:space="preserve">доля</t>
  </si>
  <si>
    <t xml:space="preserve">Сделано, сверхурочно или на субподряде.</t>
  </si>
  <si>
    <t xml:space="preserve">Спрос выполнен: один новый пресс</t>
  </si>
  <si>
    <t xml:space="preserve">Спрос выполнен: два новых пресса</t>
  </si>
  <si>
    <t xml:space="preserve">Спрос выполнен: три новых пресса</t>
  </si>
  <si>
    <t xml:space="preserve">Самый дешевый вариант?  Без нового пресса  (1 — да)</t>
  </si>
  <si>
    <t>1 / 0</t>
  </si>
  <si>
    <t xml:space="preserve">В этой итерации.</t>
  </si>
  <si>
    <t xml:space="preserve">Самый дешевый вариант?  Один новый пресс  (1 — да)</t>
  </si>
  <si>
    <t xml:space="preserve">Самый дешевый вариант?  Два новых пресса  (1 — да)</t>
  </si>
  <si>
    <t xml:space="preserve">Самый дешевый вариант?  Три новых пресса  (1 — да)</t>
  </si>
  <si>
    <t xml:space="preserve">Экономия от одного нового пресса</t>
  </si>
  <si>
    <t xml:space="preserve">Без нового пресса минус один новый пресс.</t>
  </si>
  <si>
    <t xml:space="preserve">Затраты за пять лет по плану: без нового пресса</t>
  </si>
  <si>
    <t xml:space="preserve">То же на среднем прогнозе.</t>
  </si>
  <si>
    <t xml:space="preserve">Затраты за пять лет по плану: один новый пресс</t>
  </si>
  <si>
    <t xml:space="preserve">Затраты за пять лет по плану: два новых пресса</t>
  </si>
  <si>
    <t xml:space="preserve">Затраты за пять лет по плану: три новых пресса</t>
  </si>
  <si>
    <t xml:space="preserve">10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</si>
  <si>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</si>
  <si>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Все диапазоны на листе «Исходные данные» заданы верно  (нет ✗ в столбце «Среднее»)</t>
  </si>
  <si>
    <t xml:space="preserve">Среднее двенадцати сезонных коэффициентов равно 1</t>
  </si>
  <si>
    <t xml:space="preserve">ОЕЕ в каждом месяце от 0% до 100%</t>
  </si>
  <si>
    <t xml:space="preserve">Новые прессы приходят в пределах прогноза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</si>
  <si>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</si>
  <si>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Мощность</t>
  </si>
  <si>
    <t xml:space="preserve">1   Сколько прессов?</t>
  </si>
  <si>
    <t xml:space="preserve">Затраты за пять лет по вариантам — накопленная вероятность</t>
  </si>
  <si>
    <t xml:space="preserve">Затраты по каждому варианту за пять лет (тыс. долл.): новые прессы за вычетом их остаточной стоимости, постоянные затраты, надбавки за сверхурочную работу и субподряд, потерянный маржинальный доход.</t>
  </si>
  <si>
    <t xml:space="preserve">Вариант</t>
  </si>
  <si>
    <t xml:space="preserve">90-й проц.</t>
  </si>
  <si>
    <t xml:space="preserve">Вероятность</t>
  </si>
  <si>
    <t xml:space="preserve">средний прогноз</t>
  </si>
  <si>
    <t xml:space="preserve">по моделированию</t>
  </si>
  <si>
    <t xml:space="preserve">1 раз из 10</t>
  </si>
  <si>
    <t xml:space="preserve">выполнен, среднее</t>
  </si>
  <si>
    <t xml:space="preserve">дешевле всех</t>
  </si>
  <si>
    <t xml:space="preserve">Средние затраты за пять лет по составляющим  (тыс. долл.)</t>
  </si>
  <si>
    <t xml:space="preserve">0 новых</t>
  </si>
  <si>
    <t xml:space="preserve">1 новый</t>
  </si>
  <si>
    <t xml:space="preserve">2 новых</t>
  </si>
  <si>
    <t xml:space="preserve">3 новых</t>
  </si>
  <si>
    <t xml:space="preserve">Экономия от одного</t>
  </si>
  <si>
    <t xml:space="preserve">пресс.</t>
  </si>
  <si>
    <t xml:space="preserve">пресс.</t>
  </si>
  <si>
    <t xml:space="preserve">пресса</t>
  </si>
  <si>
    <t xml:space="preserve">Их постоянные затраты</t>
  </si>
  <si>
    <t xml:space="preserve">2   Что упускает план</t>
  </si>
  <si>
    <t xml:space="preserve">Месячный спрос против того, что может поставить завод</t>
  </si>
  <si>
    <t xml:space="preserve">Средний прогноз против смоделированных вариантов будущего.</t>
  </si>
  <si>
    <t xml:space="preserve">Показатель</t>
  </si>
  <si>
    <t xml:space="preserve">Затраты без нового пресса: среднее по моделированию ÷ план</t>
  </si>
  <si>
    <t xml:space="preserve">отношение</t>
  </si>
  <si>
    <t xml:space="preserve">Экономия от одного нового пресса по плану</t>
  </si>
  <si>
    <t xml:space="preserve">Экономия от одного нового пресса, среднее по моделированию</t>
  </si>
  <si>
    <t xml:space="preserve">Вероятность, что один новый пресс сэкономит деньги</t>
  </si>
  <si>
    <t xml:space="preserve">Второй пресс: дополнительные средние затраты</t>
  </si>
  <si>
    <t xml:space="preserve">Второй пресс: снижение затрат «1 раз из 10»</t>
  </si>
  <si>
    <t xml:space="preserve">3   Что определяет ценность пресса?</t>
  </si>
  <si>
    <t xml:space="preserve">Экономия от одного нового пресса — что ее определяет  (тыс. долл.)</t>
  </si>
  <si>
    <t xml:space="preserve">Наименьшая и наибольшая средняя экономия от нового пресса по десяти равным группам каждого входа (VoseSimSensitivityMean), от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</si>
  <si>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</si>
  <si>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</si>
  <si>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</si>
  <si>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</si>
  <si>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</si>
  <si>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•  По плану — спрос стабильно растет на 6% в год, прессы работают при ОЕЕ 80% каждый месяц — сверхурочная работа и субподрядчик поглощают пики два лета, и только в последние три лета теряется часть продаж. Бездействие стоит около 426 000 долл. за пять лет, на 45 000 долл. меньше нового пресса: план говорит — подождать.</t>
  </si>
  <si>
    <t xml:space="preserve">•  По смоделированным вариантам будущего бездействие стоит в среднем около 920 000 долл. — больше чем вдвое против плана — и больше 2,3 млн долл. один раз из десяти. Изъян плана — в средних: нехватка стоит до 2,20 долл. за деталь, а свободная мощность ничего дополнительно не стоит, поэтому сильное лето или месяц с низкой ОЕЕ обходятся намного дороже, чем экономит слабое.</t>
  </si>
  <si>
    <t xml:space="preserve">•  У одного нового пресса наименьшие средние затраты, около 765 000 долл.: он экономит в среднем около 156 000 долл. и обеспечивает 98% спроса против 94% без него. Однако он экономит деньги лишь в 53% вариантов будущего, а бездействие оказывается самым дешевым в 47% из них — когда рост медленный, пресс частично простаивает. Его ценность в том, что он отсекает плохие варианты будущего: затраты «1 раз из 10» падают с 2,3 до 1,4 млн долл.</t>
  </si>
  <si>
    <t xml:space="preserve">•  Откуда берется экономия (таблица по составляющим): пресс стоит около 264 000 долл. за вычетом остаточной стоимости плюс 174 000 долл. постоянных затрат. Взамен он снижает потерянный маржинальный доход примерно на 458 000 долл., а надбавки за сверхурочную работу и субподряд — примерно на 135 000 долл.</t>
  </si>
  <si>
    <t xml:space="preserve">•  Второй пресс стоит в среднем примерно на 230 000 долл. больше и снижает затраты «1 раз из 10» примерно на столько же: это страховка от сильного роста, которую стоит покупать, только если потеря заказчика обошлась бы дороже маржинального дохода на непоставленных деталях. Третий пресс в среднем дороже всех и оказывается самым дешевым лишь в 5% вариантов будущего.</t>
  </si>
  <si>
    <t xml:space="preserve">•  Ценность пресса определяет рост: средняя экономия меняется от убытка около 150 000 долл. в десятой части вариантов будущего с самым медленным ростом до 540 000 долл. в десятой части с самым быстрым. Более низкая ОЕЕ делает пресс ценнее; срок поставки почти не важен, потому что нехватка приходится на более поздние лета. Прежде чем покупать второй пресс, попробуйте на листе «Исходные данные» более дешевую гибкость: более крупного субподрядчика или больше сверхурочной работы.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</si>
  <si>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</si>
  <si>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</si>
  <si>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</si>
  <si>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</si>
  <si>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Cost_0</t>
  </si>
  <si>
    <t>Cost_1</t>
  </si>
  <si>
    <t>Cost_2</t>
  </si>
  <si>
    <t>Cost_3</t>
  </si>
  <si>
    <t xml:space="preserve">Общее среднее Save_1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</si>
  <si>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</si>
  <si>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</si>
  <si>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</si>
  <si>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Период</t>
  </si>
  <si>
    <t xml:space="preserve">10-й процентиль</t>
  </si>
  <si>
    <t xml:space="preserve">Медиана</t>
  </si>
  <si>
    <t xml:space="preserve">90-й процентиль</t>
  </si>
  <si>
    <t xml:space="preserve">Максимум поставки сегодня</t>
  </si>
  <si>
    <t xml:space="preserve">…с одним новым прессом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</si>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</sst>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_);\(#,##0\);&quot;–&quot;_)"/>
    <numFmt numFmtId="165" formatCode="0.0%"/>
    <numFmt numFmtId="166" formatCode="#,##0.00_);\(#,##0.00\);&quot;–&quot;_)"/>
    <numFmt numFmtId="167" formatCode="#,##0.0_);\(#,##0.0\);&quot;–&quot;_)"/>
    <numFmt numFmtId="168" formatCode="mmm\ yy"/>
    <numFmt numFmtId="169" formatCode="mmm\ yyyy"/>
    <numFmt numFmtId="170" formatCode="0.000%"/>
    <numFmt numFmtId="171" formatCode="0.000"/>
    <numFmt numFmtId="172" formatCode="#,##0_);\(#,##0\);&quot;–&quot;_);&quot;–&quot;"/>
    <numFmt numFmtId="173" formatCode="0.0%;\-0.0%;0.0%;&quot;–&quot;"/>
    <numFmt numFmtId="174" formatCode="0%;\-0%;0%;&quot;–&quot;"/>
    <numFmt numFmtId="175" formatCode="0.00;\-0.00;0.00;&quot;–&quot;"/>
    <numFmt numFmtId="176" formatCode="0;\-0;0;&quot;–&quot;"/>
  </numFmts>
  <fonts count="25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b/>
      <sz val="10"/>
      <color rgb="FF15803D"/>
      <name val="Calibri"/>
    </font>
    <font>
      <sz val="8"/>
      <color rgb="FF55585F"/>
      <name val="Calibri"/>
    </font>
    <font>
      <sz val="10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90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2" fillId="3" borderId="7" xfId="2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9" fontId="2" fillId="3" borderId="7" xfId="2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167" fontId="1" fillId="2" borderId="7" xfId="1" applyNumberFormat="1" applyBorder="1">
      <alignment horizontal="right" vertical="center"/>
    </xf>
    <xf numFmtId="167" fontId="2" fillId="3" borderId="7" xfId="2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0" fillId="7" borderId="0" xfId="0" applyFont="1" applyFill="1" applyAlignment="1">
      <alignment horizontal="right" vertical="center"/>
    </xf>
    <xf numFmtId="1" fontId="19" fillId="7" borderId="0" xfId="0" applyNumberFormat="1" applyFont="1" applyFill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168" fontId="18" fillId="7" borderId="4" xfId="0" applyNumberFormat="1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right" vertical="center"/>
    </xf>
    <xf numFmtId="169" fontId="3" fillId="0" borderId="8" xfId="3" applyNumberFormat="1" applyBorder="1">
      <alignment horizontal="right" vertical="center"/>
    </xf>
    <xf numFmtId="1" fontId="3" fillId="0" borderId="8" xfId="3" applyNumberFormat="1" applyBorder="1">
      <alignment horizontal="right" vertical="center"/>
    </xf>
    <xf numFmtId="170" fontId="3" fillId="0" borderId="8" xfId="3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67" fontId="4" fillId="4" borderId="9" xfId="4" applyNumberFormat="1" applyBorder="1">
      <alignment horizontal="right" vertical="center"/>
    </xf>
    <xf numFmtId="171" fontId="3" fillId="0" borderId="8" xfId="3" applyNumberFormat="1" applyBorder="1">
      <alignment horizontal="right" vertical="center"/>
    </xf>
    <xf numFmtId="1" fontId="17" fillId="7" borderId="4" xfId="0" applyNumberFormat="1" applyFont="1" applyFill="1" applyBorder="1" applyAlignment="1">
      <alignment horizontal="right" vertical="center"/>
    </xf>
    <xf numFmtId="167" fontId="12" fillId="0" borderId="8" xfId="3" applyNumberFormat="1" applyFon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164" fontId="4" fillId="4" borderId="9" xfId="4" applyNumberFormat="1" applyBorder="1">
      <alignment horizontal="right" vertical="center"/>
    </xf>
    <xf numFmtId="165" fontId="4" fillId="4" borderId="9" xfId="4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4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22" fillId="7" borderId="4" xfId="0" applyFont="1" applyFill="1" applyBorder="1" applyAlignment="1">
      <alignment horizontal="right" vertical="center"/>
    </xf>
    <xf numFmtId="172" fontId="1" fillId="5" borderId="7" xfId="5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174" fontId="1" fillId="5" borderId="7" xfId="5" applyNumberFormat="1" applyBorder="1">
      <alignment horizontal="right" vertical="center"/>
    </xf>
    <xf numFmtId="175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6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72" fontId="1" fillId="5" borderId="1" xfId="5" applyNumberFormat="1">
      <alignment horizontal="right" vertical="center"/>
    </xf>
    <xf numFmtId="0" fontId="23" fillId="0" borderId="0" xfId="0" applyFont="1" applyAlignment="1">
      <alignment horizontal="left" vertical="center" indent="1"/>
    </xf>
    <xf numFmtId="164" fontId="3" fillId="0" borderId="2" xfId="3" applyNumberFormat="1">
      <alignment horizontal="right" vertical="center"/>
    </xf>
    <xf numFmtId="168" fontId="2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9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Без нового пресса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'Результаты'!$D$69:$D$117</c:f>
              <c:numCache>
                <c:formatCode>#,##0.00</c:formatCode>
                <c:ptCount val="49"/>
                <c:pt idx="0">
                  <c:v>2.3720772898686437</c:v>
                </c:pt>
                <c:pt idx="1">
                  <c:v>9.651281304237056</c:v>
                </c:pt>
                <c:pt idx="2">
                  <c:v>17.828642170949216</c:v>
                </c:pt>
                <c:pt idx="3">
                  <c:v>28.165537296328271</c:v>
                </c:pt>
                <c:pt idx="4">
                  <c:v>38.86451184516406</c:v>
                </c:pt>
                <c:pt idx="5">
                  <c:v>49.421543231587201</c:v>
                </c:pt>
                <c:pt idx="6">
                  <c:v>61.573467987092172</c:v>
                </c:pt>
                <c:pt idx="7">
                  <c:v>74.960461332174589</c:v>
                </c:pt>
                <c:pt idx="8">
                  <c:v>90.333491469871149</c:v>
                </c:pt>
                <c:pt idx="9">
                  <c:v>105.534507695371</c:v>
                </c:pt>
                <c:pt idx="10">
                  <c:v>123.62459585508084</c:v>
                </c:pt>
                <c:pt idx="11">
                  <c:v>145.28131750885495</c:v>
                </c:pt>
                <c:pt idx="12">
                  <c:v>166.66859013640646</c:v>
                </c:pt>
                <c:pt idx="13">
                  <c:v>192.40684180976268</c:v>
                </c:pt>
                <c:pt idx="14">
                  <c:v>217.487818925677</c:v>
                </c:pt>
                <c:pt idx="15">
                  <c:v>243.42909247031216</c:v>
                </c:pt>
                <c:pt idx="16">
                  <c:v>271.97248910535166</c:v>
                </c:pt>
                <c:pt idx="17">
                  <c:v>303.72526454039087</c:v>
                </c:pt>
                <c:pt idx="18">
                  <c:v>335.31630323283787</c:v>
                </c:pt>
                <c:pt idx="19">
                  <c:v>369.04382844916438</c:v>
                </c:pt>
                <c:pt idx="20">
                  <c:v>405.58676891241555</c:v>
                </c:pt>
                <c:pt idx="21">
                  <c:v>440.51048861221415</c:v>
                </c:pt>
                <c:pt idx="22">
                  <c:v>478.03626359324051</c:v>
                </c:pt>
                <c:pt idx="23">
                  <c:v>516.50232235053704</c:v>
                </c:pt>
                <c:pt idx="24">
                  <c:v>554.73423971616307</c:v>
                </c:pt>
                <c:pt idx="25">
                  <c:v>593.88386945255445</c:v>
                </c:pt>
                <c:pt idx="26">
                  <c:v>644.7158009045736</c:v>
                </c:pt>
                <c:pt idx="27">
                  <c:v>702.07951293419069</c:v>
                </c:pt>
                <c:pt idx="28">
                  <c:v>749.46750808151273</c:v>
                </c:pt>
                <c:pt idx="29">
                  <c:v>808.74800644501954</c:v>
                </c:pt>
                <c:pt idx="30">
                  <c:v>861.08624505755483</c:v>
                </c:pt>
                <c:pt idx="31">
                  <c:v>917.9477263981405</c:v>
                </c:pt>
                <c:pt idx="32">
                  <c:v>983.68800548819388</c:v>
                </c:pt>
                <c:pt idx="33">
                  <c:v>1046.0753779972856</c:v>
                </c:pt>
                <c:pt idx="34">
                  <c:v>1121.8100008342669</c:v>
                </c:pt>
                <c:pt idx="35">
                  <c:v>1195.9496743928585</c:v>
                </c:pt>
                <c:pt idx="36">
                  <c:v>1274.1404458362076</c:v>
                </c:pt>
                <c:pt idx="37">
                  <c:v>1350.821581400827</c:v>
                </c:pt>
                <c:pt idx="38">
                  <c:v>1443.5788733298725</c:v>
                </c:pt>
                <c:pt idx="39">
                  <c:v>1534.4313880146415</c:v>
                </c:pt>
                <c:pt idx="40">
                  <c:v>1633.151486782494</c:v>
                </c:pt>
                <c:pt idx="41">
                  <c:v>1746.760560974762</c:v>
                </c:pt>
                <c:pt idx="42">
                  <c:v>1881.4755503502918</c:v>
                </c:pt>
                <c:pt idx="43">
                  <c:v>2020.7222607619155</c:v>
                </c:pt>
                <c:pt idx="44">
                  <c:v>2197.364101829543</c:v>
                </c:pt>
                <c:pt idx="45">
                  <c:v>2422.0222555686137</c:v>
                </c:pt>
                <c:pt idx="46">
                  <c:v>2638.5883512049995</c:v>
                </c:pt>
                <c:pt idx="47">
                  <c:v>2950.8197801870192</c:v>
                </c:pt>
                <c:pt idx="48">
                  <c:v>3415.4715608356673</c:v>
                </c:pt>
              </c:numCache>
            </c:numRef>
          </c:xVal>
          <c:yVal>
            <c:numRef>
              <c:f>'Результаты'!$B$69:$B$117</c:f>
              <c:numCache>
                <c:formatCode>0%</c:formatCode>
                <c:ptCount val="49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F98-4237-9908-3D4B381397EB}"/>
            </c:ext>
          </c:extLst>
        </c:ser>
        <c:ser>
          <c:idx val="1"/>
          <c:order val="1"/>
          <c:tx>
            <c:v>Один новый пресс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'Результаты'!$E$69:$E$117</c:f>
              <c:numCache>
                <c:formatCode>#,##0.00</c:formatCode>
                <c:ptCount val="49"/>
                <c:pt idx="0">
                  <c:v>435.11114648118871</c:v>
                </c:pt>
                <c:pt idx="1">
                  <c:v>438.41690205632068</c:v>
                </c:pt>
                <c:pt idx="2">
                  <c:v>440.19829144180642</c:v>
                </c:pt>
                <c:pt idx="3">
                  <c:v>441.91285881089459</c:v>
                </c:pt>
                <c:pt idx="4">
                  <c:v>443.21004040650939</c:v>
                </c:pt>
                <c:pt idx="5">
                  <c:v>444.44476111632696</c:v>
                </c:pt>
                <c:pt idx="6">
                  <c:v>445.55437691004897</c:v>
                </c:pt>
                <c:pt idx="7">
                  <c:v>446.84130473486169</c:v>
                </c:pt>
                <c:pt idx="8">
                  <c:v>447.97929121009616</c:v>
                </c:pt>
                <c:pt idx="9">
                  <c:v>449.40386701722809</c:v>
                </c:pt>
                <c:pt idx="10">
                  <c:v>451.02014820906533</c:v>
                </c:pt>
                <c:pt idx="11">
                  <c:v>452.63780902757219</c:v>
                </c:pt>
                <c:pt idx="12">
                  <c:v>454.90869133531413</c:v>
                </c:pt>
                <c:pt idx="13">
                  <c:v>457.01700814297112</c:v>
                </c:pt>
                <c:pt idx="14">
                  <c:v>459.56734060627542</c:v>
                </c:pt>
                <c:pt idx="15">
                  <c:v>462.39090039319598</c:v>
                </c:pt>
                <c:pt idx="16">
                  <c:v>465.07378198029045</c:v>
                </c:pt>
                <c:pt idx="17">
                  <c:v>468.85211638147507</c:v>
                </c:pt>
                <c:pt idx="18">
                  <c:v>472.84916925256653</c:v>
                </c:pt>
                <c:pt idx="19">
                  <c:v>477.77512240641551</c:v>
                </c:pt>
                <c:pt idx="20">
                  <c:v>483.01707304123812</c:v>
                </c:pt>
                <c:pt idx="21">
                  <c:v>488.09005547625242</c:v>
                </c:pt>
                <c:pt idx="22">
                  <c:v>495.06539629057232</c:v>
                </c:pt>
                <c:pt idx="23">
                  <c:v>502.69155148705937</c:v>
                </c:pt>
                <c:pt idx="24">
                  <c:v>511.67762093531115</c:v>
                </c:pt>
                <c:pt idx="25">
                  <c:v>520.9265964166151</c:v>
                </c:pt>
                <c:pt idx="26">
                  <c:v>532.67869159231566</c:v>
                </c:pt>
                <c:pt idx="27">
                  <c:v>545.12039348010944</c:v>
                </c:pt>
                <c:pt idx="28">
                  <c:v>560.86585971320346</c:v>
                </c:pt>
                <c:pt idx="29">
                  <c:v>579.70094271098731</c:v>
                </c:pt>
                <c:pt idx="30">
                  <c:v>598.32001322694794</c:v>
                </c:pt>
                <c:pt idx="31">
                  <c:v>619.64370896991045</c:v>
                </c:pt>
                <c:pt idx="32">
                  <c:v>644.18884573219975</c:v>
                </c:pt>
                <c:pt idx="33">
                  <c:v>668.25403325974048</c:v>
                </c:pt>
                <c:pt idx="34">
                  <c:v>697.91531481140737</c:v>
                </c:pt>
                <c:pt idx="35">
                  <c:v>734.21840193038008</c:v>
                </c:pt>
                <c:pt idx="36">
                  <c:v>770.2053376758829</c:v>
                </c:pt>
                <c:pt idx="37">
                  <c:v>812.24804428462744</c:v>
                </c:pt>
                <c:pt idx="38">
                  <c:v>860.53258276929091</c:v>
                </c:pt>
                <c:pt idx="39">
                  <c:v>913.56562797914717</c:v>
                </c:pt>
                <c:pt idx="40">
                  <c:v>971.23904755344688</c:v>
                </c:pt>
                <c:pt idx="41">
                  <c:v>1040.7785148341484</c:v>
                </c:pt>
                <c:pt idx="42">
                  <c:v>1137.073186254361</c:v>
                </c:pt>
                <c:pt idx="43">
                  <c:v>1234.9432888581364</c:v>
                </c:pt>
                <c:pt idx="44">
                  <c:v>1363.3219222243495</c:v>
                </c:pt>
                <c:pt idx="45">
                  <c:v>1515.2104346793972</c:v>
                </c:pt>
                <c:pt idx="46">
                  <c:v>1680.2058438144068</c:v>
                </c:pt>
                <c:pt idx="47">
                  <c:v>1927.8217253116643</c:v>
                </c:pt>
                <c:pt idx="48">
                  <c:v>2299.2988839737181</c:v>
                </c:pt>
              </c:numCache>
            </c:numRef>
          </c:xVal>
          <c:yVal>
            <c:numRef>
              <c:f>'Результаты'!$B$69:$B$117</c:f>
              <c:numCache>
                <c:formatCode>0%</c:formatCode>
                <c:ptCount val="49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F98-4237-9908-3D4B381397EB}"/>
            </c:ext>
          </c:extLst>
        </c:ser>
        <c:ser>
          <c:idx val="2"/>
          <c:order val="2"/>
          <c:tx>
            <c:v>Два новых пресса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'Результаты'!$F$69:$F$117</c:f>
              <c:numCache>
                <c:formatCode>#,##0.00</c:formatCode>
                <c:ptCount val="49"/>
                <c:pt idx="0">
                  <c:v>863.64392923939886</c:v>
                </c:pt>
                <c:pt idx="1">
                  <c:v>870.02120783953887</c:v>
                </c:pt>
                <c:pt idx="2">
                  <c:v>872.07183803311943</c:v>
                </c:pt>
                <c:pt idx="3">
                  <c:v>874.82247617123778</c:v>
                </c:pt>
                <c:pt idx="4">
                  <c:v>877.39901139945141</c:v>
                </c:pt>
                <c:pt idx="5">
                  <c:v>878.61194151853215</c:v>
                </c:pt>
                <c:pt idx="6">
                  <c:v>879.76604575855777</c:v>
                </c:pt>
                <c:pt idx="7">
                  <c:v>880.70596570120802</c:v>
                </c:pt>
                <c:pt idx="8">
                  <c:v>881.94859541856817</c:v>
                </c:pt>
                <c:pt idx="9">
                  <c:v>883.19214698415396</c:v>
                </c:pt>
                <c:pt idx="10">
                  <c:v>884.3426532934061</c:v>
                </c:pt>
                <c:pt idx="11">
                  <c:v>885.56643019122419</c:v>
                </c:pt>
                <c:pt idx="12">
                  <c:v>885.96561332840008</c:v>
                </c:pt>
                <c:pt idx="13">
                  <c:v>886.65011470008972</c:v>
                </c:pt>
                <c:pt idx="14">
                  <c:v>887.35736481842821</c:v>
                </c:pt>
                <c:pt idx="15">
                  <c:v>888.02703810273863</c:v>
                </c:pt>
                <c:pt idx="16">
                  <c:v>888.82508671493633</c:v>
                </c:pt>
                <c:pt idx="17">
                  <c:v>889.75195148921978</c:v>
                </c:pt>
                <c:pt idx="18">
                  <c:v>890.60361761521824</c:v>
                </c:pt>
                <c:pt idx="19">
                  <c:v>891.68822719900606</c:v>
                </c:pt>
                <c:pt idx="20">
                  <c:v>892.67311235806881</c:v>
                </c:pt>
                <c:pt idx="21">
                  <c:v>893.62185518727426</c:v>
                </c:pt>
                <c:pt idx="22">
                  <c:v>894.55650206299822</c:v>
                </c:pt>
                <c:pt idx="23">
                  <c:v>895.69703729426158</c:v>
                </c:pt>
                <c:pt idx="24">
                  <c:v>897.15410930909707</c:v>
                </c:pt>
                <c:pt idx="25">
                  <c:v>898.66085795989363</c:v>
                </c:pt>
                <c:pt idx="26">
                  <c:v>900.27297484216297</c:v>
                </c:pt>
                <c:pt idx="27">
                  <c:v>902.05813047281322</c:v>
                </c:pt>
                <c:pt idx="28">
                  <c:v>904.31559987963215</c:v>
                </c:pt>
                <c:pt idx="29">
                  <c:v>906.9492465236508</c:v>
                </c:pt>
                <c:pt idx="30">
                  <c:v>910.14185258801149</c:v>
                </c:pt>
                <c:pt idx="31">
                  <c:v>912.87739422502511</c:v>
                </c:pt>
                <c:pt idx="32">
                  <c:v>916.13896666824576</c:v>
                </c:pt>
                <c:pt idx="33">
                  <c:v>920.29697656950191</c:v>
                </c:pt>
                <c:pt idx="34">
                  <c:v>924.85719298782033</c:v>
                </c:pt>
                <c:pt idx="35">
                  <c:v>931.18768646015349</c:v>
                </c:pt>
                <c:pt idx="36">
                  <c:v>938.84995631490165</c:v>
                </c:pt>
                <c:pt idx="37">
                  <c:v>947.33281735674427</c:v>
                </c:pt>
                <c:pt idx="38">
                  <c:v>959.64843597027345</c:v>
                </c:pt>
                <c:pt idx="39">
                  <c:v>973.70595728663682</c:v>
                </c:pt>
                <c:pt idx="40">
                  <c:v>991.69440303012004</c:v>
                </c:pt>
                <c:pt idx="41">
                  <c:v>1017.5567966848422</c:v>
                </c:pt>
                <c:pt idx="42">
                  <c:v>1052.0981029674672</c:v>
                </c:pt>
                <c:pt idx="43">
                  <c:v>1100.8664812840186</c:v>
                </c:pt>
                <c:pt idx="44">
                  <c:v>1156.6677325798016</c:v>
                </c:pt>
                <c:pt idx="45">
                  <c:v>1226.3199687172621</c:v>
                </c:pt>
                <c:pt idx="46">
                  <c:v>1327.4348240124941</c:v>
                </c:pt>
                <c:pt idx="47">
                  <c:v>1477.5339562549095</c:v>
                </c:pt>
                <c:pt idx="48">
                  <c:v>1758.178436447781</c:v>
                </c:pt>
              </c:numCache>
            </c:numRef>
          </c:xVal>
          <c:yVal>
            <c:numRef>
              <c:f>'Результаты'!$B$69:$B$117</c:f>
              <c:numCache>
                <c:formatCode>0%</c:formatCode>
                <c:ptCount val="49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F98-4237-9908-3D4B381397EB}"/>
            </c:ext>
          </c:extLst>
        </c:ser>
        <c:ser>
          <c:idx val="3"/>
          <c:order val="3"/>
          <c:tx>
            <c:v>Три новых пресса</c:v>
          </c:tx>
          <c:spPr>
            <a:ln w="25400">
              <a:solidFill>
                <a:srgbClr val="E85F2E"/>
              </a:solidFill>
              <a:prstDash val="solid"/>
            </a:ln>
          </c:spPr>
          <c:marker>
            <c:symbol val="none"/>
          </c:marker>
          <c:xVal>
            <c:numRef>
              <c:f>'Результаты'!$G$69:$G$117</c:f>
              <c:numCache>
                <c:formatCode>#,##0.00</c:formatCode>
                <c:ptCount val="49"/>
                <c:pt idx="0">
                  <c:v>1294.1098503593109</c:v>
                </c:pt>
                <c:pt idx="1">
                  <c:v>1299.529251254301</c:v>
                </c:pt>
                <c:pt idx="2">
                  <c:v>1305.4356031532307</c:v>
                </c:pt>
                <c:pt idx="3">
                  <c:v>1307.2350461530855</c:v>
                </c:pt>
                <c:pt idx="4">
                  <c:v>1309.4126206808201</c:v>
                </c:pt>
                <c:pt idx="5">
                  <c:v>1311.4710548391943</c:v>
                </c:pt>
                <c:pt idx="6">
                  <c:v>1313.6598904536431</c:v>
                </c:pt>
                <c:pt idx="7">
                  <c:v>1315.9097578951043</c:v>
                </c:pt>
                <c:pt idx="8">
                  <c:v>1317.2552771742619</c:v>
                </c:pt>
                <c:pt idx="9">
                  <c:v>1318.3483123961307</c:v>
                </c:pt>
                <c:pt idx="10">
                  <c:v>1319.2781338607938</c:v>
                </c:pt>
                <c:pt idx="11">
                  <c:v>1320.1208855837788</c:v>
                </c:pt>
                <c:pt idx="12">
                  <c:v>1321.1507104832256</c:v>
                </c:pt>
                <c:pt idx="13">
                  <c:v>1322.251399314632</c:v>
                </c:pt>
                <c:pt idx="14">
                  <c:v>1323.2583816568508</c:v>
                </c:pt>
                <c:pt idx="15">
                  <c:v>1324.3207725306254</c:v>
                </c:pt>
                <c:pt idx="16">
                  <c:v>1325.4860147298439</c:v>
                </c:pt>
                <c:pt idx="17">
                  <c:v>1326.7418474880224</c:v>
                </c:pt>
                <c:pt idx="18">
                  <c:v>1328.1467302838334</c:v>
                </c:pt>
                <c:pt idx="19">
                  <c:v>1328.5776183389205</c:v>
                </c:pt>
                <c:pt idx="20">
                  <c:v>1329.1943233203531</c:v>
                </c:pt>
                <c:pt idx="21">
                  <c:v>1329.7929834916031</c:v>
                </c:pt>
                <c:pt idx="22">
                  <c:v>1330.3265170274647</c:v>
                </c:pt>
                <c:pt idx="23">
                  <c:v>1330.8513491825477</c:v>
                </c:pt>
                <c:pt idx="24">
                  <c:v>1331.5882533344493</c:v>
                </c:pt>
                <c:pt idx="25">
                  <c:v>1332.5137384016718</c:v>
                </c:pt>
                <c:pt idx="26">
                  <c:v>1333.2693509116784</c:v>
                </c:pt>
                <c:pt idx="27">
                  <c:v>1334.1557503871193</c:v>
                </c:pt>
                <c:pt idx="28">
                  <c:v>1335.0628798130251</c:v>
                </c:pt>
                <c:pt idx="29">
                  <c:v>1336.2098106111528</c:v>
                </c:pt>
                <c:pt idx="30">
                  <c:v>1337.4152623636726</c:v>
                </c:pt>
                <c:pt idx="31">
                  <c:v>1338.6881426229188</c:v>
                </c:pt>
                <c:pt idx="32">
                  <c:v>1340.058427574279</c:v>
                </c:pt>
                <c:pt idx="33">
                  <c:v>1340.8599317145736</c:v>
                </c:pt>
                <c:pt idx="34">
                  <c:v>1342.2538243125277</c:v>
                </c:pt>
                <c:pt idx="35">
                  <c:v>1343.7941684497664</c:v>
                </c:pt>
                <c:pt idx="36">
                  <c:v>1345.8197281861653</c:v>
                </c:pt>
                <c:pt idx="37">
                  <c:v>1348.2611132404725</c:v>
                </c:pt>
                <c:pt idx="38">
                  <c:v>1351.1568633566337</c:v>
                </c:pt>
                <c:pt idx="39">
                  <c:v>1354.4522099722126</c:v>
                </c:pt>
                <c:pt idx="40">
                  <c:v>1358.4100318842916</c:v>
                </c:pt>
                <c:pt idx="41">
                  <c:v>1363.7253046756425</c:v>
                </c:pt>
                <c:pt idx="42">
                  <c:v>1370.1853948201215</c:v>
                </c:pt>
                <c:pt idx="43">
                  <c:v>1378.1506095326981</c:v>
                </c:pt>
                <c:pt idx="44">
                  <c:v>1389.0683529856703</c:v>
                </c:pt>
                <c:pt idx="45">
                  <c:v>1408.48635435356</c:v>
                </c:pt>
                <c:pt idx="46">
                  <c:v>1442.8982511461736</c:v>
                </c:pt>
                <c:pt idx="47">
                  <c:v>1509.1837361463672</c:v>
                </c:pt>
                <c:pt idx="48">
                  <c:v>1643.0222437446268</c:v>
                </c:pt>
              </c:numCache>
            </c:numRef>
          </c:xVal>
          <c:yVal>
            <c:numRef>
              <c:f>'Результаты'!$B$69:$B$117</c:f>
              <c:numCache>
                <c:formatCode>0%</c:formatCode>
                <c:ptCount val="49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F98-4237-9908-3D4B38139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тыс. долл.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'Результаты'!$B$127:$B$186</c:f>
              <c:numCache>
                <c:formatCode>mmm\ 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'Результаты'!$E$127:$E$186</c:f>
              <c:numCache>
                <c:formatCode>#,##0.00</c:formatCode>
                <c:ptCount val="60"/>
                <c:pt idx="0">
                  <c:v>69.256710614843541</c:v>
                </c:pt>
                <c:pt idx="1">
                  <c:v>73.205921239277828</c:v>
                </c:pt>
                <c:pt idx="2">
                  <c:v>83.099741681269307</c:v>
                </c:pt>
                <c:pt idx="3">
                  <c:v>89.462018741385762</c:v>
                </c:pt>
                <c:pt idx="4">
                  <c:v>95.837434161798029</c:v>
                </c:pt>
                <c:pt idx="5">
                  <c:v>101.55009972657288</c:v>
                </c:pt>
                <c:pt idx="6">
                  <c:v>100.32247844627327</c:v>
                </c:pt>
                <c:pt idx="7">
                  <c:v>95.107467427138701</c:v>
                </c:pt>
                <c:pt idx="8">
                  <c:v>93.373038299083362</c:v>
                </c:pt>
                <c:pt idx="9">
                  <c:v>90.77277569402699</c:v>
                </c:pt>
                <c:pt idx="10">
                  <c:v>89.175086083375533</c:v>
                </c:pt>
                <c:pt idx="11">
                  <c:v>83.470185382371128</c:v>
                </c:pt>
                <c:pt idx="12">
                  <c:v>81.305955694004226</c:v>
                </c:pt>
                <c:pt idx="13">
                  <c:v>85.174316417154117</c:v>
                </c:pt>
                <c:pt idx="14">
                  <c:v>95.772724440778205</c:v>
                </c:pt>
                <c:pt idx="15">
                  <c:v>102.69652399135836</c:v>
                </c:pt>
                <c:pt idx="16">
                  <c:v>110.09071227291567</c:v>
                </c:pt>
                <c:pt idx="17">
                  <c:v>116.11565008372652</c:v>
                </c:pt>
                <c:pt idx="18">
                  <c:v>114.18769482660204</c:v>
                </c:pt>
                <c:pt idx="19">
                  <c:v>107.85343137036094</c:v>
                </c:pt>
                <c:pt idx="20">
                  <c:v>105.87333719497465</c:v>
                </c:pt>
                <c:pt idx="21">
                  <c:v>102.86463855565154</c:v>
                </c:pt>
                <c:pt idx="22">
                  <c:v>100.7068473440912</c:v>
                </c:pt>
                <c:pt idx="23">
                  <c:v>94.140431455592591</c:v>
                </c:pt>
                <c:pt idx="24">
                  <c:v>91.644607808913008</c:v>
                </c:pt>
                <c:pt idx="25">
                  <c:v>95.815247823086963</c:v>
                </c:pt>
                <c:pt idx="26">
                  <c:v>107.71265595028645</c:v>
                </c:pt>
                <c:pt idx="27">
                  <c:v>115.19010353716837</c:v>
                </c:pt>
                <c:pt idx="28">
                  <c:v>123.04727322450003</c:v>
                </c:pt>
                <c:pt idx="29">
                  <c:v>129.70714429150948</c:v>
                </c:pt>
                <c:pt idx="30">
                  <c:v>127.39787658719986</c:v>
                </c:pt>
                <c:pt idx="31">
                  <c:v>120.60429184529896</c:v>
                </c:pt>
                <c:pt idx="32">
                  <c:v>118.61433787043423</c:v>
                </c:pt>
                <c:pt idx="33">
                  <c:v>114.60126316491925</c:v>
                </c:pt>
                <c:pt idx="34">
                  <c:v>112.20048112929625</c:v>
                </c:pt>
                <c:pt idx="35">
                  <c:v>104.84694257804561</c:v>
                </c:pt>
                <c:pt idx="36">
                  <c:v>102.39433760371736</c:v>
                </c:pt>
                <c:pt idx="37">
                  <c:v>106.98307801172739</c:v>
                </c:pt>
                <c:pt idx="38">
                  <c:v>120.05455975373941</c:v>
                </c:pt>
                <c:pt idx="39">
                  <c:v>128.54946733448196</c:v>
                </c:pt>
                <c:pt idx="40">
                  <c:v>137.0363440577915</c:v>
                </c:pt>
                <c:pt idx="41">
                  <c:v>144.558913389097</c:v>
                </c:pt>
                <c:pt idx="42">
                  <c:v>141.62882506835217</c:v>
                </c:pt>
                <c:pt idx="43">
                  <c:v>133.85508858051105</c:v>
                </c:pt>
                <c:pt idx="44">
                  <c:v>131.60094897463787</c:v>
                </c:pt>
                <c:pt idx="45">
                  <c:v>127.20996260702934</c:v>
                </c:pt>
                <c:pt idx="46">
                  <c:v>124.69470418764578</c:v>
                </c:pt>
                <c:pt idx="47">
                  <c:v>116.68762023034986</c:v>
                </c:pt>
                <c:pt idx="48">
                  <c:v>113.63257230825992</c:v>
                </c:pt>
                <c:pt idx="49">
                  <c:v>118.92388403808624</c:v>
                </c:pt>
                <c:pt idx="50">
                  <c:v>133.42184627415304</c:v>
                </c:pt>
                <c:pt idx="51">
                  <c:v>143.02731044400397</c:v>
                </c:pt>
                <c:pt idx="52">
                  <c:v>152.58006437521937</c:v>
                </c:pt>
                <c:pt idx="53">
                  <c:v>160.72010736079855</c:v>
                </c:pt>
                <c:pt idx="54">
                  <c:v>157.83762984920983</c:v>
                </c:pt>
                <c:pt idx="55">
                  <c:v>149.07518568227678</c:v>
                </c:pt>
                <c:pt idx="56">
                  <c:v>145.81184331974148</c:v>
                </c:pt>
                <c:pt idx="57">
                  <c:v>140.94195306059774</c:v>
                </c:pt>
                <c:pt idx="58">
                  <c:v>138.25494543070761</c:v>
                </c:pt>
                <c:pt idx="59">
                  <c:v>129.10849046737064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25-434E-BB80-F05760347AD2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'Результаты'!$B$127:$B$186</c:f>
              <c:numCache>
                <c:formatCode>mmm\ 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'Результаты'!$D$127:$D$186</c:f>
              <c:numCache>
                <c:formatCode>#,##0.00</c:formatCode>
                <c:ptCount val="60"/>
                <c:pt idx="0">
                  <c:v>66.644757539634213</c:v>
                </c:pt>
                <c:pt idx="1">
                  <c:v>69.350385392156127</c:v>
                </c:pt>
                <c:pt idx="2">
                  <c:v>77.63442831541883</c:v>
                </c:pt>
                <c:pt idx="3">
                  <c:v>82.781443317981555</c:v>
                </c:pt>
                <c:pt idx="4">
                  <c:v>88.026531769225031</c:v>
                </c:pt>
                <c:pt idx="5">
                  <c:v>92.348887695026704</c:v>
                </c:pt>
                <c:pt idx="6">
                  <c:v>90.362822648467287</c:v>
                </c:pt>
                <c:pt idx="7">
                  <c:v>85.088613031334233</c:v>
                </c:pt>
                <c:pt idx="8">
                  <c:v>83.106473137659094</c:v>
                </c:pt>
                <c:pt idx="9">
                  <c:v>80.240565994062379</c:v>
                </c:pt>
                <c:pt idx="10">
                  <c:v>78.217301840905705</c:v>
                </c:pt>
                <c:pt idx="11">
                  <c:v>72.91517397975268</c:v>
                </c:pt>
                <c:pt idx="12">
                  <c:v>70.551802924455743</c:v>
                </c:pt>
                <c:pt idx="13">
                  <c:v>73.41071421493622</c:v>
                </c:pt>
                <c:pt idx="14">
                  <c:v>82.182630202658117</c:v>
                </c:pt>
                <c:pt idx="15">
                  <c:v>87.694905144787626</c:v>
                </c:pt>
                <c:pt idx="16">
                  <c:v>93.241133903239728</c:v>
                </c:pt>
                <c:pt idx="17">
                  <c:v>97.969931486177217</c:v>
                </c:pt>
                <c:pt idx="18">
                  <c:v>95.845596235821361</c:v>
                </c:pt>
                <c:pt idx="19">
                  <c:v>90.311353830819371</c:v>
                </c:pt>
                <c:pt idx="20">
                  <c:v>88.238325391388514</c:v>
                </c:pt>
                <c:pt idx="21">
                  <c:v>85.100171803463084</c:v>
                </c:pt>
                <c:pt idx="22">
                  <c:v>82.828462993074353</c:v>
                </c:pt>
                <c:pt idx="23">
                  <c:v>77.217438190546488</c:v>
                </c:pt>
                <c:pt idx="24">
                  <c:v>74.900806060426433</c:v>
                </c:pt>
                <c:pt idx="25">
                  <c:v>77.821163015909804</c:v>
                </c:pt>
                <c:pt idx="26">
                  <c:v>87.250817471238207</c:v>
                </c:pt>
                <c:pt idx="27">
                  <c:v>92.848486452759076</c:v>
                </c:pt>
                <c:pt idx="28">
                  <c:v>98.808922662247696</c:v>
                </c:pt>
                <c:pt idx="29">
                  <c:v>103.66280123013614</c:v>
                </c:pt>
                <c:pt idx="30">
                  <c:v>101.45493509018742</c:v>
                </c:pt>
                <c:pt idx="31">
                  <c:v>95.652649718641868</c:v>
                </c:pt>
                <c:pt idx="32">
                  <c:v>93.266604767956352</c:v>
                </c:pt>
                <c:pt idx="33">
                  <c:v>90.098920662546249</c:v>
                </c:pt>
                <c:pt idx="34">
                  <c:v>87.86889207360862</c:v>
                </c:pt>
                <c:pt idx="35">
                  <c:v>81.867489944619379</c:v>
                </c:pt>
                <c:pt idx="36">
                  <c:v>79.401280265590785</c:v>
                </c:pt>
                <c:pt idx="37">
                  <c:v>82.454592605895499</c:v>
                </c:pt>
                <c:pt idx="38">
                  <c:v>92.185420195122134</c:v>
                </c:pt>
                <c:pt idx="39">
                  <c:v>98.327493598136186</c:v>
                </c:pt>
                <c:pt idx="40">
                  <c:v>104.3840307237717</c:v>
                </c:pt>
                <c:pt idx="41">
                  <c:v>109.51223178056605</c:v>
                </c:pt>
                <c:pt idx="42">
                  <c:v>107.21371803606341</c:v>
                </c:pt>
                <c:pt idx="43">
                  <c:v>100.92963249731959</c:v>
                </c:pt>
                <c:pt idx="44">
                  <c:v>98.581565590387228</c:v>
                </c:pt>
                <c:pt idx="45">
                  <c:v>95.255021916667829</c:v>
                </c:pt>
                <c:pt idx="46">
                  <c:v>92.791257002538089</c:v>
                </c:pt>
                <c:pt idx="47">
                  <c:v>86.267010944335837</c:v>
                </c:pt>
                <c:pt idx="48">
                  <c:v>83.726608537151264</c:v>
                </c:pt>
                <c:pt idx="49">
                  <c:v>87.179978515067745</c:v>
                </c:pt>
                <c:pt idx="50">
                  <c:v>97.609989141918732</c:v>
                </c:pt>
                <c:pt idx="51">
                  <c:v>104.07465517003337</c:v>
                </c:pt>
                <c:pt idx="52">
                  <c:v>110.4723771420595</c:v>
                </c:pt>
                <c:pt idx="53">
                  <c:v>116.23792864001697</c:v>
                </c:pt>
                <c:pt idx="54">
                  <c:v>113.53240911980495</c:v>
                </c:pt>
                <c:pt idx="55">
                  <c:v>106.91645462205571</c:v>
                </c:pt>
                <c:pt idx="56">
                  <c:v>104.2555900357175</c:v>
                </c:pt>
                <c:pt idx="57">
                  <c:v>100.76720034440977</c:v>
                </c:pt>
                <c:pt idx="58">
                  <c:v>98.150751262114881</c:v>
                </c:pt>
                <c:pt idx="59">
                  <c:v>91.422985512585043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25-434E-BB80-F05760347AD2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'Результаты'!$B$127:$B$186</c:f>
              <c:numCache>
                <c:formatCode>mmm\ 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'Результаты'!$F$127:$F$186</c:f>
              <c:numCache>
                <c:formatCode>#,##0.00</c:formatCode>
                <c:ptCount val="60"/>
                <c:pt idx="0">
                  <c:v>66.674625824541494</c:v>
                </c:pt>
                <c:pt idx="1">
                  <c:v>69.405897541972038</c:v>
                </c:pt>
                <c:pt idx="2">
                  <c:v>77.738191085298325</c:v>
                </c:pt>
                <c:pt idx="3">
                  <c:v>82.89247640739562</c:v>
                </c:pt>
                <c:pt idx="4">
                  <c:v>88.145773387096853</c:v>
                </c:pt>
                <c:pt idx="5">
                  <c:v>92.56604105388503</c:v>
                </c:pt>
                <c:pt idx="6">
                  <c:v>90.662418412966559</c:v>
                </c:pt>
                <c:pt idx="7">
                  <c:v>85.420581570548848</c:v>
                </c:pt>
                <c:pt idx="8">
                  <c:v>83.433851908434178</c:v>
                </c:pt>
                <c:pt idx="9">
                  <c:v>80.629943429087902</c:v>
                </c:pt>
                <c:pt idx="10">
                  <c:v>78.598243295066396</c:v>
                </c:pt>
                <c:pt idx="11">
                  <c:v>73.195389461656276</c:v>
                </c:pt>
                <c:pt idx="12">
                  <c:v>71.02012444174774</c:v>
                </c:pt>
                <c:pt idx="13">
                  <c:v>73.958019044560487</c:v>
                </c:pt>
                <c:pt idx="14">
                  <c:v>82.794733095254301</c:v>
                </c:pt>
                <c:pt idx="15">
                  <c:v>88.371868212763175</c:v>
                </c:pt>
                <c:pt idx="16">
                  <c:v>93.943256182474045</c:v>
                </c:pt>
                <c:pt idx="17">
                  <c:v>98.72465393173043</c:v>
                </c:pt>
                <c:pt idx="18">
                  <c:v>96.62683038749924</c:v>
                </c:pt>
                <c:pt idx="19">
                  <c:v>91.079527219184698</c:v>
                </c:pt>
                <c:pt idx="20">
                  <c:v>88.987865167987763</c:v>
                </c:pt>
                <c:pt idx="21">
                  <c:v>85.941686782352647</c:v>
                </c:pt>
                <c:pt idx="22">
                  <c:v>83.763141254945239</c:v>
                </c:pt>
                <c:pt idx="23">
                  <c:v>78.014262391282429</c:v>
                </c:pt>
                <c:pt idx="24">
                  <c:v>75.771203823825303</c:v>
                </c:pt>
                <c:pt idx="25">
                  <c:v>78.866996132305928</c:v>
                </c:pt>
                <c:pt idx="26">
                  <c:v>88.291466903919456</c:v>
                </c:pt>
                <c:pt idx="27">
                  <c:v>94.190281060356043</c:v>
                </c:pt>
                <c:pt idx="28">
                  <c:v>100.15556450863691</c:v>
                </c:pt>
                <c:pt idx="29">
                  <c:v>105.23179548612849</c:v>
                </c:pt>
                <c:pt idx="30">
                  <c:v>103.01703519082071</c:v>
                </c:pt>
                <c:pt idx="31">
                  <c:v>97.111356941589619</c:v>
                </c:pt>
                <c:pt idx="32">
                  <c:v>94.90390909988524</c:v>
                </c:pt>
                <c:pt idx="33">
                  <c:v>91.64788296694293</c:v>
                </c:pt>
                <c:pt idx="34">
                  <c:v>89.342892118318517</c:v>
                </c:pt>
                <c:pt idx="35">
                  <c:v>83.245395917060222</c:v>
                </c:pt>
                <c:pt idx="36">
                  <c:v>80.8387028321619</c:v>
                </c:pt>
                <c:pt idx="37">
                  <c:v>84.131064597625667</c:v>
                </c:pt>
                <c:pt idx="38">
                  <c:v>94.217503197995242</c:v>
                </c:pt>
                <c:pt idx="39">
                  <c:v>100.50658571783914</c:v>
                </c:pt>
                <c:pt idx="40">
                  <c:v>106.86438645370383</c:v>
                </c:pt>
                <c:pt idx="41">
                  <c:v>112.32822524629189</c:v>
                </c:pt>
                <c:pt idx="42">
                  <c:v>109.97528406542173</c:v>
                </c:pt>
                <c:pt idx="43">
                  <c:v>103.67174299752601</c:v>
                </c:pt>
                <c:pt idx="44">
                  <c:v>101.23892654537622</c:v>
                </c:pt>
                <c:pt idx="45">
                  <c:v>97.802912214223269</c:v>
                </c:pt>
                <c:pt idx="46">
                  <c:v>95.353405127204141</c:v>
                </c:pt>
                <c:pt idx="47">
                  <c:v>88.782230045607207</c:v>
                </c:pt>
                <c:pt idx="48">
                  <c:v>86.250669846568471</c:v>
                </c:pt>
                <c:pt idx="49">
                  <c:v>89.85824198800772</c:v>
                </c:pt>
                <c:pt idx="50">
                  <c:v>100.59318782568464</c:v>
                </c:pt>
                <c:pt idx="51">
                  <c:v>107.35319974714281</c:v>
                </c:pt>
                <c:pt idx="52">
                  <c:v>114.1166353665478</c:v>
                </c:pt>
                <c:pt idx="53">
                  <c:v>119.97026512198569</c:v>
                </c:pt>
                <c:pt idx="54">
                  <c:v>117.51400784915907</c:v>
                </c:pt>
                <c:pt idx="55">
                  <c:v>110.73189244264394</c:v>
                </c:pt>
                <c:pt idx="56">
                  <c:v>108.09356277456415</c:v>
                </c:pt>
                <c:pt idx="57">
                  <c:v>104.42880681099231</c:v>
                </c:pt>
                <c:pt idx="58">
                  <c:v>101.7848478189228</c:v>
                </c:pt>
                <c:pt idx="59">
                  <c:v>94.767241234906223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25-434E-BB80-F05760347AD2}"/>
            </c:ext>
          </c:extLst>
        </c:ser>
        <c:ser>
          <c:idx val="3"/>
          <c:order val="3"/>
          <c:tx>
            <c:v>10-й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'Результаты'!$B$127:$B$186</c:f>
              <c:numCache>
                <c:formatCode>mmm\ 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'Результаты'!$C$127:$C$186</c:f>
              <c:numCache>
                <c:formatCode>#,##0.00</c:formatCode>
                <c:ptCount val="60"/>
                <c:pt idx="0">
                  <c:v>64.118292191870836</c:v>
                </c:pt>
                <c:pt idx="1">
                  <c:v>65.618325289483323</c:v>
                </c:pt>
                <c:pt idx="2">
                  <c:v>72.597763015857652</c:v>
                </c:pt>
                <c:pt idx="3">
                  <c:v>76.578815248816255</c:v>
                </c:pt>
                <c:pt idx="4">
                  <c:v>80.570490135353012</c:v>
                </c:pt>
                <c:pt idx="5">
                  <c:v>83.901718935061353</c:v>
                </c:pt>
                <c:pt idx="6">
                  <c:v>81.413718563813362</c:v>
                </c:pt>
                <c:pt idx="7">
                  <c:v>76.323796222645527</c:v>
                </c:pt>
                <c:pt idx="8">
                  <c:v>73.901108916406912</c:v>
                </c:pt>
                <c:pt idx="9">
                  <c:v>70.891996775120447</c:v>
                </c:pt>
                <c:pt idx="10">
                  <c:v>68.47481742129753</c:v>
                </c:pt>
                <c:pt idx="11">
                  <c:v>63.482151069228607</c:v>
                </c:pt>
                <c:pt idx="12">
                  <c:v>61.24891137564272</c:v>
                </c:pt>
                <c:pt idx="13">
                  <c:v>63.299390677827368</c:v>
                </c:pt>
                <c:pt idx="14">
                  <c:v>70.437334051760075</c:v>
                </c:pt>
                <c:pt idx="15">
                  <c:v>74.609736671465413</c:v>
                </c:pt>
                <c:pt idx="16">
                  <c:v>78.886320503972456</c:v>
                </c:pt>
                <c:pt idx="17">
                  <c:v>82.268462665591173</c:v>
                </c:pt>
                <c:pt idx="18">
                  <c:v>80.33129649798569</c:v>
                </c:pt>
                <c:pt idx="19">
                  <c:v>75.294570835773527</c:v>
                </c:pt>
                <c:pt idx="20">
                  <c:v>73.084203554621354</c:v>
                </c:pt>
                <c:pt idx="21">
                  <c:v>70.3960850137492</c:v>
                </c:pt>
                <c:pt idx="22">
                  <c:v>68.09291816823611</c:v>
                </c:pt>
                <c:pt idx="23">
                  <c:v>63.088921588334102</c:v>
                </c:pt>
                <c:pt idx="24">
                  <c:v>60.97305633565022</c:v>
                </c:pt>
                <c:pt idx="25">
                  <c:v>63.195558742047282</c:v>
                </c:pt>
                <c:pt idx="26">
                  <c:v>70.217158316765691</c:v>
                </c:pt>
                <c:pt idx="27">
                  <c:v>74.570219749299625</c:v>
                </c:pt>
                <c:pt idx="28">
                  <c:v>78.852201282096289</c:v>
                </c:pt>
                <c:pt idx="29">
                  <c:v>82.536279163189477</c:v>
                </c:pt>
                <c:pt idx="30">
                  <c:v>80.370114561272601</c:v>
                </c:pt>
                <c:pt idx="31">
                  <c:v>75.48930723085013</c:v>
                </c:pt>
                <c:pt idx="32">
                  <c:v>73.330544766199324</c:v>
                </c:pt>
                <c:pt idx="33">
                  <c:v>70.478881972356248</c:v>
                </c:pt>
                <c:pt idx="34">
                  <c:v>68.260799736112844</c:v>
                </c:pt>
                <c:pt idx="35">
                  <c:v>63.472698531747731</c:v>
                </c:pt>
                <c:pt idx="36">
                  <c:v>61.240772434532509</c:v>
                </c:pt>
                <c:pt idx="37">
                  <c:v>63.500955739383095</c:v>
                </c:pt>
                <c:pt idx="38">
                  <c:v>70.701880198346572</c:v>
                </c:pt>
                <c:pt idx="39">
                  <c:v>75.005765218516913</c:v>
                </c:pt>
                <c:pt idx="40">
                  <c:v>79.535114953673158</c:v>
                </c:pt>
                <c:pt idx="41">
                  <c:v>83.277592904211545</c:v>
                </c:pt>
                <c:pt idx="42">
                  <c:v>81.392515174629253</c:v>
                </c:pt>
                <c:pt idx="43">
                  <c:v>76.450733687052207</c:v>
                </c:pt>
                <c:pt idx="44">
                  <c:v>74.188120097563939</c:v>
                </c:pt>
                <c:pt idx="45">
                  <c:v>71.311061611571802</c:v>
                </c:pt>
                <c:pt idx="46">
                  <c:v>69.343971158283296</c:v>
                </c:pt>
                <c:pt idx="47">
                  <c:v>64.201574012556804</c:v>
                </c:pt>
                <c:pt idx="48">
                  <c:v>62.206544530862736</c:v>
                </c:pt>
                <c:pt idx="49">
                  <c:v>64.384748234722892</c:v>
                </c:pt>
                <c:pt idx="50">
                  <c:v>71.75393383063367</c:v>
                </c:pt>
                <c:pt idx="51">
                  <c:v>76.176676460642256</c:v>
                </c:pt>
                <c:pt idx="52">
                  <c:v>80.504756253228308</c:v>
                </c:pt>
                <c:pt idx="53">
                  <c:v>84.35444917299499</c:v>
                </c:pt>
                <c:pt idx="54">
                  <c:v>82.22592556169802</c:v>
                </c:pt>
                <c:pt idx="55">
                  <c:v>77.333406315845338</c:v>
                </c:pt>
                <c:pt idx="56">
                  <c:v>75.319084045174506</c:v>
                </c:pt>
                <c:pt idx="57">
                  <c:v>72.221562923826212</c:v>
                </c:pt>
                <c:pt idx="58">
                  <c:v>70.101695454129825</c:v>
                </c:pt>
                <c:pt idx="59">
                  <c:v>65.041666995496101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25-434E-BB80-F05760347AD2}"/>
            </c:ext>
          </c:extLst>
        </c:ser>
        <c:ser>
          <c:idx val="4"/>
          <c:order val="4"/>
          <c:tx>
            <c:v>Максимум поставки сегодня</c:v>
          </c:tx>
          <c:spPr>
            <a:ln w="22225">
              <a:solidFill>
                <a:srgbClr val="15803D"/>
              </a:solidFill>
              <a:prstDash val="solid"/>
            </a:ln>
          </c:spPr>
          <c:marker>
            <c:symbol val="none"/>
          </c:marker>
          <c:cat>
            <c:numRef>
              <c:f>'Результаты'!$B$127:$B$186</c:f>
              <c:numCache>
                <c:formatCode>mmm\ 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'Результаты'!$G$127:$G$186</c:f>
              <c:numCache>
                <c:formatCode>#,##0.00</c:formatCode>
                <c:ptCount val="60"/>
                <c:pt idx="0">
                  <c:v>98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98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98</c:v>
                </c:pt>
                <c:pt idx="36">
                  <c:v>98</c:v>
                </c:pt>
                <c:pt idx="37">
                  <c:v>98</c:v>
                </c:pt>
                <c:pt idx="38">
                  <c:v>98</c:v>
                </c:pt>
                <c:pt idx="39">
                  <c:v>98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98</c:v>
                </c:pt>
                <c:pt idx="46">
                  <c:v>98</c:v>
                </c:pt>
                <c:pt idx="47">
                  <c:v>98</c:v>
                </c:pt>
                <c:pt idx="48">
                  <c:v>98</c:v>
                </c:pt>
                <c:pt idx="49">
                  <c:v>98</c:v>
                </c:pt>
                <c:pt idx="50">
                  <c:v>98</c:v>
                </c:pt>
                <c:pt idx="51">
                  <c:v>98</c:v>
                </c:pt>
                <c:pt idx="52">
                  <c:v>98</c:v>
                </c:pt>
                <c:pt idx="53">
                  <c:v>98</c:v>
                </c:pt>
                <c:pt idx="54">
                  <c:v>98</c:v>
                </c:pt>
                <c:pt idx="55">
                  <c:v>98</c:v>
                </c:pt>
                <c:pt idx="56">
                  <c:v>98</c:v>
                </c:pt>
                <c:pt idx="57">
                  <c:v>98</c:v>
                </c:pt>
                <c:pt idx="58">
                  <c:v>98</c:v>
                </c:pt>
                <c:pt idx="59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F25-434E-BB80-F05760347AD2}"/>
            </c:ext>
          </c:extLst>
        </c:ser>
        <c:ser>
          <c:idx val="5"/>
          <c:order val="5"/>
          <c:tx>
            <c:v>…с одним новым прессом</c:v>
          </c:tx>
          <c:spPr>
            <a:ln w="22225">
              <a:solidFill>
                <a:srgbClr val="15803D"/>
              </a:solidFill>
              <a:prstDash val="sysDash"/>
            </a:ln>
          </c:spPr>
          <c:marker>
            <c:symbol val="none"/>
          </c:marker>
          <c:cat>
            <c:numRef>
              <c:f>'Результаты'!$B$127:$B$186</c:f>
              <c:numCache>
                <c:formatCode>mmm\ 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'Результаты'!$H$127:$H$186</c:f>
              <c:numCache>
                <c:formatCode>#,##0.00</c:formatCode>
                <c:ptCount val="60"/>
                <c:pt idx="0">
                  <c:v>98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120.00000000000001</c:v>
                </c:pt>
                <c:pt idx="7">
                  <c:v>120.00000000000001</c:v>
                </c:pt>
                <c:pt idx="8">
                  <c:v>120.00000000000001</c:v>
                </c:pt>
                <c:pt idx="9">
                  <c:v>120.00000000000001</c:v>
                </c:pt>
                <c:pt idx="10">
                  <c:v>120.00000000000001</c:v>
                </c:pt>
                <c:pt idx="11">
                  <c:v>120.00000000000001</c:v>
                </c:pt>
                <c:pt idx="12">
                  <c:v>120.00000000000001</c:v>
                </c:pt>
                <c:pt idx="13">
                  <c:v>120.00000000000001</c:v>
                </c:pt>
                <c:pt idx="14">
                  <c:v>120.00000000000001</c:v>
                </c:pt>
                <c:pt idx="15">
                  <c:v>120.00000000000001</c:v>
                </c:pt>
                <c:pt idx="16">
                  <c:v>120.00000000000001</c:v>
                </c:pt>
                <c:pt idx="17">
                  <c:v>120.00000000000001</c:v>
                </c:pt>
                <c:pt idx="18">
                  <c:v>120.00000000000001</c:v>
                </c:pt>
                <c:pt idx="19">
                  <c:v>120.00000000000001</c:v>
                </c:pt>
                <c:pt idx="20">
                  <c:v>120.00000000000001</c:v>
                </c:pt>
                <c:pt idx="21">
                  <c:v>120.00000000000001</c:v>
                </c:pt>
                <c:pt idx="22">
                  <c:v>120.00000000000001</c:v>
                </c:pt>
                <c:pt idx="23">
                  <c:v>120.00000000000001</c:v>
                </c:pt>
                <c:pt idx="24">
                  <c:v>120.00000000000001</c:v>
                </c:pt>
                <c:pt idx="25">
                  <c:v>120.00000000000001</c:v>
                </c:pt>
                <c:pt idx="26">
                  <c:v>120.00000000000001</c:v>
                </c:pt>
                <c:pt idx="27">
                  <c:v>120.00000000000001</c:v>
                </c:pt>
                <c:pt idx="28">
                  <c:v>120.00000000000001</c:v>
                </c:pt>
                <c:pt idx="29">
                  <c:v>120.00000000000001</c:v>
                </c:pt>
                <c:pt idx="30">
                  <c:v>120.00000000000001</c:v>
                </c:pt>
                <c:pt idx="31">
                  <c:v>120.00000000000001</c:v>
                </c:pt>
                <c:pt idx="32">
                  <c:v>120.00000000000001</c:v>
                </c:pt>
                <c:pt idx="33">
                  <c:v>120.00000000000001</c:v>
                </c:pt>
                <c:pt idx="34">
                  <c:v>120.00000000000001</c:v>
                </c:pt>
                <c:pt idx="35">
                  <c:v>120.00000000000001</c:v>
                </c:pt>
                <c:pt idx="36">
                  <c:v>120.00000000000001</c:v>
                </c:pt>
                <c:pt idx="37">
                  <c:v>120.00000000000001</c:v>
                </c:pt>
                <c:pt idx="38">
                  <c:v>120.00000000000001</c:v>
                </c:pt>
                <c:pt idx="39">
                  <c:v>120.00000000000001</c:v>
                </c:pt>
                <c:pt idx="40">
                  <c:v>120.00000000000001</c:v>
                </c:pt>
                <c:pt idx="41">
                  <c:v>120.00000000000001</c:v>
                </c:pt>
                <c:pt idx="42">
                  <c:v>120.00000000000001</c:v>
                </c:pt>
                <c:pt idx="43">
                  <c:v>120.00000000000001</c:v>
                </c:pt>
                <c:pt idx="44">
                  <c:v>120.00000000000001</c:v>
                </c:pt>
                <c:pt idx="45">
                  <c:v>120.00000000000001</c:v>
                </c:pt>
                <c:pt idx="46">
                  <c:v>120.00000000000001</c:v>
                </c:pt>
                <c:pt idx="47">
                  <c:v>120.00000000000001</c:v>
                </c:pt>
                <c:pt idx="48">
                  <c:v>120.00000000000001</c:v>
                </c:pt>
                <c:pt idx="49">
                  <c:v>120.00000000000001</c:v>
                </c:pt>
                <c:pt idx="50">
                  <c:v>120.00000000000001</c:v>
                </c:pt>
                <c:pt idx="51">
                  <c:v>120.00000000000001</c:v>
                </c:pt>
                <c:pt idx="52">
                  <c:v>120.00000000000001</c:v>
                </c:pt>
                <c:pt idx="53">
                  <c:v>120.00000000000001</c:v>
                </c:pt>
                <c:pt idx="54">
                  <c:v>120.00000000000001</c:v>
                </c:pt>
                <c:pt idx="55">
                  <c:v>120.00000000000001</c:v>
                </c:pt>
                <c:pt idx="56">
                  <c:v>120.00000000000001</c:v>
                </c:pt>
                <c:pt idx="57">
                  <c:v>120.00000000000001</c:v>
                </c:pt>
                <c:pt idx="58">
                  <c:v>120.00000000000001</c:v>
                </c:pt>
                <c:pt idx="59">
                  <c:v>120.00000000000001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25-434E-BB80-F05760347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  <c:majorUnit val="6"/>
        <c:minorUnit val="6"/>
      </c:dateAx>
      <c:valAx>
        <c:axId val="100"/>
        <c:scaling>
          <c:orientation val="minMax"/>
          <c:min val="4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Тысяч деталей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'Результаты'!$B$122:$B$124</c:f>
              <c:strCache>
                <c:ptCount val="3"/>
                <c:pt idx="0">
                  <c:v>Рост спроса</c:v>
                </c:pt>
                <c:pt idx="1">
                  <c:v>ОЕЕ завода, устойчивая</c:v>
                </c:pt>
                <c:pt idx="2">
                  <c:v>Поставка и монтаж</c:v>
                </c:pt>
              </c:strCache>
            </c:strRef>
          </c:cat>
          <c:val>
            <c:numRef>
              <c:f>'Результаты'!$F$122:$F$124</c:f>
              <c:numCache>
                <c:formatCode>#,##0_);\(#,##0\);"–"_)</c:formatCode>
                <c:ptCount val="3"/>
                <c:pt idx="0">
                  <c:v>383.87104835521802</c:v>
                </c:pt>
                <c:pt idx="1">
                  <c:v>109.7306076473445</c:v>
                </c:pt>
                <c:pt idx="2">
                  <c:v>16.568560065691202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6-4874-AB01-6616CC279D1A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'Результаты'!$B$122:$B$124</c:f>
              <c:strCache>
                <c:ptCount val="3"/>
                <c:pt idx="0">
                  <c:v>Рост спроса</c:v>
                </c:pt>
                <c:pt idx="1">
                  <c:v>ОЕЕ завода, устойчивая</c:v>
                </c:pt>
                <c:pt idx="2">
                  <c:v>Поставка и монтаж</c:v>
                </c:pt>
              </c:strCache>
            </c:strRef>
          </c:cat>
          <c:val>
            <c:numRef>
              <c:f>'Результаты'!$G$122:$G$124</c:f>
              <c:numCache>
                <c:formatCode>#,##0_);\(#,##0\);"–"_)</c:formatCode>
                <c:ptCount val="3"/>
                <c:pt idx="0">
                  <c:v>-308.05603266237347</c:v>
                </c:pt>
                <c:pt idx="1">
                  <c:v>-102.13676527808209</c:v>
                </c:pt>
                <c:pt idx="2">
                  <c:v>-15.196652633139621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66-4874-AB01-6616CC279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27</xdr:row>
      <xdr:rowOff>0</xdr:rowOff>
    </xdr:from>
    <xdr:ext cx="6263999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43</xdr:row>
      <xdr:rowOff>0</xdr:rowOff>
    </xdr:from>
    <xdr:ext cx="6263999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5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ht="26.25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39.4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5" t="s">
        <v>20</v>
      </c>
      <c r="C16" s="86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39.4" x14ac:dyDescent="0.45">
      <c r="B28" s="9" t="s">
        <v>23</v>
      </c>
      <c r="C28" s="10" t="s">
        <v>24</v>
      </c>
    </row>
    <row r="29" spans="2:3" ht="52.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ht="26.25" x14ac:dyDescent="0.45">
      <c r="B54" s="9" t="s">
        <v>63</v>
      </c>
      <c r="C54" s="10" t="s">
        <v>64</v>
      </c>
    </row>
    <row r="55" spans="2:3" x14ac:dyDescent="0.45">
      <c r="B55" s="9" t="s">
        <v>65</v>
      </c>
      <c r="C55" s="10" t="s">
        <v>66</v>
      </c>
    </row>
    <row r="56" spans="2:3" ht="12" customHeight="1" x14ac:dyDescent="0.45"/>
    <row r="57" spans="2:3" ht="22.05" customHeight="1" x14ac:dyDescent="0.5">
      <c r="B57" s="7" t="s">
        <v>67</v>
      </c>
      <c r="C57" s="8"/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x14ac:dyDescent="0.45">
      <c r="B61" s="9" t="s">
        <v>74</v>
      </c>
      <c r="C61" s="10" t="s">
        <v>75</v>
      </c>
    </row>
    <row r="62" spans="2:3" ht="12" customHeight="1" x14ac:dyDescent="0.45"/>
    <row r="63" spans="2:3" ht="22.05" customHeight="1" x14ac:dyDescent="0.5">
      <c r="B63" s="7" t="s">
        <v>76</v>
      </c>
      <c r="C63" s="8"/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ht="39.4" x14ac:dyDescent="0.45">
      <c r="B67" s="20" t="s">
        <v>83</v>
      </c>
      <c r="C67" s="10" t="s">
        <v>84</v>
      </c>
    </row>
    <row r="68" spans="2:3" x14ac:dyDescent="0.45">
      <c r="B68" s="20" t="s">
        <v>85</v>
      </c>
      <c r="C68" s="10" t="s">
        <v>86</v>
      </c>
    </row>
    <row r="69" spans="2:3" ht="12" customHeight="1" x14ac:dyDescent="0.45"/>
    <row r="70" spans="2:3" ht="22.05" customHeight="1" x14ac:dyDescent="0.5">
      <c r="B70" s="7" t="s">
        <v>87</v>
      </c>
      <c r="C70" s="8"/>
    </row>
    <row r="71" spans="2:3" x14ac:dyDescent="0.45">
      <c r="B71" s="9" t="s">
        <v>88</v>
      </c>
      <c r="C71" s="10" t="s">
        <v>89</v>
      </c>
    </row>
    <row r="72" spans="2:3" x14ac:dyDescent="0.45">
      <c r="B72" s="9" t="s">
        <v>90</v>
      </c>
      <c r="C72" s="10" t="s">
        <v>91</v>
      </c>
    </row>
    <row r="73" spans="2:3" x14ac:dyDescent="0.45">
      <c r="B73" s="9" t="s">
        <v>92</v>
      </c>
      <c r="C73" s="10" t="s">
        <v>93</v>
      </c>
    </row>
    <row r="74" spans="2:3" ht="16.05" customHeight="1" x14ac:dyDescent="0.45"/>
    <row r="75" spans="2:3" x14ac:dyDescent="0.45">
      <c r="B75" s="87" t="s">
        <v>94</v>
      </c>
      <c r="C75" s="86"/>
    </row>
  </sheetData>
  <mergeCells count="2">
    <mergeCell ref="B16:C16"/>
    <mergeCell ref="B75:C75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Мощность'!A1" display="Мощность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61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95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96</v>
      </c>
      <c r="C4" s="5"/>
      <c r="D4" s="5"/>
      <c r="E4" s="5"/>
      <c r="F4" s="5"/>
      <c r="G4" s="5"/>
      <c r="H4" s="5"/>
      <c r="I4" s="5"/>
      <c r="J4" s="6" t="s">
        <v>97</v>
      </c>
    </row>
    <row r="5" spans="1:10" ht="8" customHeight="1" x14ac:dyDescent="0.45"/>
    <row r="6" spans="1:10" ht="30" customHeight="1" x14ac:dyDescent="0.45">
      <c r="B6" s="88" t="s">
        <v>98</v>
      </c>
      <c r="C6" s="86"/>
      <c r="D6" s="86"/>
      <c r="E6" s="86"/>
      <c r="F6" s="86"/>
      <c r="G6" s="86"/>
      <c r="H6" s="86"/>
      <c r="I6" s="86"/>
      <c r="J6" s="86"/>
    </row>
    <row r="7" spans="1:10" ht="6" customHeight="1" x14ac:dyDescent="0.45"/>
    <row r="8" spans="1:10" ht="22.05" customHeight="1" x14ac:dyDescent="0.5">
      <c r="B8" s="7" t="s">
        <v>99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100</v>
      </c>
    </row>
    <row r="10" spans="1:10" ht="18" customHeight="1" x14ac:dyDescent="0.45">
      <c r="B10" s="23" t="s">
        <v>101</v>
      </c>
      <c r="C10" s="23" t="s">
        <v>102</v>
      </c>
      <c r="D10" s="24" t="s">
        <v>103</v>
      </c>
      <c r="E10" s="23" t="s">
        <v>104</v>
      </c>
      <c r="F10" s="24" t="s">
        <v>105</v>
      </c>
      <c r="G10" s="24" t="s">
        <v>106</v>
      </c>
      <c r="H10" s="24" t="s">
        <v>107</v>
      </c>
      <c r="I10" s="24" t="s">
        <v>108</v>
      </c>
      <c r="J10" s="23" t="s">
        <v>109</v>
      </c>
    </row>
    <row r="11" spans="1:10" x14ac:dyDescent="0.45">
      <c r="B11" s="25" t="s">
        <v>110</v>
      </c>
      <c r="C11" s="26" t="s">
        <v>111</v>
      </c>
      <c r="D11" s="27">
        <v>78</v>
      </c>
      <c r="E11" s="26" t="s">
        <v>112</v>
      </c>
      <c r="F11" s="28"/>
      <c r="G11" s="28"/>
      <c r="H11" s="28"/>
      <c r="I11" s="28"/>
      <c r="J11" s="29" t="s">
        <v>113</v>
      </c>
    </row>
    <row r="12" spans="1:10" ht="23.25" x14ac:dyDescent="0.45">
      <c r="B12" s="25" t="s">
        <v>114</v>
      </c>
      <c r="C12" s="26" t="s">
        <v>115</v>
      </c>
      <c r="D12" s="30" cm="1">
        <f t="array" aca="1" ref="D12" ca="1">_xll.VoseInput("Рост спроса","в год")+_xll.VosePERT(F12,G12,H12)</f>
        <v>6.585094736991863E-2</v>
      </c>
      <c r="E12" s="26" t="s">
        <v>116</v>
      </c>
      <c r="F12" s="31">
        <v>0</v>
      </c>
      <c r="G12" s="31">
        <v>0.06</v>
      </c>
      <c r="H12" s="31">
        <v>0.15</v>
      </c>
      <c r="I12" s="32" cm="1">
        <f t="array" ref="I12">IF(AND(F12&lt;=G12,G12&lt;=H12,F12&lt;H12),_xll.VoseMean(_xll.VosePERTObject(F12,G12,H12)),"✗ диапазон")</f>
        <v>6.5000000000000002E-2</v>
      </c>
      <c r="J12" s="29" t="s">
        <v>117</v>
      </c>
    </row>
    <row r="13" spans="1:10" x14ac:dyDescent="0.45">
      <c r="B13" s="25" t="s">
        <v>118</v>
      </c>
      <c r="C13" s="26" t="s">
        <v>119</v>
      </c>
      <c r="D13" s="31">
        <v>0.03</v>
      </c>
      <c r="E13" s="26" t="s">
        <v>112</v>
      </c>
      <c r="F13" s="28"/>
      <c r="G13" s="28"/>
      <c r="H13" s="28"/>
      <c r="I13" s="28"/>
      <c r="J13" s="29" t="s">
        <v>120</v>
      </c>
    </row>
    <row r="14" spans="1:10" ht="8" customHeight="1" x14ac:dyDescent="0.45"/>
    <row r="15" spans="1:10" ht="22.05" customHeight="1" x14ac:dyDescent="0.5">
      <c r="B15" s="7" t="s">
        <v>121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122</v>
      </c>
    </row>
    <row r="17" spans="2:10" ht="18" customHeight="1" x14ac:dyDescent="0.45">
      <c r="B17" s="23" t="s">
        <v>101</v>
      </c>
      <c r="C17" s="23" t="s">
        <v>102</v>
      </c>
      <c r="D17" s="24" t="s">
        <v>103</v>
      </c>
      <c r="E17" s="23" t="s">
        <v>104</v>
      </c>
      <c r="F17" s="5"/>
      <c r="G17" s="5"/>
      <c r="H17" s="5"/>
      <c r="I17" s="5"/>
      <c r="J17" s="23" t="s">
        <v>109</v>
      </c>
    </row>
    <row r="18" spans="2:10" x14ac:dyDescent="0.45">
      <c r="B18" s="25" t="s">
        <v>123</v>
      </c>
      <c r="C18" s="26" t="s">
        <v>124</v>
      </c>
      <c r="D18" s="33">
        <v>0.85</v>
      </c>
      <c r="E18" s="26" t="s">
        <v>112</v>
      </c>
      <c r="F18" s="28"/>
      <c r="G18" s="28"/>
      <c r="H18" s="28"/>
      <c r="I18" s="28"/>
      <c r="J18" s="29" t="s">
        <v>125</v>
      </c>
    </row>
    <row r="19" spans="2:10" x14ac:dyDescent="0.45">
      <c r="B19" s="25" t="s">
        <v>126</v>
      </c>
      <c r="C19" s="26" t="s">
        <v>124</v>
      </c>
      <c r="D19" s="33">
        <v>0.88</v>
      </c>
      <c r="E19" s="26" t="s">
        <v>112</v>
      </c>
      <c r="F19" s="28"/>
      <c r="G19" s="28"/>
      <c r="H19" s="28"/>
      <c r="I19" s="28"/>
      <c r="J19" s="29"/>
    </row>
    <row r="20" spans="2:10" x14ac:dyDescent="0.45">
      <c r="B20" s="25" t="s">
        <v>127</v>
      </c>
      <c r="C20" s="26" t="s">
        <v>124</v>
      </c>
      <c r="D20" s="33">
        <v>0.98</v>
      </c>
      <c r="E20" s="26" t="s">
        <v>112</v>
      </c>
      <c r="F20" s="28"/>
      <c r="G20" s="28"/>
      <c r="H20" s="28"/>
      <c r="I20" s="28"/>
      <c r="J20" s="29"/>
    </row>
    <row r="21" spans="2:10" x14ac:dyDescent="0.45">
      <c r="B21" s="25" t="s">
        <v>128</v>
      </c>
      <c r="C21" s="26" t="s">
        <v>124</v>
      </c>
      <c r="D21" s="33">
        <v>1.04</v>
      </c>
      <c r="E21" s="26" t="s">
        <v>112</v>
      </c>
      <c r="F21" s="28"/>
      <c r="G21" s="28"/>
      <c r="H21" s="28"/>
      <c r="I21" s="28"/>
      <c r="J21" s="29"/>
    </row>
    <row r="22" spans="2:10" x14ac:dyDescent="0.45">
      <c r="B22" s="25" t="s">
        <v>129</v>
      </c>
      <c r="C22" s="26" t="s">
        <v>124</v>
      </c>
      <c r="D22" s="33">
        <v>1.1000000000000001</v>
      </c>
      <c r="E22" s="26" t="s">
        <v>112</v>
      </c>
      <c r="F22" s="28"/>
      <c r="G22" s="28"/>
      <c r="H22" s="28"/>
      <c r="I22" s="28"/>
      <c r="J22" s="29"/>
    </row>
    <row r="23" spans="2:10" x14ac:dyDescent="0.45">
      <c r="B23" s="25" t="s">
        <v>130</v>
      </c>
      <c r="C23" s="26" t="s">
        <v>124</v>
      </c>
      <c r="D23" s="33">
        <v>1.1499999999999999</v>
      </c>
      <c r="E23" s="26" t="s">
        <v>112</v>
      </c>
      <c r="F23" s="28"/>
      <c r="G23" s="28"/>
      <c r="H23" s="28"/>
      <c r="I23" s="28"/>
      <c r="J23" s="29"/>
    </row>
    <row r="24" spans="2:10" x14ac:dyDescent="0.45">
      <c r="B24" s="25" t="s">
        <v>131</v>
      </c>
      <c r="C24" s="26" t="s">
        <v>124</v>
      </c>
      <c r="D24" s="33">
        <v>1.1200000000000001</v>
      </c>
      <c r="E24" s="26" t="s">
        <v>112</v>
      </c>
      <c r="F24" s="28"/>
      <c r="G24" s="28"/>
      <c r="H24" s="28"/>
      <c r="I24" s="28"/>
      <c r="J24" s="29"/>
    </row>
    <row r="25" spans="2:10" x14ac:dyDescent="0.45">
      <c r="B25" s="25" t="s">
        <v>132</v>
      </c>
      <c r="C25" s="26" t="s">
        <v>124</v>
      </c>
      <c r="D25" s="33">
        <v>1.05</v>
      </c>
      <c r="E25" s="26" t="s">
        <v>112</v>
      </c>
      <c r="F25" s="28"/>
      <c r="G25" s="28"/>
      <c r="H25" s="28"/>
      <c r="I25" s="28"/>
      <c r="J25" s="29"/>
    </row>
    <row r="26" spans="2:10" x14ac:dyDescent="0.45">
      <c r="B26" s="25" t="s">
        <v>133</v>
      </c>
      <c r="C26" s="26" t="s">
        <v>124</v>
      </c>
      <c r="D26" s="33">
        <v>1.02</v>
      </c>
      <c r="E26" s="26" t="s">
        <v>112</v>
      </c>
      <c r="F26" s="28"/>
      <c r="G26" s="28"/>
      <c r="H26" s="28"/>
      <c r="I26" s="28"/>
      <c r="J26" s="29"/>
    </row>
    <row r="27" spans="2:10" x14ac:dyDescent="0.45">
      <c r="B27" s="25" t="s">
        <v>134</v>
      </c>
      <c r="C27" s="26" t="s">
        <v>124</v>
      </c>
      <c r="D27" s="33">
        <v>0.98</v>
      </c>
      <c r="E27" s="26" t="s">
        <v>112</v>
      </c>
      <c r="F27" s="28"/>
      <c r="G27" s="28"/>
      <c r="H27" s="28"/>
      <c r="I27" s="28"/>
      <c r="J27" s="29"/>
    </row>
    <row r="28" spans="2:10" x14ac:dyDescent="0.45">
      <c r="B28" s="25" t="s">
        <v>135</v>
      </c>
      <c r="C28" s="26" t="s">
        <v>124</v>
      </c>
      <c r="D28" s="33">
        <v>0.95</v>
      </c>
      <c r="E28" s="26" t="s">
        <v>112</v>
      </c>
      <c r="F28" s="28"/>
      <c r="G28" s="28"/>
      <c r="H28" s="28"/>
      <c r="I28" s="28"/>
      <c r="J28" s="29"/>
    </row>
    <row r="29" spans="2:10" x14ac:dyDescent="0.45">
      <c r="B29" s="25" t="s">
        <v>136</v>
      </c>
      <c r="C29" s="26" t="s">
        <v>124</v>
      </c>
      <c r="D29" s="33">
        <v>0.88</v>
      </c>
      <c r="E29" s="26" t="s">
        <v>112</v>
      </c>
      <c r="F29" s="28"/>
      <c r="G29" s="28"/>
      <c r="H29" s="28"/>
      <c r="I29" s="28"/>
      <c r="J29" s="29"/>
    </row>
    <row r="30" spans="2:10" x14ac:dyDescent="0.45">
      <c r="B30" s="25" t="s">
        <v>137</v>
      </c>
      <c r="C30" s="26"/>
      <c r="D30" s="34">
        <f>AVERAGE(Seasonality)</f>
        <v>1</v>
      </c>
      <c r="E30" s="26" t="s">
        <v>138</v>
      </c>
      <c r="F30" s="28"/>
      <c r="G30" s="28"/>
      <c r="H30" s="28"/>
      <c r="I30" s="28"/>
      <c r="J30" s="29" t="s">
        <v>139</v>
      </c>
    </row>
    <row r="31" spans="2:10" ht="8" customHeight="1" x14ac:dyDescent="0.45"/>
    <row r="32" spans="2:10" ht="22.05" customHeight="1" x14ac:dyDescent="0.5">
      <c r="B32" s="7" t="s">
        <v>140</v>
      </c>
      <c r="C32" s="8"/>
      <c r="D32" s="8"/>
      <c r="E32" s="8"/>
      <c r="F32" s="8"/>
      <c r="G32" s="8"/>
      <c r="H32" s="8"/>
      <c r="I32" s="8"/>
      <c r="J32" s="8"/>
    </row>
    <row r="33" spans="2:10" ht="18" customHeight="1" x14ac:dyDescent="0.45">
      <c r="B33" s="13" t="s">
        <v>141</v>
      </c>
    </row>
    <row r="34" spans="2:10" ht="18" customHeight="1" x14ac:dyDescent="0.45">
      <c r="B34" s="23" t="s">
        <v>101</v>
      </c>
      <c r="C34" s="23" t="s">
        <v>102</v>
      </c>
      <c r="D34" s="24" t="s">
        <v>103</v>
      </c>
      <c r="E34" s="23" t="s">
        <v>104</v>
      </c>
      <c r="F34" s="24" t="s">
        <v>105</v>
      </c>
      <c r="G34" s="24" t="s">
        <v>106</v>
      </c>
      <c r="H34" s="24" t="s">
        <v>107</v>
      </c>
      <c r="I34" s="24" t="s">
        <v>108</v>
      </c>
      <c r="J34" s="23" t="s">
        <v>109</v>
      </c>
    </row>
    <row r="35" spans="2:10" x14ac:dyDescent="0.45">
      <c r="B35" s="25" t="s">
        <v>142</v>
      </c>
      <c r="C35" s="26" t="s">
        <v>143</v>
      </c>
      <c r="D35" s="35">
        <v>4</v>
      </c>
      <c r="E35" s="26" t="s">
        <v>112</v>
      </c>
      <c r="F35" s="28"/>
      <c r="G35" s="28"/>
      <c r="H35" s="28"/>
      <c r="I35" s="28"/>
      <c r="J35" s="29"/>
    </row>
    <row r="36" spans="2:10" x14ac:dyDescent="0.45">
      <c r="B36" s="25" t="s">
        <v>144</v>
      </c>
      <c r="C36" s="26" t="s">
        <v>111</v>
      </c>
      <c r="D36" s="27">
        <v>25</v>
      </c>
      <c r="E36" s="26" t="s">
        <v>112</v>
      </c>
      <c r="F36" s="28"/>
      <c r="G36" s="28"/>
      <c r="H36" s="28"/>
      <c r="I36" s="28"/>
      <c r="J36" s="29" t="s">
        <v>145</v>
      </c>
    </row>
    <row r="37" spans="2:10" x14ac:dyDescent="0.45">
      <c r="B37" s="25" t="s">
        <v>146</v>
      </c>
      <c r="C37" s="26" t="s">
        <v>147</v>
      </c>
      <c r="D37" s="36" cm="1">
        <f t="array" aca="1" ref="D37" ca="1">_xll.VoseInput("ОЕЕ завода, устойчивая","от полной эффективности")+_xll.VosePERT(F37,G37,H37)</f>
        <v>0.80916748691179885</v>
      </c>
      <c r="E37" s="26" t="s">
        <v>116</v>
      </c>
      <c r="F37" s="37">
        <v>0.72</v>
      </c>
      <c r="G37" s="37">
        <v>0.8</v>
      </c>
      <c r="H37" s="37">
        <v>0.85</v>
      </c>
      <c r="I37" s="38" cm="1">
        <f t="array" ref="I37">IF(AND(F37&lt;=G37,G37&lt;=H37,F37&lt;H37,F37&gt;=0,H37&lt;=1),_xll.VoseMean(_xll.VosePERTObject(F37,G37,H37)),"✗ диапазон")</f>
        <v>0.79499999999999993</v>
      </c>
      <c r="J37" s="29" t="s">
        <v>148</v>
      </c>
    </row>
    <row r="38" spans="2:10" x14ac:dyDescent="0.45">
      <c r="B38" s="25" t="s">
        <v>149</v>
      </c>
      <c r="C38" s="26" t="s">
        <v>150</v>
      </c>
      <c r="D38" s="37">
        <v>0.1</v>
      </c>
      <c r="E38" s="26" t="s">
        <v>112</v>
      </c>
      <c r="F38" s="28"/>
      <c r="G38" s="28"/>
      <c r="H38" s="28"/>
      <c r="I38" s="28"/>
      <c r="J38" s="29" t="s">
        <v>151</v>
      </c>
    </row>
    <row r="39" spans="2:10" x14ac:dyDescent="0.45">
      <c r="B39" s="25" t="s">
        <v>152</v>
      </c>
      <c r="C39" s="26" t="s">
        <v>150</v>
      </c>
      <c r="D39" s="37">
        <v>0.04</v>
      </c>
      <c r="E39" s="26" t="s">
        <v>112</v>
      </c>
      <c r="F39" s="28"/>
      <c r="G39" s="28"/>
      <c r="H39" s="28"/>
      <c r="I39" s="28"/>
      <c r="J39" s="29"/>
    </row>
    <row r="40" spans="2:10" ht="8" customHeight="1" x14ac:dyDescent="0.45"/>
    <row r="41" spans="2:10" ht="22.05" customHeight="1" x14ac:dyDescent="0.5">
      <c r="B41" s="7" t="s">
        <v>153</v>
      </c>
      <c r="C41" s="8"/>
      <c r="D41" s="8"/>
      <c r="E41" s="8"/>
      <c r="F41" s="8"/>
      <c r="G41" s="8"/>
      <c r="H41" s="8"/>
      <c r="I41" s="8"/>
      <c r="J41" s="8"/>
    </row>
    <row r="42" spans="2:10" ht="18" customHeight="1" x14ac:dyDescent="0.45">
      <c r="B42" s="13" t="s">
        <v>154</v>
      </c>
    </row>
    <row r="43" spans="2:10" ht="18" customHeight="1" x14ac:dyDescent="0.45">
      <c r="B43" s="23" t="s">
        <v>101</v>
      </c>
      <c r="C43" s="23" t="s">
        <v>102</v>
      </c>
      <c r="D43" s="24" t="s">
        <v>103</v>
      </c>
      <c r="E43" s="23" t="s">
        <v>104</v>
      </c>
      <c r="F43" s="5"/>
      <c r="G43" s="5"/>
      <c r="H43" s="5"/>
      <c r="I43" s="5"/>
      <c r="J43" s="23" t="s">
        <v>109</v>
      </c>
    </row>
    <row r="44" spans="2:10" x14ac:dyDescent="0.45">
      <c r="B44" s="25" t="s">
        <v>155</v>
      </c>
      <c r="C44" s="26" t="s">
        <v>156</v>
      </c>
      <c r="D44" s="37">
        <v>0.1</v>
      </c>
      <c r="E44" s="26" t="s">
        <v>112</v>
      </c>
      <c r="F44" s="28"/>
      <c r="G44" s="28"/>
      <c r="H44" s="28"/>
      <c r="I44" s="28"/>
      <c r="J44" s="29" t="s">
        <v>157</v>
      </c>
    </row>
    <row r="45" spans="2:10" x14ac:dyDescent="0.45">
      <c r="B45" s="25" t="s">
        <v>158</v>
      </c>
      <c r="C45" s="26" t="s">
        <v>159</v>
      </c>
      <c r="D45" s="39">
        <v>0.3</v>
      </c>
      <c r="E45" s="26" t="s">
        <v>112</v>
      </c>
      <c r="F45" s="28"/>
      <c r="G45" s="28"/>
      <c r="H45" s="28"/>
      <c r="I45" s="28"/>
      <c r="J45" s="29" t="s">
        <v>160</v>
      </c>
    </row>
    <row r="46" spans="2:10" x14ac:dyDescent="0.45">
      <c r="B46" s="25" t="s">
        <v>161</v>
      </c>
      <c r="C46" s="26" t="s">
        <v>111</v>
      </c>
      <c r="D46" s="27">
        <v>10</v>
      </c>
      <c r="E46" s="26" t="s">
        <v>112</v>
      </c>
      <c r="F46" s="28"/>
      <c r="G46" s="28"/>
      <c r="H46" s="28"/>
      <c r="I46" s="28"/>
      <c r="J46" s="29" t="s">
        <v>162</v>
      </c>
    </row>
    <row r="47" spans="2:10" x14ac:dyDescent="0.45">
      <c r="B47" s="25" t="s">
        <v>163</v>
      </c>
      <c r="C47" s="26" t="s">
        <v>159</v>
      </c>
      <c r="D47" s="39">
        <v>0.8</v>
      </c>
      <c r="E47" s="26" t="s">
        <v>112</v>
      </c>
      <c r="F47" s="28"/>
      <c r="G47" s="28"/>
      <c r="H47" s="28"/>
      <c r="I47" s="28"/>
      <c r="J47" s="29" t="s">
        <v>164</v>
      </c>
    </row>
    <row r="48" spans="2:10" x14ac:dyDescent="0.45">
      <c r="B48" s="25" t="s">
        <v>165</v>
      </c>
      <c r="C48" s="26" t="s">
        <v>159</v>
      </c>
      <c r="D48" s="39">
        <v>2.2000000000000002</v>
      </c>
      <c r="E48" s="26" t="s">
        <v>112</v>
      </c>
      <c r="F48" s="28"/>
      <c r="G48" s="28"/>
      <c r="H48" s="28"/>
      <c r="I48" s="28"/>
      <c r="J48" s="29" t="s">
        <v>166</v>
      </c>
    </row>
    <row r="49" spans="2:10" ht="8" customHeight="1" x14ac:dyDescent="0.45"/>
    <row r="50" spans="2:10" ht="22.05" customHeight="1" x14ac:dyDescent="0.5">
      <c r="B50" s="7" t="s">
        <v>167</v>
      </c>
      <c r="C50" s="8"/>
      <c r="D50" s="8"/>
      <c r="E50" s="8"/>
      <c r="F50" s="8"/>
      <c r="G50" s="8"/>
      <c r="H50" s="8"/>
      <c r="I50" s="8"/>
      <c r="J50" s="8"/>
    </row>
    <row r="51" spans="2:10" ht="18" customHeight="1" x14ac:dyDescent="0.45">
      <c r="B51" s="13" t="s">
        <v>168</v>
      </c>
    </row>
    <row r="52" spans="2:10" ht="18" customHeight="1" x14ac:dyDescent="0.45">
      <c r="B52" s="23" t="s">
        <v>101</v>
      </c>
      <c r="C52" s="23" t="s">
        <v>102</v>
      </c>
      <c r="D52" s="24" t="s">
        <v>103</v>
      </c>
      <c r="E52" s="23" t="s">
        <v>104</v>
      </c>
      <c r="F52" s="24" t="s">
        <v>105</v>
      </c>
      <c r="G52" s="24" t="s">
        <v>106</v>
      </c>
      <c r="H52" s="24" t="s">
        <v>107</v>
      </c>
      <c r="I52" s="24" t="s">
        <v>108</v>
      </c>
      <c r="J52" s="23" t="s">
        <v>109</v>
      </c>
    </row>
    <row r="53" spans="2:10" x14ac:dyDescent="0.45">
      <c r="B53" s="25" t="s">
        <v>169</v>
      </c>
      <c r="C53" s="26" t="s">
        <v>170</v>
      </c>
      <c r="D53" s="27">
        <v>400</v>
      </c>
      <c r="E53" s="26" t="s">
        <v>112</v>
      </c>
      <c r="F53" s="28"/>
      <c r="G53" s="28"/>
      <c r="H53" s="28"/>
      <c r="I53" s="28"/>
      <c r="J53" s="29"/>
    </row>
    <row r="54" spans="2:10" x14ac:dyDescent="0.45">
      <c r="B54" s="25" t="s">
        <v>171</v>
      </c>
      <c r="C54" s="26" t="s">
        <v>172</v>
      </c>
      <c r="D54" s="40">
        <v>4</v>
      </c>
      <c r="E54" s="26" t="s">
        <v>112</v>
      </c>
      <c r="F54" s="28"/>
      <c r="G54" s="28"/>
      <c r="H54" s="28"/>
      <c r="I54" s="28"/>
      <c r="J54" s="29" t="s">
        <v>173</v>
      </c>
    </row>
    <row r="55" spans="2:10" x14ac:dyDescent="0.45">
      <c r="B55" s="25" t="s">
        <v>174</v>
      </c>
      <c r="C55" s="26" t="s">
        <v>175</v>
      </c>
      <c r="D55" s="41" cm="1">
        <f t="array" aca="1" ref="D55" ca="1">_xll.VoseInput("Поставка и монтаж","мес.")+_xll.VosePERT(F55,G55,H55)</f>
        <v>5.5205081374642901</v>
      </c>
      <c r="E55" s="26" t="s">
        <v>116</v>
      </c>
      <c r="F55" s="40">
        <v>4</v>
      </c>
      <c r="G55" s="40">
        <v>6</v>
      </c>
      <c r="H55" s="40">
        <v>10</v>
      </c>
      <c r="I55" s="42" cm="1">
        <f t="array" ref="I55">IF(AND(F55&lt;=G55,G55&lt;=H55,F55&lt;H55),_xll.VoseMean(_xll.VosePERTObject(F55,G55,H55)),"✗ диапазон")</f>
        <v>6.333333333333333</v>
      </c>
      <c r="J55" s="29" t="s">
        <v>176</v>
      </c>
    </row>
    <row r="56" spans="2:10" x14ac:dyDescent="0.45">
      <c r="B56" s="25" t="s">
        <v>177</v>
      </c>
      <c r="C56" s="26" t="s">
        <v>178</v>
      </c>
      <c r="D56" s="37">
        <v>0.5</v>
      </c>
      <c r="E56" s="26" t="s">
        <v>112</v>
      </c>
      <c r="F56" s="28"/>
      <c r="G56" s="28"/>
      <c r="H56" s="28"/>
      <c r="I56" s="28"/>
      <c r="J56" s="29" t="s">
        <v>179</v>
      </c>
    </row>
    <row r="57" spans="2:10" ht="8" customHeight="1" x14ac:dyDescent="0.45"/>
    <row r="58" spans="2:10" ht="22.05" customHeight="1" x14ac:dyDescent="0.5">
      <c r="B58" s="7" t="s">
        <v>180</v>
      </c>
      <c r="C58" s="8"/>
      <c r="D58" s="8"/>
      <c r="E58" s="8"/>
      <c r="F58" s="8"/>
      <c r="G58" s="8"/>
      <c r="H58" s="8"/>
      <c r="I58" s="8"/>
      <c r="J58" s="8"/>
    </row>
    <row r="59" spans="2:10" ht="18" customHeight="1" x14ac:dyDescent="0.45">
      <c r="B59" s="23" t="s">
        <v>101</v>
      </c>
      <c r="C59" s="23" t="s">
        <v>102</v>
      </c>
      <c r="D59" s="24" t="s">
        <v>103</v>
      </c>
      <c r="E59" s="23" t="s">
        <v>104</v>
      </c>
      <c r="F59" s="5"/>
      <c r="G59" s="5"/>
      <c r="H59" s="5"/>
      <c r="I59" s="5"/>
      <c r="J59" s="23" t="s">
        <v>109</v>
      </c>
    </row>
    <row r="60" spans="2:10" x14ac:dyDescent="0.45">
      <c r="B60" s="25" t="s">
        <v>181</v>
      </c>
      <c r="C60" s="26" t="s">
        <v>115</v>
      </c>
      <c r="D60" s="31">
        <v>0.08</v>
      </c>
      <c r="E60" s="26" t="s">
        <v>112</v>
      </c>
      <c r="F60" s="28"/>
      <c r="G60" s="28"/>
      <c r="H60" s="28"/>
      <c r="I60" s="28"/>
      <c r="J60" s="29" t="s">
        <v>182</v>
      </c>
    </row>
    <row r="61" spans="2:10" ht="8" customHeight="1" x14ac:dyDescent="0.45"/>
  </sheetData>
  <mergeCells count="1">
    <mergeCell ref="B6:J6"/>
  </mergeCells>
  <conditionalFormatting sqref="I12">
    <cfRule type="expression" dxfId="8" priority="1">
      <formula>LEFT($I12,1)="✗"</formula>
    </cfRule>
  </conditionalFormatting>
  <conditionalFormatting sqref="I37">
    <cfRule type="expression" dxfId="7" priority="2">
      <formula>LEFT($I37,1)="✗"</formula>
    </cfRule>
  </conditionalFormatting>
  <conditionalFormatting sqref="I55">
    <cfRule type="expression" dxfId="6" priority="3">
      <formula>LEFT($I55,1)="✗"</formula>
    </cfRule>
  </conditionalFormatting>
  <dataValidations count="6">
    <dataValidation type="decimal" operator="greaterThan" showErrorMessage="1" errorTitle="Положительное значение" error="Введите значение больше нуля." sqref="D11 D36 D18:D29 D13" xr:uid="{00000000-0002-0000-0100-000000000000}">
      <formula1>0</formula1>
    </dataValidation>
    <dataValidation type="custom" showErrorMessage="1" errorTitle="Диапазон PERT" error="Мин. должно быть меньше макс., наиболее вероятное — между ними." sqref="F12:H12 F55:H55" xr:uid="{00000000-0002-0000-0100-000001000000}">
      <formula1>AND($F12&lt;=$G12,$G12&lt;=$H12,$F12&lt;$H12)</formula1>
    </dataValidation>
    <dataValidation type="whole" showErrorMessage="1" errorTitle="Целое число" error="Введите целое число." sqref="D35" xr:uid="{00000000-0002-0000-0100-00000F000000}">
      <formula1>0</formula1>
      <formula2>1000000</formula2>
    </dataValidation>
    <dataValidation type="custom" showErrorMessage="1" errorTitle="Диапазон PERT" error="Мин. должно быть меньше макс., наиболее вероятное — между ними, все — от 0% до 100%." sqref="F37:H37" xr:uid="{00000000-0002-0000-0100-000011000000}">
      <formula1>AND($F37&lt;=$G37,$G37&lt;=$H37,$F37&lt;$H37,$F37&gt;=0,$H37&lt;=1)</formula1>
    </dataValidation>
    <dataValidation type="decimal" showErrorMessage="1" errorTitle="Вероятность" error="Введите значение от 0% до 100%." sqref="D60 D56 D44 D38:D39" xr:uid="{00000000-0002-0000-0100-000012000000}">
      <formula1>0</formula1>
      <formula2>1</formula2>
    </dataValidation>
    <dataValidation type="decimal" showErrorMessage="1" errorTitle="Значение" error="Введите значение не меньше нуля." sqref="D53:D54 D45:D48" xr:uid="{00000000-0002-0000-0100-000015000000}">
      <formula1>0</formula1>
      <formula2>1000000000000</formula2>
    </dataValidation>
  </dataValidations>
  <hyperlinks>
    <hyperlink ref="B4" location="'Описание'!A1" display="◂  Описание" xr:uid="{00000000-0004-0000-0100-000000000000}"/>
    <hyperlink ref="J4" location="'Мощность'!A1" display="Далее:  Мощность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</sheetPr>
  <dimension ref="A1:BM204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6" customWidth="1"/>
    <col min="3" max="3" width="13" customWidth="1"/>
    <col min="4" max="4" width="10" customWidth="1"/>
    <col min="5" max="5" width="3" customWidth="1"/>
    <col min="6" max="65" width="6.59765625" customWidth="1"/>
  </cols>
  <sheetData>
    <row r="1" spans="1:65" ht="6" customHeight="1" x14ac:dyDescent="0.45"/>
    <row r="2" spans="1:65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3" t="s">
        <v>1</v>
      </c>
    </row>
    <row r="3" spans="1:65" ht="20" customHeight="1" x14ac:dyDescent="0.45">
      <c r="A3" s="1"/>
      <c r="B3" s="4" t="s">
        <v>183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20" customHeight="1" x14ac:dyDescent="0.45">
      <c r="A4" s="5"/>
      <c r="B4" s="22" t="s">
        <v>184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6" t="s">
        <v>185</v>
      </c>
    </row>
    <row r="5" spans="1:65" ht="8" customHeight="1" x14ac:dyDescent="0.45"/>
    <row r="6" spans="1:65" ht="16.05" customHeight="1" x14ac:dyDescent="0.45">
      <c r="B6" s="43" t="s">
        <v>186</v>
      </c>
      <c r="C6" s="44"/>
      <c r="D6" s="45" t="s">
        <v>187</v>
      </c>
      <c r="E6" s="46"/>
      <c r="F6" s="47">
        <v>1</v>
      </c>
      <c r="G6" s="47">
        <f t="shared" ref="G6:AL6" si="0">F6+1</f>
        <v>2</v>
      </c>
      <c r="H6" s="47">
        <f t="shared" si="0"/>
        <v>3</v>
      </c>
      <c r="I6" s="47">
        <f t="shared" si="0"/>
        <v>4</v>
      </c>
      <c r="J6" s="47">
        <f t="shared" si="0"/>
        <v>5</v>
      </c>
      <c r="K6" s="47">
        <f t="shared" si="0"/>
        <v>6</v>
      </c>
      <c r="L6" s="47">
        <f t="shared" si="0"/>
        <v>7</v>
      </c>
      <c r="M6" s="47">
        <f t="shared" si="0"/>
        <v>8</v>
      </c>
      <c r="N6" s="47">
        <f t="shared" si="0"/>
        <v>9</v>
      </c>
      <c r="O6" s="47">
        <f t="shared" si="0"/>
        <v>10</v>
      </c>
      <c r="P6" s="47">
        <f t="shared" si="0"/>
        <v>11</v>
      </c>
      <c r="Q6" s="47">
        <f t="shared" si="0"/>
        <v>12</v>
      </c>
      <c r="R6" s="47">
        <f t="shared" si="0"/>
        <v>13</v>
      </c>
      <c r="S6" s="47">
        <f t="shared" si="0"/>
        <v>14</v>
      </c>
      <c r="T6" s="47">
        <f t="shared" si="0"/>
        <v>15</v>
      </c>
      <c r="U6" s="47">
        <f t="shared" si="0"/>
        <v>16</v>
      </c>
      <c r="V6" s="47">
        <f t="shared" si="0"/>
        <v>17</v>
      </c>
      <c r="W6" s="47">
        <f t="shared" si="0"/>
        <v>18</v>
      </c>
      <c r="X6" s="47">
        <f t="shared" si="0"/>
        <v>19</v>
      </c>
      <c r="Y6" s="47">
        <f t="shared" si="0"/>
        <v>20</v>
      </c>
      <c r="Z6" s="47">
        <f t="shared" si="0"/>
        <v>21</v>
      </c>
      <c r="AA6" s="47">
        <f t="shared" si="0"/>
        <v>22</v>
      </c>
      <c r="AB6" s="47">
        <f t="shared" si="0"/>
        <v>23</v>
      </c>
      <c r="AC6" s="47">
        <f t="shared" si="0"/>
        <v>24</v>
      </c>
      <c r="AD6" s="47">
        <f t="shared" si="0"/>
        <v>25</v>
      </c>
      <c r="AE6" s="47">
        <f t="shared" si="0"/>
        <v>26</v>
      </c>
      <c r="AF6" s="47">
        <f t="shared" si="0"/>
        <v>27</v>
      </c>
      <c r="AG6" s="47">
        <f t="shared" si="0"/>
        <v>28</v>
      </c>
      <c r="AH6" s="47">
        <f t="shared" si="0"/>
        <v>29</v>
      </c>
      <c r="AI6" s="47">
        <f t="shared" si="0"/>
        <v>30</v>
      </c>
      <c r="AJ6" s="47">
        <f t="shared" si="0"/>
        <v>31</v>
      </c>
      <c r="AK6" s="47">
        <f t="shared" si="0"/>
        <v>32</v>
      </c>
      <c r="AL6" s="47">
        <f t="shared" si="0"/>
        <v>33</v>
      </c>
      <c r="AM6" s="47">
        <f t="shared" ref="AM6:BM6" si="1">AL6+1</f>
        <v>34</v>
      </c>
      <c r="AN6" s="47">
        <f t="shared" si="1"/>
        <v>35</v>
      </c>
      <c r="AO6" s="47">
        <f t="shared" si="1"/>
        <v>36</v>
      </c>
      <c r="AP6" s="47">
        <f t="shared" si="1"/>
        <v>37</v>
      </c>
      <c r="AQ6" s="47">
        <f t="shared" si="1"/>
        <v>38</v>
      </c>
      <c r="AR6" s="47">
        <f t="shared" si="1"/>
        <v>39</v>
      </c>
      <c r="AS6" s="47">
        <f t="shared" si="1"/>
        <v>40</v>
      </c>
      <c r="AT6" s="47">
        <f t="shared" si="1"/>
        <v>41</v>
      </c>
      <c r="AU6" s="47">
        <f t="shared" si="1"/>
        <v>42</v>
      </c>
      <c r="AV6" s="47">
        <f t="shared" si="1"/>
        <v>43</v>
      </c>
      <c r="AW6" s="47">
        <f t="shared" si="1"/>
        <v>44</v>
      </c>
      <c r="AX6" s="47">
        <f t="shared" si="1"/>
        <v>45</v>
      </c>
      <c r="AY6" s="47">
        <f t="shared" si="1"/>
        <v>46</v>
      </c>
      <c r="AZ6" s="47">
        <f t="shared" si="1"/>
        <v>47</v>
      </c>
      <c r="BA6" s="47">
        <f t="shared" si="1"/>
        <v>48</v>
      </c>
      <c r="BB6" s="47">
        <f t="shared" si="1"/>
        <v>49</v>
      </c>
      <c r="BC6" s="47">
        <f t="shared" si="1"/>
        <v>50</v>
      </c>
      <c r="BD6" s="47">
        <f t="shared" si="1"/>
        <v>51</v>
      </c>
      <c r="BE6" s="47">
        <f t="shared" si="1"/>
        <v>52</v>
      </c>
      <c r="BF6" s="47">
        <f t="shared" si="1"/>
        <v>53</v>
      </c>
      <c r="BG6" s="47">
        <f t="shared" si="1"/>
        <v>54</v>
      </c>
      <c r="BH6" s="47">
        <f t="shared" si="1"/>
        <v>55</v>
      </c>
      <c r="BI6" s="47">
        <f t="shared" si="1"/>
        <v>56</v>
      </c>
      <c r="BJ6" s="47">
        <f t="shared" si="1"/>
        <v>57</v>
      </c>
      <c r="BK6" s="47">
        <f t="shared" si="1"/>
        <v>58</v>
      </c>
      <c r="BL6" s="47">
        <f t="shared" si="1"/>
        <v>59</v>
      </c>
      <c r="BM6" s="47">
        <f t="shared" si="1"/>
        <v>60</v>
      </c>
    </row>
    <row r="7" spans="1:65" ht="16.05" customHeight="1" x14ac:dyDescent="0.45">
      <c r="B7" s="48" t="s">
        <v>188</v>
      </c>
      <c r="C7" s="5"/>
      <c r="D7" s="5"/>
      <c r="E7" s="5"/>
      <c r="F7" s="49">
        <f>EDATE(StartMonth,0)</f>
        <v>46388</v>
      </c>
      <c r="G7" s="49">
        <f>EDATE(StartMonth,1)</f>
        <v>46419</v>
      </c>
      <c r="H7" s="49">
        <f>EDATE(StartMonth,2)</f>
        <v>46447</v>
      </c>
      <c r="I7" s="49">
        <f>EDATE(StartMonth,3)</f>
        <v>46478</v>
      </c>
      <c r="J7" s="49">
        <f>EDATE(StartMonth,4)</f>
        <v>46508</v>
      </c>
      <c r="K7" s="49">
        <f>EDATE(StartMonth,5)</f>
        <v>46539</v>
      </c>
      <c r="L7" s="49">
        <f>EDATE(StartMonth,6)</f>
        <v>46569</v>
      </c>
      <c r="M7" s="49">
        <f>EDATE(StartMonth,7)</f>
        <v>46600</v>
      </c>
      <c r="N7" s="49">
        <f>EDATE(StartMonth,8)</f>
        <v>46631</v>
      </c>
      <c r="O7" s="49">
        <f>EDATE(StartMonth,9)</f>
        <v>46661</v>
      </c>
      <c r="P7" s="49">
        <f>EDATE(StartMonth,10)</f>
        <v>46692</v>
      </c>
      <c r="Q7" s="49">
        <f>EDATE(StartMonth,11)</f>
        <v>46722</v>
      </c>
      <c r="R7" s="49">
        <f>EDATE(StartMonth,12)</f>
        <v>46753</v>
      </c>
      <c r="S7" s="49">
        <f>EDATE(StartMonth,13)</f>
        <v>46784</v>
      </c>
      <c r="T7" s="49">
        <f>EDATE(StartMonth,14)</f>
        <v>46813</v>
      </c>
      <c r="U7" s="49">
        <f>EDATE(StartMonth,15)</f>
        <v>46844</v>
      </c>
      <c r="V7" s="49">
        <f>EDATE(StartMonth,16)</f>
        <v>46874</v>
      </c>
      <c r="W7" s="49">
        <f>EDATE(StartMonth,17)</f>
        <v>46905</v>
      </c>
      <c r="X7" s="49">
        <f>EDATE(StartMonth,18)</f>
        <v>46935</v>
      </c>
      <c r="Y7" s="49">
        <f>EDATE(StartMonth,19)</f>
        <v>46966</v>
      </c>
      <c r="Z7" s="49">
        <f>EDATE(StartMonth,20)</f>
        <v>46997</v>
      </c>
      <c r="AA7" s="49">
        <f>EDATE(StartMonth,21)</f>
        <v>47027</v>
      </c>
      <c r="AB7" s="49">
        <f>EDATE(StartMonth,22)</f>
        <v>47058</v>
      </c>
      <c r="AC7" s="49">
        <f>EDATE(StartMonth,23)</f>
        <v>47088</v>
      </c>
      <c r="AD7" s="49">
        <f>EDATE(StartMonth,24)</f>
        <v>47119</v>
      </c>
      <c r="AE7" s="49">
        <f>EDATE(StartMonth,25)</f>
        <v>47150</v>
      </c>
      <c r="AF7" s="49">
        <f>EDATE(StartMonth,26)</f>
        <v>47178</v>
      </c>
      <c r="AG7" s="49">
        <f>EDATE(StartMonth,27)</f>
        <v>47209</v>
      </c>
      <c r="AH7" s="49">
        <f>EDATE(StartMonth,28)</f>
        <v>47239</v>
      </c>
      <c r="AI7" s="49">
        <f>EDATE(StartMonth,29)</f>
        <v>47270</v>
      </c>
      <c r="AJ7" s="49">
        <f>EDATE(StartMonth,30)</f>
        <v>47300</v>
      </c>
      <c r="AK7" s="49">
        <f>EDATE(StartMonth,31)</f>
        <v>47331</v>
      </c>
      <c r="AL7" s="49">
        <f>EDATE(StartMonth,32)</f>
        <v>47362</v>
      </c>
      <c r="AM7" s="49">
        <f>EDATE(StartMonth,33)</f>
        <v>47392</v>
      </c>
      <c r="AN7" s="49">
        <f>EDATE(StartMonth,34)</f>
        <v>47423</v>
      </c>
      <c r="AO7" s="49">
        <f>EDATE(StartMonth,35)</f>
        <v>47453</v>
      </c>
      <c r="AP7" s="49">
        <f>EDATE(StartMonth,36)</f>
        <v>47484</v>
      </c>
      <c r="AQ7" s="49">
        <f>EDATE(StartMonth,37)</f>
        <v>47515</v>
      </c>
      <c r="AR7" s="49">
        <f>EDATE(StartMonth,38)</f>
        <v>47543</v>
      </c>
      <c r="AS7" s="49">
        <f>EDATE(StartMonth,39)</f>
        <v>47574</v>
      </c>
      <c r="AT7" s="49">
        <f>EDATE(StartMonth,40)</f>
        <v>47604</v>
      </c>
      <c r="AU7" s="49">
        <f>EDATE(StartMonth,41)</f>
        <v>47635</v>
      </c>
      <c r="AV7" s="49">
        <f>EDATE(StartMonth,42)</f>
        <v>47665</v>
      </c>
      <c r="AW7" s="49">
        <f>EDATE(StartMonth,43)</f>
        <v>47696</v>
      </c>
      <c r="AX7" s="49">
        <f>EDATE(StartMonth,44)</f>
        <v>47727</v>
      </c>
      <c r="AY7" s="49">
        <f>EDATE(StartMonth,45)</f>
        <v>47757</v>
      </c>
      <c r="AZ7" s="49">
        <f>EDATE(StartMonth,46)</f>
        <v>47788</v>
      </c>
      <c r="BA7" s="49">
        <f>EDATE(StartMonth,47)</f>
        <v>47818</v>
      </c>
      <c r="BB7" s="49">
        <f>EDATE(StartMonth,48)</f>
        <v>47849</v>
      </c>
      <c r="BC7" s="49">
        <f>EDATE(StartMonth,49)</f>
        <v>47880</v>
      </c>
      <c r="BD7" s="49">
        <f>EDATE(StartMonth,50)</f>
        <v>47908</v>
      </c>
      <c r="BE7" s="49">
        <f>EDATE(StartMonth,51)</f>
        <v>47939</v>
      </c>
      <c r="BF7" s="49">
        <f>EDATE(StartMonth,52)</f>
        <v>47969</v>
      </c>
      <c r="BG7" s="49">
        <f>EDATE(StartMonth,53)</f>
        <v>48000</v>
      </c>
      <c r="BH7" s="49">
        <f>EDATE(StartMonth,54)</f>
        <v>48030</v>
      </c>
      <c r="BI7" s="49">
        <f>EDATE(StartMonth,55)</f>
        <v>48061</v>
      </c>
      <c r="BJ7" s="49">
        <f>EDATE(StartMonth,56)</f>
        <v>48092</v>
      </c>
      <c r="BK7" s="49">
        <f>EDATE(StartMonth,57)</f>
        <v>48122</v>
      </c>
      <c r="BL7" s="49">
        <f>EDATE(StartMonth,58)</f>
        <v>48153</v>
      </c>
      <c r="BM7" s="49">
        <f>EDATE(StartMonth,59)</f>
        <v>48183</v>
      </c>
    </row>
    <row r="8" spans="1:65" ht="6" customHeight="1" x14ac:dyDescent="0.45"/>
    <row r="9" spans="1:65" ht="22.05" customHeight="1" x14ac:dyDescent="0.5">
      <c r="B9" s="7" t="s">
        <v>189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</row>
    <row r="10" spans="1:65" ht="18" customHeight="1" x14ac:dyDescent="0.45">
      <c r="B10" s="48" t="s">
        <v>190</v>
      </c>
      <c r="C10" s="48" t="s">
        <v>102</v>
      </c>
      <c r="D10" s="50" t="s">
        <v>191</v>
      </c>
      <c r="E10" s="5"/>
      <c r="F10" s="48" t="s">
        <v>192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x14ac:dyDescent="0.45">
      <c r="B11" s="25" t="s">
        <v>193</v>
      </c>
      <c r="C11" s="26" t="s">
        <v>194</v>
      </c>
      <c r="D11" s="51">
        <f>DATE(2027,1,1)</f>
        <v>46388</v>
      </c>
      <c r="E11" s="28"/>
      <c r="F11" s="26" t="s">
        <v>195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</row>
    <row r="12" spans="1:65" x14ac:dyDescent="0.45">
      <c r="B12" s="25" t="s">
        <v>196</v>
      </c>
      <c r="C12" s="26" t="s">
        <v>175</v>
      </c>
      <c r="D12" s="52">
        <f>COUNT(F6:BM6)</f>
        <v>60</v>
      </c>
      <c r="E12" s="28"/>
      <c r="F12" s="26" t="s">
        <v>197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</row>
    <row r="13" spans="1:65" x14ac:dyDescent="0.45">
      <c r="B13" s="25" t="s">
        <v>198</v>
      </c>
      <c r="C13" s="26" t="s">
        <v>119</v>
      </c>
      <c r="D13" s="53">
        <f ca="1">LN(1+Growth)/12-0.5*Vol^2</f>
        <v>4.8644576447073517E-3</v>
      </c>
      <c r="E13" s="28"/>
      <c r="F13" s="26" t="s">
        <v>199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</row>
    <row r="14" spans="1:65" x14ac:dyDescent="0.45">
      <c r="B14" s="25" t="s">
        <v>200</v>
      </c>
      <c r="C14" s="26" t="s">
        <v>201</v>
      </c>
      <c r="D14" s="42">
        <f>Demand0*SF_12</f>
        <v>68.64</v>
      </c>
      <c r="E14" s="28"/>
      <c r="F14" s="26" t="s">
        <v>202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</row>
    <row r="15" spans="1:65" x14ac:dyDescent="0.45">
      <c r="B15" s="25" t="s">
        <v>203</v>
      </c>
      <c r="C15" s="26" t="s">
        <v>175</v>
      </c>
      <c r="D15" s="52">
        <f ca="1">ROUND(Lead,0)</f>
        <v>6</v>
      </c>
      <c r="E15" s="28"/>
      <c r="F15" s="26" t="s">
        <v>204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</row>
    <row r="16" spans="1:65" x14ac:dyDescent="0.45">
      <c r="B16" s="25" t="s">
        <v>205</v>
      </c>
      <c r="C16" s="26" t="s">
        <v>175</v>
      </c>
      <c r="D16" s="52">
        <f>ROUND(Lead_ML,0)</f>
        <v>6</v>
      </c>
      <c r="E16" s="28"/>
      <c r="F16" s="26" t="s">
        <v>206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</row>
    <row r="17" spans="2:65" x14ac:dyDescent="0.45">
      <c r="B17" s="25" t="s">
        <v>207</v>
      </c>
      <c r="C17" s="26" t="s">
        <v>170</v>
      </c>
      <c r="D17" s="54">
        <f>Capex*(1-Resid/(1+Disc)^(Months/12))</f>
        <v>263.88336059324939</v>
      </c>
      <c r="E17" s="28"/>
      <c r="F17" s="26" t="s">
        <v>208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</row>
    <row r="18" spans="2:65" ht="8" customHeight="1" x14ac:dyDescent="0.45"/>
    <row r="19" spans="2:65" ht="22.05" customHeight="1" x14ac:dyDescent="0.5">
      <c r="B19" s="7" t="s">
        <v>209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</row>
    <row r="20" spans="2:65" ht="18" customHeight="1" x14ac:dyDescent="0.45">
      <c r="B20" s="13" t="s">
        <v>210</v>
      </c>
    </row>
    <row r="21" spans="2:65" x14ac:dyDescent="0.45">
      <c r="B21" s="25" t="s">
        <v>68</v>
      </c>
      <c r="C21" s="26" t="s">
        <v>201</v>
      </c>
      <c r="D21" s="28"/>
      <c r="E21" s="28"/>
      <c r="F21" s="41">
        <f t="array" aca="1" ref="F21:BM21" ca="1">_xll.VoseTimeSeasonalGBM(Mu,Vol,Seasonality,12,,,FALSE,DemandDec)</f>
        <v>68.290595695396206</v>
      </c>
      <c r="G21" s="41">
        <f ca="1"/>
        <v>65.692994202387496</v>
      </c>
      <c r="H21" s="41">
        <f ca="1"/>
        <v>72.268129370746678</v>
      </c>
      <c r="I21" s="41">
        <f ca="1"/>
        <v>77.243553565078926</v>
      </c>
      <c r="J21" s="41">
        <f ca="1"/>
        <v>83.16847883595463</v>
      </c>
      <c r="K21" s="41">
        <f ca="1"/>
        <v>84.862842928397868</v>
      </c>
      <c r="L21" s="41">
        <f ca="1"/>
        <v>86.295048308163743</v>
      </c>
      <c r="M21" s="41">
        <f ca="1"/>
        <v>77.379524838997042</v>
      </c>
      <c r="N21" s="41">
        <f ca="1"/>
        <v>74.586918691012855</v>
      </c>
      <c r="O21" s="41">
        <f ca="1"/>
        <v>74.122158261100623</v>
      </c>
      <c r="P21" s="41">
        <f ca="1"/>
        <v>72.883368998373925</v>
      </c>
      <c r="Q21" s="41">
        <f ca="1"/>
        <v>67.808823720456559</v>
      </c>
      <c r="R21" s="41">
        <f ca="1"/>
        <v>70.090750096157066</v>
      </c>
      <c r="S21" s="41">
        <f ca="1"/>
        <v>73.703218832637063</v>
      </c>
      <c r="T21" s="41">
        <f ca="1"/>
        <v>83.190572475925066</v>
      </c>
      <c r="U21" s="41">
        <f ca="1"/>
        <v>87.799389012387152</v>
      </c>
      <c r="V21" s="41">
        <f ca="1"/>
        <v>93.341994768783678</v>
      </c>
      <c r="W21" s="41">
        <f ca="1"/>
        <v>101.96915921221226</v>
      </c>
      <c r="X21" s="41">
        <f ca="1"/>
        <v>95.525169615811947</v>
      </c>
      <c r="Y21" s="41">
        <f ca="1"/>
        <v>92.132471307568125</v>
      </c>
      <c r="Z21" s="41">
        <f ca="1"/>
        <v>84.701241410756253</v>
      </c>
      <c r="AA21" s="41">
        <f ca="1"/>
        <v>84.215057742283904</v>
      </c>
      <c r="AB21" s="41">
        <f ca="1"/>
        <v>85.701900498015348</v>
      </c>
      <c r="AC21" s="41">
        <f ca="1"/>
        <v>81.188184964910249</v>
      </c>
      <c r="AD21" s="41">
        <f ca="1"/>
        <v>79.022903035896093</v>
      </c>
      <c r="AE21" s="41">
        <f ca="1"/>
        <v>81.564072104782596</v>
      </c>
      <c r="AF21" s="41">
        <f ca="1"/>
        <v>93.087743149450162</v>
      </c>
      <c r="AG21" s="41">
        <f ca="1"/>
        <v>99.634277759496214</v>
      </c>
      <c r="AH21" s="41">
        <f ca="1"/>
        <v>109.9354017809509</v>
      </c>
      <c r="AI21" s="41">
        <f ca="1"/>
        <v>116.23354915143831</v>
      </c>
      <c r="AJ21" s="41">
        <f ca="1"/>
        <v>116.5829292001078</v>
      </c>
      <c r="AK21" s="41">
        <f ca="1"/>
        <v>109.81869557989556</v>
      </c>
      <c r="AL21" s="41">
        <f ca="1"/>
        <v>110.43468592201148</v>
      </c>
      <c r="AM21" s="41">
        <f ca="1"/>
        <v>115.10578362875124</v>
      </c>
      <c r="AN21" s="41">
        <f ca="1"/>
        <v>119.38839120792302</v>
      </c>
      <c r="AO21" s="41">
        <f ca="1"/>
        <v>108.01233355948936</v>
      </c>
      <c r="AP21" s="41">
        <f ca="1"/>
        <v>102.05684683282956</v>
      </c>
      <c r="AQ21" s="41">
        <f ca="1"/>
        <v>107.24317430075111</v>
      </c>
      <c r="AR21" s="41">
        <f ca="1"/>
        <v>116.35890432525927</v>
      </c>
      <c r="AS21" s="41">
        <f ca="1"/>
        <v>122.43159283094721</v>
      </c>
      <c r="AT21" s="41">
        <f ca="1"/>
        <v>120.54248407881994</v>
      </c>
      <c r="AU21" s="41">
        <f ca="1"/>
        <v>120.7847747708679</v>
      </c>
      <c r="AV21" s="41">
        <f ca="1"/>
        <v>120.93989244760785</v>
      </c>
      <c r="AW21" s="41">
        <f ca="1"/>
        <v>120.21049664389174</v>
      </c>
      <c r="AX21" s="41">
        <f ca="1"/>
        <v>118.51147723790157</v>
      </c>
      <c r="AY21" s="41">
        <f ca="1"/>
        <v>113.59638791161413</v>
      </c>
      <c r="AZ21" s="41">
        <f ca="1"/>
        <v>112.93041906347307</v>
      </c>
      <c r="BA21" s="41">
        <f ca="1"/>
        <v>105.45899046558362</v>
      </c>
      <c r="BB21" s="41">
        <f ca="1"/>
        <v>102.08492978650369</v>
      </c>
      <c r="BC21" s="41">
        <f ca="1"/>
        <v>106.89130069684525</v>
      </c>
      <c r="BD21" s="41">
        <f ca="1"/>
        <v>115.24559856178777</v>
      </c>
      <c r="BE21" s="41">
        <f ca="1"/>
        <v>119.05978073471931</v>
      </c>
      <c r="BF21" s="41">
        <f ca="1"/>
        <v>130.59790033351825</v>
      </c>
      <c r="BG21" s="41">
        <f ca="1"/>
        <v>137.08489801079256</v>
      </c>
      <c r="BH21" s="41">
        <f ca="1"/>
        <v>130.3498742213115</v>
      </c>
      <c r="BI21" s="41">
        <f ca="1"/>
        <v>123.92985935058701</v>
      </c>
      <c r="BJ21" s="41">
        <f ca="1"/>
        <v>126.3486672257972</v>
      </c>
      <c r="BK21" s="41">
        <f ca="1"/>
        <v>123.27924168047362</v>
      </c>
      <c r="BL21" s="41">
        <f ca="1"/>
        <v>123.81636950615497</v>
      </c>
      <c r="BM21" s="41">
        <f ca="1"/>
        <v>112.30779526084964</v>
      </c>
    </row>
    <row r="22" spans="2:65" x14ac:dyDescent="0.45">
      <c r="B22" s="25" t="s">
        <v>211</v>
      </c>
      <c r="C22" s="26" t="s">
        <v>201</v>
      </c>
      <c r="D22" s="28"/>
      <c r="E22" s="28"/>
      <c r="F22" s="55" cm="1">
        <f t="array" aca="1" ref="F22" ca="1">_xll.VoseOutput("Спрос, месяц 1","тыс. деталей")+F21</f>
        <v>68.290595695396206</v>
      </c>
      <c r="G22" s="55" cm="1">
        <f t="array" aca="1" ref="G22" ca="1">_xll.VoseOutput("Спрос, месяц 2","тыс. деталей")+G21</f>
        <v>65.692994202387496</v>
      </c>
      <c r="H22" s="55" cm="1">
        <f t="array" aca="1" ref="H22" ca="1">_xll.VoseOutput("Спрос, месяц 3","тыс. деталей")+H21</f>
        <v>72.268129370746678</v>
      </c>
      <c r="I22" s="55" cm="1">
        <f t="array" aca="1" ref="I22" ca="1">_xll.VoseOutput("Спрос, месяц 4","тыс. деталей")+I21</f>
        <v>77.243553565078926</v>
      </c>
      <c r="J22" s="55" cm="1">
        <f t="array" aca="1" ref="J22" ca="1">_xll.VoseOutput("Спрос, месяц 5","тыс. деталей")+J21</f>
        <v>83.16847883595463</v>
      </c>
      <c r="K22" s="55" cm="1">
        <f t="array" aca="1" ref="K22" ca="1">_xll.VoseOutput("Спрос, месяц 6","тыс. деталей")+K21</f>
        <v>84.862842928397868</v>
      </c>
      <c r="L22" s="55" cm="1">
        <f t="array" aca="1" ref="L22" ca="1">_xll.VoseOutput("Спрос, месяц 7","тыс. деталей")+L21</f>
        <v>86.295048308163743</v>
      </c>
      <c r="M22" s="55" cm="1">
        <f t="array" aca="1" ref="M22" ca="1">_xll.VoseOutput("Спрос, месяц 8","тыс. деталей")+M21</f>
        <v>77.379524838997042</v>
      </c>
      <c r="N22" s="55" cm="1">
        <f t="array" aca="1" ref="N22" ca="1">_xll.VoseOutput("Спрос, месяц 9","тыс. деталей")+N21</f>
        <v>74.586918691012855</v>
      </c>
      <c r="O22" s="55" cm="1">
        <f t="array" aca="1" ref="O22" ca="1">_xll.VoseOutput("Спрос, месяц 10","тыс. деталей")+O21</f>
        <v>74.122158261100623</v>
      </c>
      <c r="P22" s="55" cm="1">
        <f t="array" aca="1" ref="P22" ca="1">_xll.VoseOutput("Спрос, месяц 11","тыс. деталей")+P21</f>
        <v>72.883368998373925</v>
      </c>
      <c r="Q22" s="55" cm="1">
        <f t="array" aca="1" ref="Q22" ca="1">_xll.VoseOutput("Спрос, месяц 12","тыс. деталей")+Q21</f>
        <v>67.808823720456559</v>
      </c>
      <c r="R22" s="55" cm="1">
        <f t="array" aca="1" ref="R22" ca="1">_xll.VoseOutput("Спрос, месяц 13","тыс. деталей")+R21</f>
        <v>70.090750096157066</v>
      </c>
      <c r="S22" s="55" cm="1">
        <f t="array" aca="1" ref="S22" ca="1">_xll.VoseOutput("Спрос, месяц 14","тыс. деталей")+S21</f>
        <v>73.703218832637063</v>
      </c>
      <c r="T22" s="55" cm="1">
        <f t="array" aca="1" ref="T22" ca="1">_xll.VoseOutput("Спрос, месяц 15","тыс. деталей")+T21</f>
        <v>83.190572475925066</v>
      </c>
      <c r="U22" s="55" cm="1">
        <f t="array" aca="1" ref="U22" ca="1">_xll.VoseOutput("Спрос, месяц 16","тыс. деталей")+U21</f>
        <v>87.799389012387152</v>
      </c>
      <c r="V22" s="55" cm="1">
        <f t="array" aca="1" ref="V22" ca="1">_xll.VoseOutput("Спрос, месяц 17","тыс. деталей")+V21</f>
        <v>93.341994768783678</v>
      </c>
      <c r="W22" s="55" cm="1">
        <f t="array" aca="1" ref="W22" ca="1">_xll.VoseOutput("Спрос, месяц 18","тыс. деталей")+W21</f>
        <v>101.96915921221226</v>
      </c>
      <c r="X22" s="55" cm="1">
        <f t="array" aca="1" ref="X22" ca="1">_xll.VoseOutput("Спрос, месяц 19","тыс. деталей")+X21</f>
        <v>95.525169615811947</v>
      </c>
      <c r="Y22" s="55" cm="1">
        <f t="array" aca="1" ref="Y22" ca="1">_xll.VoseOutput("Спрос, месяц 20","тыс. деталей")+Y21</f>
        <v>92.132471307568125</v>
      </c>
      <c r="Z22" s="55" cm="1">
        <f t="array" aca="1" ref="Z22" ca="1">_xll.VoseOutput("Спрос, месяц 21","тыс. деталей")+Z21</f>
        <v>84.701241410756253</v>
      </c>
      <c r="AA22" s="55" cm="1">
        <f t="array" aca="1" ref="AA22" ca="1">_xll.VoseOutput("Спрос, месяц 22","тыс. деталей")+AA21</f>
        <v>84.215057742283904</v>
      </c>
      <c r="AB22" s="55" cm="1">
        <f t="array" aca="1" ref="AB22" ca="1">_xll.VoseOutput("Спрос, месяц 23","тыс. деталей")+AB21</f>
        <v>85.701900498015348</v>
      </c>
      <c r="AC22" s="55" cm="1">
        <f t="array" aca="1" ref="AC22" ca="1">_xll.VoseOutput("Спрос, месяц 24","тыс. деталей")+AC21</f>
        <v>81.188184964910249</v>
      </c>
      <c r="AD22" s="55" cm="1">
        <f t="array" aca="1" ref="AD22" ca="1">_xll.VoseOutput("Спрос, месяц 25","тыс. деталей")+AD21</f>
        <v>79.022903035896093</v>
      </c>
      <c r="AE22" s="55" cm="1">
        <f t="array" aca="1" ref="AE22" ca="1">_xll.VoseOutput("Спрос, месяц 26","тыс. деталей")+AE21</f>
        <v>81.564072104782596</v>
      </c>
      <c r="AF22" s="55" cm="1">
        <f t="array" aca="1" ref="AF22" ca="1">_xll.VoseOutput("Спрос, месяц 27","тыс. деталей")+AF21</f>
        <v>93.087743149450162</v>
      </c>
      <c r="AG22" s="55" cm="1">
        <f t="array" aca="1" ref="AG22" ca="1">_xll.VoseOutput("Спрос, месяц 28","тыс. деталей")+AG21</f>
        <v>99.634277759496214</v>
      </c>
      <c r="AH22" s="55" cm="1">
        <f t="array" aca="1" ref="AH22" ca="1">_xll.VoseOutput("Спрос, месяц 29","тыс. деталей")+AH21</f>
        <v>109.9354017809509</v>
      </c>
      <c r="AI22" s="55" cm="1">
        <f t="array" aca="1" ref="AI22" ca="1">_xll.VoseOutput("Спрос, месяц 30","тыс. деталей")+AI21</f>
        <v>116.23354915143831</v>
      </c>
      <c r="AJ22" s="55" cm="1">
        <f t="array" aca="1" ref="AJ22" ca="1">_xll.VoseOutput("Спрос, месяц 31","тыс. деталей")+AJ21</f>
        <v>116.5829292001078</v>
      </c>
      <c r="AK22" s="55" cm="1">
        <f t="array" aca="1" ref="AK22" ca="1">_xll.VoseOutput("Спрос, месяц 32","тыс. деталей")+AK21</f>
        <v>109.81869557989556</v>
      </c>
      <c r="AL22" s="55" cm="1">
        <f t="array" aca="1" ref="AL22" ca="1">_xll.VoseOutput("Спрос, месяц 33","тыс. деталей")+AL21</f>
        <v>110.43468592201148</v>
      </c>
      <c r="AM22" s="55" cm="1">
        <f t="array" aca="1" ref="AM22" ca="1">_xll.VoseOutput("Спрос, месяц 34","тыс. деталей")+AM21</f>
        <v>115.10578362875124</v>
      </c>
      <c r="AN22" s="55" cm="1">
        <f t="array" aca="1" ref="AN22" ca="1">_xll.VoseOutput("Спрос, месяц 35","тыс. деталей")+AN21</f>
        <v>119.38839120792302</v>
      </c>
      <c r="AO22" s="55" cm="1">
        <f t="array" aca="1" ref="AO22" ca="1">_xll.VoseOutput("Спрос, месяц 36","тыс. деталей")+AO21</f>
        <v>108.01233355948936</v>
      </c>
      <c r="AP22" s="55" cm="1">
        <f t="array" aca="1" ref="AP22" ca="1">_xll.VoseOutput("Спрос, месяц 37","тыс. деталей")+AP21</f>
        <v>102.05684683282956</v>
      </c>
      <c r="AQ22" s="55" cm="1">
        <f t="array" aca="1" ref="AQ22" ca="1">_xll.VoseOutput("Спрос, месяц 38","тыс. деталей")+AQ21</f>
        <v>107.24317430075111</v>
      </c>
      <c r="AR22" s="55" cm="1">
        <f t="array" aca="1" ref="AR22" ca="1">_xll.VoseOutput("Спрос, месяц 39","тыс. деталей")+AR21</f>
        <v>116.35890432525927</v>
      </c>
      <c r="AS22" s="55" cm="1">
        <f t="array" aca="1" ref="AS22" ca="1">_xll.VoseOutput("Спрос, месяц 40","тыс. деталей")+AS21</f>
        <v>122.43159283094721</v>
      </c>
      <c r="AT22" s="55" cm="1">
        <f t="array" aca="1" ref="AT22" ca="1">_xll.VoseOutput("Спрос, месяц 41","тыс. деталей")+AT21</f>
        <v>120.54248407881994</v>
      </c>
      <c r="AU22" s="55" cm="1">
        <f t="array" aca="1" ref="AU22" ca="1">_xll.VoseOutput("Спрос, месяц 42","тыс. деталей")+AU21</f>
        <v>120.7847747708679</v>
      </c>
      <c r="AV22" s="55" cm="1">
        <f t="array" aca="1" ref="AV22" ca="1">_xll.VoseOutput("Спрос, месяц 43","тыс. деталей")+AV21</f>
        <v>120.93989244760785</v>
      </c>
      <c r="AW22" s="55" cm="1">
        <f t="array" aca="1" ref="AW22" ca="1">_xll.VoseOutput("Спрос, месяц 44","тыс. деталей")+AW21</f>
        <v>120.21049664389174</v>
      </c>
      <c r="AX22" s="55" cm="1">
        <f t="array" aca="1" ref="AX22" ca="1">_xll.VoseOutput("Спрос, месяц 45","тыс. деталей")+AX21</f>
        <v>118.51147723790157</v>
      </c>
      <c r="AY22" s="55" cm="1">
        <f t="array" aca="1" ref="AY22" ca="1">_xll.VoseOutput("Спрос, месяц 46","тыс. деталей")+AY21</f>
        <v>113.59638791161413</v>
      </c>
      <c r="AZ22" s="55" cm="1">
        <f t="array" aca="1" ref="AZ22" ca="1">_xll.VoseOutput("Спрос, месяц 47","тыс. деталей")+AZ21</f>
        <v>112.93041906347307</v>
      </c>
      <c r="BA22" s="55" cm="1">
        <f t="array" aca="1" ref="BA22" ca="1">_xll.VoseOutput("Спрос, месяц 48","тыс. деталей")+BA21</f>
        <v>105.45899046558362</v>
      </c>
      <c r="BB22" s="55" cm="1">
        <f t="array" aca="1" ref="BB22" ca="1">_xll.VoseOutput("Спрос, месяц 49","тыс. деталей")+BB21</f>
        <v>102.08492978650369</v>
      </c>
      <c r="BC22" s="55" cm="1">
        <f t="array" aca="1" ref="BC22" ca="1">_xll.VoseOutput("Спрос, месяц 50","тыс. деталей")+BC21</f>
        <v>106.89130069684525</v>
      </c>
      <c r="BD22" s="55" cm="1">
        <f t="array" aca="1" ref="BD22" ca="1">_xll.VoseOutput("Спрос, месяц 51","тыс. деталей")+BD21</f>
        <v>115.24559856178777</v>
      </c>
      <c r="BE22" s="55" cm="1">
        <f t="array" aca="1" ref="BE22" ca="1">_xll.VoseOutput("Спрос, месяц 52","тыс. деталей")+BE21</f>
        <v>119.05978073471931</v>
      </c>
      <c r="BF22" s="55" cm="1">
        <f t="array" aca="1" ref="BF22" ca="1">_xll.VoseOutput("Спрос, месяц 53","тыс. деталей")+BF21</f>
        <v>130.59790033351825</v>
      </c>
      <c r="BG22" s="55" cm="1">
        <f t="array" aca="1" ref="BG22" ca="1">_xll.VoseOutput("Спрос, месяц 54","тыс. деталей")+BG21</f>
        <v>137.08489801079256</v>
      </c>
      <c r="BH22" s="55" cm="1">
        <f t="array" aca="1" ref="BH22" ca="1">_xll.VoseOutput("Спрос, месяц 55","тыс. деталей")+BH21</f>
        <v>130.3498742213115</v>
      </c>
      <c r="BI22" s="55" cm="1">
        <f t="array" aca="1" ref="BI22" ca="1">_xll.VoseOutput("Спрос, месяц 56","тыс. деталей")+BI21</f>
        <v>123.92985935058701</v>
      </c>
      <c r="BJ22" s="55" cm="1">
        <f t="array" aca="1" ref="BJ22" ca="1">_xll.VoseOutput("Спрос, месяц 57","тыс. деталей")+BJ21</f>
        <v>126.3486672257972</v>
      </c>
      <c r="BK22" s="55" cm="1">
        <f t="array" aca="1" ref="BK22" ca="1">_xll.VoseOutput("Спрос, месяц 58","тыс. деталей")+BK21</f>
        <v>123.27924168047362</v>
      </c>
      <c r="BL22" s="55" cm="1">
        <f t="array" aca="1" ref="BL22" ca="1">_xll.VoseOutput("Спрос, месяц 59","тыс. деталей")+BL21</f>
        <v>123.81636950615497</v>
      </c>
      <c r="BM22" s="55" cm="1">
        <f t="array" aca="1" ref="BM22" ca="1">_xll.VoseOutput("Спрос, месяц 60","тыс. деталей")+BM21</f>
        <v>112.30779526084964</v>
      </c>
    </row>
    <row r="23" spans="2:65" x14ac:dyDescent="0.45">
      <c r="B23" s="25" t="s">
        <v>212</v>
      </c>
      <c r="C23" s="26" t="s">
        <v>124</v>
      </c>
      <c r="D23" s="28"/>
      <c r="E23" s="28"/>
      <c r="F23" s="34" cm="1">
        <f t="array" ref="F23">INDEX(Seasonality,MONTH(F$7))</f>
        <v>0.85</v>
      </c>
      <c r="G23" s="34" cm="1">
        <f t="array" ref="G23">INDEX(Seasonality,MONTH(G$7))</f>
        <v>0.88</v>
      </c>
      <c r="H23" s="34" cm="1">
        <f t="array" ref="H23">INDEX(Seasonality,MONTH(H$7))</f>
        <v>0.98</v>
      </c>
      <c r="I23" s="34" cm="1">
        <f t="array" ref="I23">INDEX(Seasonality,MONTH(I$7))</f>
        <v>1.04</v>
      </c>
      <c r="J23" s="34" cm="1">
        <f t="array" ref="J23">INDEX(Seasonality,MONTH(J$7))</f>
        <v>1.1000000000000001</v>
      </c>
      <c r="K23" s="34" cm="1">
        <f t="array" ref="K23">INDEX(Seasonality,MONTH(K$7))</f>
        <v>1.1499999999999999</v>
      </c>
      <c r="L23" s="34" cm="1">
        <f t="array" ref="L23">INDEX(Seasonality,MONTH(L$7))</f>
        <v>1.1200000000000001</v>
      </c>
      <c r="M23" s="34" cm="1">
        <f t="array" ref="M23">INDEX(Seasonality,MONTH(M$7))</f>
        <v>1.05</v>
      </c>
      <c r="N23" s="34" cm="1">
        <f t="array" ref="N23">INDEX(Seasonality,MONTH(N$7))</f>
        <v>1.02</v>
      </c>
      <c r="O23" s="34" cm="1">
        <f t="array" ref="O23">INDEX(Seasonality,MONTH(O$7))</f>
        <v>0.98</v>
      </c>
      <c r="P23" s="34" cm="1">
        <f t="array" ref="P23">INDEX(Seasonality,MONTH(P$7))</f>
        <v>0.95</v>
      </c>
      <c r="Q23" s="34" cm="1">
        <f t="array" ref="Q23">INDEX(Seasonality,MONTH(Q$7))</f>
        <v>0.88</v>
      </c>
      <c r="R23" s="34" cm="1">
        <f t="array" ref="R23">INDEX(Seasonality,MONTH(R$7))</f>
        <v>0.85</v>
      </c>
      <c r="S23" s="34" cm="1">
        <f t="array" ref="S23">INDEX(Seasonality,MONTH(S$7))</f>
        <v>0.88</v>
      </c>
      <c r="T23" s="34" cm="1">
        <f t="array" ref="T23">INDEX(Seasonality,MONTH(T$7))</f>
        <v>0.98</v>
      </c>
      <c r="U23" s="34" cm="1">
        <f t="array" ref="U23">INDEX(Seasonality,MONTH(U$7))</f>
        <v>1.04</v>
      </c>
      <c r="V23" s="34" cm="1">
        <f t="array" ref="V23">INDEX(Seasonality,MONTH(V$7))</f>
        <v>1.1000000000000001</v>
      </c>
      <c r="W23" s="34" cm="1">
        <f t="array" ref="W23">INDEX(Seasonality,MONTH(W$7))</f>
        <v>1.1499999999999999</v>
      </c>
      <c r="X23" s="34" cm="1">
        <f t="array" ref="X23">INDEX(Seasonality,MONTH(X$7))</f>
        <v>1.1200000000000001</v>
      </c>
      <c r="Y23" s="34" cm="1">
        <f t="array" ref="Y23">INDEX(Seasonality,MONTH(Y$7))</f>
        <v>1.05</v>
      </c>
      <c r="Z23" s="34" cm="1">
        <f t="array" ref="Z23">INDEX(Seasonality,MONTH(Z$7))</f>
        <v>1.02</v>
      </c>
      <c r="AA23" s="34" cm="1">
        <f t="array" ref="AA23">INDEX(Seasonality,MONTH(AA$7))</f>
        <v>0.98</v>
      </c>
      <c r="AB23" s="34" cm="1">
        <f t="array" ref="AB23">INDEX(Seasonality,MONTH(AB$7))</f>
        <v>0.95</v>
      </c>
      <c r="AC23" s="34" cm="1">
        <f t="array" ref="AC23">INDEX(Seasonality,MONTH(AC$7))</f>
        <v>0.88</v>
      </c>
      <c r="AD23" s="34" cm="1">
        <f t="array" ref="AD23">INDEX(Seasonality,MONTH(AD$7))</f>
        <v>0.85</v>
      </c>
      <c r="AE23" s="34" cm="1">
        <f t="array" ref="AE23">INDEX(Seasonality,MONTH(AE$7))</f>
        <v>0.88</v>
      </c>
      <c r="AF23" s="34" cm="1">
        <f t="array" ref="AF23">INDEX(Seasonality,MONTH(AF$7))</f>
        <v>0.98</v>
      </c>
      <c r="AG23" s="34" cm="1">
        <f t="array" ref="AG23">INDEX(Seasonality,MONTH(AG$7))</f>
        <v>1.04</v>
      </c>
      <c r="AH23" s="34" cm="1">
        <f t="array" ref="AH23">INDEX(Seasonality,MONTH(AH$7))</f>
        <v>1.1000000000000001</v>
      </c>
      <c r="AI23" s="34" cm="1">
        <f t="array" ref="AI23">INDEX(Seasonality,MONTH(AI$7))</f>
        <v>1.1499999999999999</v>
      </c>
      <c r="AJ23" s="34" cm="1">
        <f t="array" ref="AJ23">INDEX(Seasonality,MONTH(AJ$7))</f>
        <v>1.1200000000000001</v>
      </c>
      <c r="AK23" s="34" cm="1">
        <f t="array" ref="AK23">INDEX(Seasonality,MONTH(AK$7))</f>
        <v>1.05</v>
      </c>
      <c r="AL23" s="34" cm="1">
        <f t="array" ref="AL23">INDEX(Seasonality,MONTH(AL$7))</f>
        <v>1.02</v>
      </c>
      <c r="AM23" s="34" cm="1">
        <f t="array" ref="AM23">INDEX(Seasonality,MONTH(AM$7))</f>
        <v>0.98</v>
      </c>
      <c r="AN23" s="34" cm="1">
        <f t="array" ref="AN23">INDEX(Seasonality,MONTH(AN$7))</f>
        <v>0.95</v>
      </c>
      <c r="AO23" s="34" cm="1">
        <f t="array" ref="AO23">INDEX(Seasonality,MONTH(AO$7))</f>
        <v>0.88</v>
      </c>
      <c r="AP23" s="34" cm="1">
        <f t="array" ref="AP23">INDEX(Seasonality,MONTH(AP$7))</f>
        <v>0.85</v>
      </c>
      <c r="AQ23" s="34" cm="1">
        <f t="array" ref="AQ23">INDEX(Seasonality,MONTH(AQ$7))</f>
        <v>0.88</v>
      </c>
      <c r="AR23" s="34" cm="1">
        <f t="array" ref="AR23">INDEX(Seasonality,MONTH(AR$7))</f>
        <v>0.98</v>
      </c>
      <c r="AS23" s="34" cm="1">
        <f t="array" ref="AS23">INDEX(Seasonality,MONTH(AS$7))</f>
        <v>1.04</v>
      </c>
      <c r="AT23" s="34" cm="1">
        <f t="array" ref="AT23">INDEX(Seasonality,MONTH(AT$7))</f>
        <v>1.1000000000000001</v>
      </c>
      <c r="AU23" s="34" cm="1">
        <f t="array" ref="AU23">INDEX(Seasonality,MONTH(AU$7))</f>
        <v>1.1499999999999999</v>
      </c>
      <c r="AV23" s="34" cm="1">
        <f t="array" ref="AV23">INDEX(Seasonality,MONTH(AV$7))</f>
        <v>1.1200000000000001</v>
      </c>
      <c r="AW23" s="34" cm="1">
        <f t="array" ref="AW23">INDEX(Seasonality,MONTH(AW$7))</f>
        <v>1.05</v>
      </c>
      <c r="AX23" s="34" cm="1">
        <f t="array" ref="AX23">INDEX(Seasonality,MONTH(AX$7))</f>
        <v>1.02</v>
      </c>
      <c r="AY23" s="34" cm="1">
        <f t="array" ref="AY23">INDEX(Seasonality,MONTH(AY$7))</f>
        <v>0.98</v>
      </c>
      <c r="AZ23" s="34" cm="1">
        <f t="array" ref="AZ23">INDEX(Seasonality,MONTH(AZ$7))</f>
        <v>0.95</v>
      </c>
      <c r="BA23" s="34" cm="1">
        <f t="array" ref="BA23">INDEX(Seasonality,MONTH(BA$7))</f>
        <v>0.88</v>
      </c>
      <c r="BB23" s="34" cm="1">
        <f t="array" ref="BB23">INDEX(Seasonality,MONTH(BB$7))</f>
        <v>0.85</v>
      </c>
      <c r="BC23" s="34" cm="1">
        <f t="array" ref="BC23">INDEX(Seasonality,MONTH(BC$7))</f>
        <v>0.88</v>
      </c>
      <c r="BD23" s="34" cm="1">
        <f t="array" ref="BD23">INDEX(Seasonality,MONTH(BD$7))</f>
        <v>0.98</v>
      </c>
      <c r="BE23" s="34" cm="1">
        <f t="array" ref="BE23">INDEX(Seasonality,MONTH(BE$7))</f>
        <v>1.04</v>
      </c>
      <c r="BF23" s="34" cm="1">
        <f t="array" ref="BF23">INDEX(Seasonality,MONTH(BF$7))</f>
        <v>1.1000000000000001</v>
      </c>
      <c r="BG23" s="34" cm="1">
        <f t="array" ref="BG23">INDEX(Seasonality,MONTH(BG$7))</f>
        <v>1.1499999999999999</v>
      </c>
      <c r="BH23" s="34" cm="1">
        <f t="array" ref="BH23">INDEX(Seasonality,MONTH(BH$7))</f>
        <v>1.1200000000000001</v>
      </c>
      <c r="BI23" s="34" cm="1">
        <f t="array" ref="BI23">INDEX(Seasonality,MONTH(BI$7))</f>
        <v>1.05</v>
      </c>
      <c r="BJ23" s="34" cm="1">
        <f t="array" ref="BJ23">INDEX(Seasonality,MONTH(BJ$7))</f>
        <v>1.02</v>
      </c>
      <c r="BK23" s="34" cm="1">
        <f t="array" ref="BK23">INDEX(Seasonality,MONTH(BK$7))</f>
        <v>0.98</v>
      </c>
      <c r="BL23" s="34" cm="1">
        <f t="array" ref="BL23">INDEX(Seasonality,MONTH(BL$7))</f>
        <v>0.95</v>
      </c>
      <c r="BM23" s="34" cm="1">
        <f t="array" ref="BM23">INDEX(Seasonality,MONTH(BM$7))</f>
        <v>0.88</v>
      </c>
    </row>
    <row r="24" spans="2:65" x14ac:dyDescent="0.45">
      <c r="B24" s="25" t="s">
        <v>213</v>
      </c>
      <c r="C24" s="26" t="s">
        <v>201</v>
      </c>
      <c r="D24" s="28"/>
      <c r="E24" s="28"/>
      <c r="F24" s="42">
        <f t="shared" ref="F24:AK24" si="2">Demand0*(1+Growth_ML)^(F$6/12)*F23</f>
        <v>66.622718602482252</v>
      </c>
      <c r="G24" s="42">
        <f t="shared" si="2"/>
        <v>69.30984363245976</v>
      </c>
      <c r="H24" s="42">
        <f t="shared" si="2"/>
        <v>77.561668801132313</v>
      </c>
      <c r="I24" s="42">
        <f t="shared" si="2"/>
        <v>82.710992154890178</v>
      </c>
      <c r="J24" s="42">
        <f t="shared" si="2"/>
        <v>87.908607019870388</v>
      </c>
      <c r="K24" s="42">
        <f t="shared" si="2"/>
        <v>92.351802364653381</v>
      </c>
      <c r="L24" s="42">
        <f t="shared" si="2"/>
        <v>90.380425186399648</v>
      </c>
      <c r="M24" s="42">
        <f t="shared" si="2"/>
        <v>85.144084196354669</v>
      </c>
      <c r="N24" s="42">
        <f t="shared" si="2"/>
        <v>83.113997979191112</v>
      </c>
      <c r="O24" s="42">
        <f t="shared" si="2"/>
        <v>80.243321936962516</v>
      </c>
      <c r="P24" s="42">
        <f t="shared" si="2"/>
        <v>78.165525352878248</v>
      </c>
      <c r="Q24" s="42">
        <f t="shared" si="2"/>
        <v>72.758400000000009</v>
      </c>
      <c r="R24" s="42">
        <f t="shared" si="2"/>
        <v>70.620081718631184</v>
      </c>
      <c r="S24" s="42">
        <f t="shared" si="2"/>
        <v>73.468434250407341</v>
      </c>
      <c r="T24" s="42">
        <f t="shared" si="2"/>
        <v>82.215368929200253</v>
      </c>
      <c r="U24" s="42">
        <f t="shared" si="2"/>
        <v>87.673651684183611</v>
      </c>
      <c r="V24" s="42">
        <f t="shared" si="2"/>
        <v>93.183123441062605</v>
      </c>
      <c r="W24" s="42">
        <f t="shared" si="2"/>
        <v>97.892910506532601</v>
      </c>
      <c r="X24" s="42">
        <f t="shared" si="2"/>
        <v>95.803250697583636</v>
      </c>
      <c r="Y24" s="42">
        <f t="shared" si="2"/>
        <v>90.252729248135935</v>
      </c>
      <c r="Z24" s="42">
        <f t="shared" si="2"/>
        <v>88.100837857942565</v>
      </c>
      <c r="AA24" s="42">
        <f t="shared" si="2"/>
        <v>85.057921253180282</v>
      </c>
      <c r="AB24" s="42">
        <f t="shared" si="2"/>
        <v>82.855456874050958</v>
      </c>
      <c r="AC24" s="42">
        <f t="shared" si="2"/>
        <v>77.12390400000001</v>
      </c>
      <c r="AD24" s="42">
        <f t="shared" si="2"/>
        <v>74.85728662174904</v>
      </c>
      <c r="AE24" s="42">
        <f t="shared" si="2"/>
        <v>77.876540305431789</v>
      </c>
      <c r="AF24" s="42">
        <f t="shared" si="2"/>
        <v>87.148291064952275</v>
      </c>
      <c r="AG24" s="42">
        <f t="shared" si="2"/>
        <v>92.934070785234624</v>
      </c>
      <c r="AH24" s="42">
        <f t="shared" si="2"/>
        <v>98.774110847526373</v>
      </c>
      <c r="AI24" s="42">
        <f t="shared" si="2"/>
        <v>103.76648513692456</v>
      </c>
      <c r="AJ24" s="42">
        <f t="shared" si="2"/>
        <v>101.55144573943865</v>
      </c>
      <c r="AK24" s="42">
        <f t="shared" si="2"/>
        <v>95.667893003024119</v>
      </c>
      <c r="AL24" s="42">
        <f t="shared" ref="AL24:BQ24" si="3">Demand0*(1+Growth_ML)^(AL$6/12)*AL23</f>
        <v>93.386888129419134</v>
      </c>
      <c r="AM24" s="42">
        <f t="shared" si="3"/>
        <v>90.1613965283711</v>
      </c>
      <c r="AN24" s="42">
        <f t="shared" si="3"/>
        <v>87.826784286494018</v>
      </c>
      <c r="AO24" s="42">
        <f t="shared" si="3"/>
        <v>81.751338240000024</v>
      </c>
      <c r="AP24" s="42">
        <f t="shared" si="3"/>
        <v>79.348723819054001</v>
      </c>
      <c r="AQ24" s="42">
        <f t="shared" si="3"/>
        <v>82.549132723757694</v>
      </c>
      <c r="AR24" s="42">
        <f t="shared" si="3"/>
        <v>92.377188528849416</v>
      </c>
      <c r="AS24" s="42">
        <f t="shared" si="3"/>
        <v>98.510115032348708</v>
      </c>
      <c r="AT24" s="42">
        <f t="shared" si="3"/>
        <v>104.70055749837795</v>
      </c>
      <c r="AU24" s="42">
        <f t="shared" si="3"/>
        <v>109.99247424514003</v>
      </c>
      <c r="AV24" s="42">
        <f t="shared" si="3"/>
        <v>107.64453248380499</v>
      </c>
      <c r="AW24" s="42">
        <f t="shared" si="3"/>
        <v>101.40796658320556</v>
      </c>
      <c r="AX24" s="42">
        <f t="shared" si="3"/>
        <v>98.990101417184292</v>
      </c>
      <c r="AY24" s="42">
        <f t="shared" si="3"/>
        <v>95.571080320073378</v>
      </c>
      <c r="AZ24" s="42">
        <f t="shared" si="3"/>
        <v>93.096391343683663</v>
      </c>
      <c r="BA24" s="42">
        <f t="shared" si="3"/>
        <v>86.656418534400032</v>
      </c>
      <c r="BB24" s="42">
        <f t="shared" si="3"/>
        <v>84.109647248197248</v>
      </c>
      <c r="BC24" s="42">
        <f t="shared" si="3"/>
        <v>87.502080687183181</v>
      </c>
      <c r="BD24" s="42">
        <f t="shared" si="3"/>
        <v>97.919819840580402</v>
      </c>
      <c r="BE24" s="42">
        <f t="shared" si="3"/>
        <v>104.42072193428965</v>
      </c>
      <c r="BF24" s="42">
        <f t="shared" si="3"/>
        <v>110.98259094828063</v>
      </c>
      <c r="BG24" s="42">
        <f t="shared" si="3"/>
        <v>116.59202269984844</v>
      </c>
      <c r="BH24" s="42">
        <f t="shared" si="3"/>
        <v>114.10320443283328</v>
      </c>
      <c r="BI24" s="42">
        <f t="shared" si="3"/>
        <v>107.49244457819792</v>
      </c>
      <c r="BJ24" s="42">
        <f t="shared" si="3"/>
        <v>104.92950750221534</v>
      </c>
      <c r="BK24" s="42">
        <f t="shared" si="3"/>
        <v>101.30534513927778</v>
      </c>
      <c r="BL24" s="42">
        <f t="shared" si="3"/>
        <v>98.68217482430471</v>
      </c>
      <c r="BM24" s="42">
        <f t="shared" si="3"/>
        <v>91.85580364646404</v>
      </c>
    </row>
    <row r="25" spans="2:65" x14ac:dyDescent="0.45">
      <c r="B25" s="25" t="s">
        <v>214</v>
      </c>
      <c r="C25" s="26" t="s">
        <v>147</v>
      </c>
      <c r="D25" s="28"/>
      <c r="E25" s="28"/>
      <c r="F25" s="36" cm="1">
        <f t="array" aca="1" ref="F25" ca="1">_xll.VosePERT(PlantOEE-OEE_Dn,PlantOEE,PlantOEE+OEE_Up)</f>
        <v>0.80124886694610187</v>
      </c>
      <c r="G25" s="36" cm="1">
        <f t="array" aca="1" ref="G25" ca="1">_xll.VosePERT(PlantOEE-OEE_Dn,PlantOEE,PlantOEE+OEE_Up)</f>
        <v>0.79149310515507576</v>
      </c>
      <c r="H25" s="36" cm="1">
        <f t="array" aca="1" ref="H25" ca="1">_xll.VosePERT(PlantOEE-OEE_Dn,PlantOEE,PlantOEE+OEE_Up)</f>
        <v>0.84200681683981671</v>
      </c>
      <c r="I25" s="36" cm="1">
        <f t="array" aca="1" ref="I25" ca="1">_xll.VosePERT(PlantOEE-OEE_Dn,PlantOEE,PlantOEE+OEE_Up)</f>
        <v>0.80737153669729345</v>
      </c>
      <c r="J25" s="36" cm="1">
        <f t="array" aca="1" ref="J25" ca="1">_xll.VosePERT(PlantOEE-OEE_Dn,PlantOEE,PlantOEE+OEE_Up)</f>
        <v>0.79213241678328794</v>
      </c>
      <c r="K25" s="36" cm="1">
        <f t="array" aca="1" ref="K25" ca="1">_xll.VosePERT(PlantOEE-OEE_Dn,PlantOEE,PlantOEE+OEE_Up)</f>
        <v>0.82502535811334665</v>
      </c>
      <c r="L25" s="36" cm="1">
        <f t="array" aca="1" ref="L25" ca="1">_xll.VosePERT(PlantOEE-OEE_Dn,PlantOEE,PlantOEE+OEE_Up)</f>
        <v>0.81000866232631286</v>
      </c>
      <c r="M25" s="36" cm="1">
        <f t="array" aca="1" ref="M25" ca="1">_xll.VosePERT(PlantOEE-OEE_Dn,PlantOEE,PlantOEE+OEE_Up)</f>
        <v>0.84134801621815736</v>
      </c>
      <c r="N25" s="36" cm="1">
        <f t="array" aca="1" ref="N25" ca="1">_xll.VosePERT(PlantOEE-OEE_Dn,PlantOEE,PlantOEE+OEE_Up)</f>
        <v>0.81633324156914622</v>
      </c>
      <c r="O25" s="36" cm="1">
        <f t="array" aca="1" ref="O25" ca="1">_xll.VosePERT(PlantOEE-OEE_Dn,PlantOEE,PlantOEE+OEE_Up)</f>
        <v>0.77786672282444225</v>
      </c>
      <c r="P25" s="36" cm="1">
        <f t="array" aca="1" ref="P25" ca="1">_xll.VosePERT(PlantOEE-OEE_Dn,PlantOEE,PlantOEE+OEE_Up)</f>
        <v>0.79546161423844985</v>
      </c>
      <c r="Q25" s="36" cm="1">
        <f t="array" aca="1" ref="Q25" ca="1">_xll.VosePERT(PlantOEE-OEE_Dn,PlantOEE,PlantOEE+OEE_Up)</f>
        <v>0.80674650464817976</v>
      </c>
      <c r="R25" s="36" cm="1">
        <f t="array" aca="1" ref="R25" ca="1">_xll.VosePERT(PlantOEE-OEE_Dn,PlantOEE,PlantOEE+OEE_Up)</f>
        <v>0.74725208070733784</v>
      </c>
      <c r="S25" s="36" cm="1">
        <f t="array" aca="1" ref="S25" ca="1">_xll.VosePERT(PlantOEE-OEE_Dn,PlantOEE,PlantOEE+OEE_Up)</f>
        <v>0.82916957665246316</v>
      </c>
      <c r="T25" s="36" cm="1">
        <f t="array" aca="1" ref="T25" ca="1">_xll.VosePERT(PlantOEE-OEE_Dn,PlantOEE,PlantOEE+OEE_Up)</f>
        <v>0.79465907918097056</v>
      </c>
      <c r="U25" s="36" cm="1">
        <f t="array" aca="1" ref="U25" ca="1">_xll.VosePERT(PlantOEE-OEE_Dn,PlantOEE,PlantOEE+OEE_Up)</f>
        <v>0.77168058735533351</v>
      </c>
      <c r="V25" s="36" cm="1">
        <f t="array" aca="1" ref="V25" ca="1">_xll.VosePERT(PlantOEE-OEE_Dn,PlantOEE,PlantOEE+OEE_Up)</f>
        <v>0.76008440476955297</v>
      </c>
      <c r="W25" s="36" cm="1">
        <f t="array" aca="1" ref="W25" ca="1">_xll.VosePERT(PlantOEE-OEE_Dn,PlantOEE,PlantOEE+OEE_Up)</f>
        <v>0.7997742970602959</v>
      </c>
      <c r="X25" s="36" cm="1">
        <f t="array" aca="1" ref="X25" ca="1">_xll.VosePERT(PlantOEE-OEE_Dn,PlantOEE,PlantOEE+OEE_Up)</f>
        <v>0.81825796691504027</v>
      </c>
      <c r="Y25" s="36" cm="1">
        <f t="array" aca="1" ref="Y25" ca="1">_xll.VosePERT(PlantOEE-OEE_Dn,PlantOEE,PlantOEE+OEE_Up)</f>
        <v>0.81546971513923783</v>
      </c>
      <c r="Z25" s="36" cm="1">
        <f t="array" aca="1" ref="Z25" ca="1">_xll.VosePERT(PlantOEE-OEE_Dn,PlantOEE,PlantOEE+OEE_Up)</f>
        <v>0.79666855229800304</v>
      </c>
      <c r="AA25" s="36" cm="1">
        <f t="array" aca="1" ref="AA25" ca="1">_xll.VosePERT(PlantOEE-OEE_Dn,PlantOEE,PlantOEE+OEE_Up)</f>
        <v>0.79508825587035181</v>
      </c>
      <c r="AB25" s="36" cm="1">
        <f t="array" aca="1" ref="AB25" ca="1">_xll.VosePERT(PlantOEE-OEE_Dn,PlantOEE,PlantOEE+OEE_Up)</f>
        <v>0.83934473946839838</v>
      </c>
      <c r="AC25" s="36" cm="1">
        <f t="array" aca="1" ref="AC25" ca="1">_xll.VosePERT(PlantOEE-OEE_Dn,PlantOEE,PlantOEE+OEE_Up)</f>
        <v>0.79019106518753712</v>
      </c>
      <c r="AD25" s="36" cm="1">
        <f t="array" aca="1" ref="AD25" ca="1">_xll.VosePERT(PlantOEE-OEE_Dn,PlantOEE,PlantOEE+OEE_Up)</f>
        <v>0.82965826419217281</v>
      </c>
      <c r="AE25" s="36" cm="1">
        <f t="array" aca="1" ref="AE25" ca="1">_xll.VosePERT(PlantOEE-OEE_Dn,PlantOEE,PlantOEE+OEE_Up)</f>
        <v>0.78677385587118254</v>
      </c>
      <c r="AF25" s="36" cm="1">
        <f t="array" aca="1" ref="AF25" ca="1">_xll.VosePERT(PlantOEE-OEE_Dn,PlantOEE,PlantOEE+OEE_Up)</f>
        <v>0.77500996924837939</v>
      </c>
      <c r="AG25" s="36" cm="1">
        <f t="array" aca="1" ref="AG25" ca="1">_xll.VosePERT(PlantOEE-OEE_Dn,PlantOEE,PlantOEE+OEE_Up)</f>
        <v>0.81358114585427976</v>
      </c>
      <c r="AH25" s="36" cm="1">
        <f t="array" aca="1" ref="AH25" ca="1">_xll.VosePERT(PlantOEE-OEE_Dn,PlantOEE,PlantOEE+OEE_Up)</f>
        <v>0.83817637279022716</v>
      </c>
      <c r="AI25" s="36" cm="1">
        <f t="array" aca="1" ref="AI25" ca="1">_xll.VosePERT(PlantOEE-OEE_Dn,PlantOEE,PlantOEE+OEE_Up)</f>
        <v>0.78617902011803631</v>
      </c>
      <c r="AJ25" s="36" cm="1">
        <f t="array" aca="1" ref="AJ25" ca="1">_xll.VosePERT(PlantOEE-OEE_Dn,PlantOEE,PlantOEE+OEE_Up)</f>
        <v>0.78427020814381287</v>
      </c>
      <c r="AK25" s="36" cm="1">
        <f t="array" aca="1" ref="AK25" ca="1">_xll.VosePERT(PlantOEE-OEE_Dn,PlantOEE,PlantOEE+OEE_Up)</f>
        <v>0.81562982829748876</v>
      </c>
      <c r="AL25" s="36" cm="1">
        <f t="array" aca="1" ref="AL25" ca="1">_xll.VosePERT(PlantOEE-OEE_Dn,PlantOEE,PlantOEE+OEE_Up)</f>
        <v>0.80856797249762324</v>
      </c>
      <c r="AM25" s="36" cm="1">
        <f t="array" aca="1" ref="AM25" ca="1">_xll.VosePERT(PlantOEE-OEE_Dn,PlantOEE,PlantOEE+OEE_Up)</f>
        <v>0.82549512073606823</v>
      </c>
      <c r="AN25" s="36" cm="1">
        <f t="array" aca="1" ref="AN25" ca="1">_xll.VosePERT(PlantOEE-OEE_Dn,PlantOEE,PlantOEE+OEE_Up)</f>
        <v>0.82940032130670416</v>
      </c>
      <c r="AO25" s="36" cm="1">
        <f t="array" aca="1" ref="AO25" ca="1">_xll.VosePERT(PlantOEE-OEE_Dn,PlantOEE,PlantOEE+OEE_Up)</f>
        <v>0.81984423073596435</v>
      </c>
      <c r="AP25" s="36" cm="1">
        <f t="array" aca="1" ref="AP25" ca="1">_xll.VosePERT(PlantOEE-OEE_Dn,PlantOEE,PlantOEE+OEE_Up)</f>
        <v>0.80191676309178139</v>
      </c>
      <c r="AQ25" s="36" cm="1">
        <f t="array" aca="1" ref="AQ25" ca="1">_xll.VosePERT(PlantOEE-OEE_Dn,PlantOEE,PlantOEE+OEE_Up)</f>
        <v>0.77510831055093754</v>
      </c>
      <c r="AR25" s="36" cm="1">
        <f t="array" aca="1" ref="AR25" ca="1">_xll.VosePERT(PlantOEE-OEE_Dn,PlantOEE,PlantOEE+OEE_Up)</f>
        <v>0.8014400822573714</v>
      </c>
      <c r="AS25" s="36" cm="1">
        <f t="array" aca="1" ref="AS25" ca="1">_xll.VosePERT(PlantOEE-OEE_Dn,PlantOEE,PlantOEE+OEE_Up)</f>
        <v>0.74405149562365058</v>
      </c>
      <c r="AT25" s="36" cm="1">
        <f t="array" aca="1" ref="AT25" ca="1">_xll.VosePERT(PlantOEE-OEE_Dn,PlantOEE,PlantOEE+OEE_Up)</f>
        <v>0.83628974228685293</v>
      </c>
      <c r="AU25" s="36" cm="1">
        <f t="array" aca="1" ref="AU25" ca="1">_xll.VosePERT(PlantOEE-OEE_Dn,PlantOEE,PlantOEE+OEE_Up)</f>
        <v>0.80206082279276647</v>
      </c>
      <c r="AV25" s="36" cm="1">
        <f t="array" aca="1" ref="AV25" ca="1">_xll.VosePERT(PlantOEE-OEE_Dn,PlantOEE,PlantOEE+OEE_Up)</f>
        <v>0.78263368492372476</v>
      </c>
      <c r="AW25" s="36" cm="1">
        <f t="array" aca="1" ref="AW25" ca="1">_xll.VosePERT(PlantOEE-OEE_Dn,PlantOEE,PlantOEE+OEE_Up)</f>
        <v>0.8233651377514063</v>
      </c>
      <c r="AX25" s="36" cm="1">
        <f t="array" aca="1" ref="AX25" ca="1">_xll.VosePERT(PlantOEE-OEE_Dn,PlantOEE,PlantOEE+OEE_Up)</f>
        <v>0.8158804629149885</v>
      </c>
      <c r="AY25" s="36" cm="1">
        <f t="array" aca="1" ref="AY25" ca="1">_xll.VosePERT(PlantOEE-OEE_Dn,PlantOEE,PlantOEE+OEE_Up)</f>
        <v>0.80245977701901638</v>
      </c>
      <c r="AZ25" s="36" cm="1">
        <f t="array" aca="1" ref="AZ25" ca="1">_xll.VosePERT(PlantOEE-OEE_Dn,PlantOEE,PlantOEE+OEE_Up)</f>
        <v>0.74994603914731761</v>
      </c>
      <c r="BA25" s="36" cm="1">
        <f t="array" aca="1" ref="BA25" ca="1">_xll.VosePERT(PlantOEE-OEE_Dn,PlantOEE,PlantOEE+OEE_Up)</f>
        <v>0.78406086245234463</v>
      </c>
      <c r="BB25" s="36" cm="1">
        <f t="array" aca="1" ref="BB25" ca="1">_xll.VosePERT(PlantOEE-OEE_Dn,PlantOEE,PlantOEE+OEE_Up)</f>
        <v>0.76910905970579457</v>
      </c>
      <c r="BC25" s="36" cm="1">
        <f t="array" aca="1" ref="BC25" ca="1">_xll.VosePERT(PlantOEE-OEE_Dn,PlantOEE,PlantOEE+OEE_Up)</f>
        <v>0.81052758196074193</v>
      </c>
      <c r="BD25" s="36" cm="1">
        <f t="array" aca="1" ref="BD25" ca="1">_xll.VosePERT(PlantOEE-OEE_Dn,PlantOEE,PlantOEE+OEE_Up)</f>
        <v>0.8015638236854985</v>
      </c>
      <c r="BE25" s="36" cm="1">
        <f t="array" aca="1" ref="BE25" ca="1">_xll.VosePERT(PlantOEE-OEE_Dn,PlantOEE,PlantOEE+OEE_Up)</f>
        <v>0.79021624441794691</v>
      </c>
      <c r="BF25" s="36" cm="1">
        <f t="array" aca="1" ref="BF25" ca="1">_xll.VosePERT(PlantOEE-OEE_Dn,PlantOEE,PlantOEE+OEE_Up)</f>
        <v>0.75693881733795043</v>
      </c>
      <c r="BG25" s="36" cm="1">
        <f t="array" aca="1" ref="BG25" ca="1">_xll.VosePERT(PlantOEE-OEE_Dn,PlantOEE,PlantOEE+OEE_Up)</f>
        <v>0.77128878747866103</v>
      </c>
      <c r="BH25" s="36" cm="1">
        <f t="array" aca="1" ref="BH25" ca="1">_xll.VosePERT(PlantOEE-OEE_Dn,PlantOEE,PlantOEE+OEE_Up)</f>
        <v>0.78977642790205171</v>
      </c>
      <c r="BI25" s="36" cm="1">
        <f t="array" aca="1" ref="BI25" ca="1">_xll.VosePERT(PlantOEE-OEE_Dn,PlantOEE,PlantOEE+OEE_Up)</f>
        <v>0.82082057253892526</v>
      </c>
      <c r="BJ25" s="36" cm="1">
        <f t="array" aca="1" ref="BJ25" ca="1">_xll.VosePERT(PlantOEE-OEE_Dn,PlantOEE,PlantOEE+OEE_Up)</f>
        <v>0.79988003811609776</v>
      </c>
      <c r="BK25" s="36" cm="1">
        <f t="array" aca="1" ref="BK25" ca="1">_xll.VosePERT(PlantOEE-OEE_Dn,PlantOEE,PlantOEE+OEE_Up)</f>
        <v>0.73403596458116882</v>
      </c>
      <c r="BL25" s="36" cm="1">
        <f t="array" aca="1" ref="BL25" ca="1">_xll.VosePERT(PlantOEE-OEE_Dn,PlantOEE,PlantOEE+OEE_Up)</f>
        <v>0.79213812182784438</v>
      </c>
      <c r="BM25" s="36" cm="1">
        <f t="array" aca="1" ref="BM25" ca="1">_xll.VosePERT(PlantOEE-OEE_Dn,PlantOEE,PlantOEE+OEE_Up)</f>
        <v>0.8018835231893976</v>
      </c>
    </row>
    <row r="26" spans="2:65" x14ac:dyDescent="0.45">
      <c r="B26" s="25" t="s">
        <v>215</v>
      </c>
      <c r="C26" s="26"/>
      <c r="D26" s="28"/>
      <c r="E26" s="28"/>
      <c r="F26" s="56">
        <f t="shared" ref="F26:AK26" si="4">1/(1+Disc)^(F$6/12)</f>
        <v>0.99360710198829405</v>
      </c>
      <c r="G26" s="56">
        <f t="shared" si="4"/>
        <v>0.98725507312157612</v>
      </c>
      <c r="H26" s="56">
        <f t="shared" si="4"/>
        <v>0.98094365212757062</v>
      </c>
      <c r="I26" s="56">
        <f t="shared" si="4"/>
        <v>0.97467257940428875</v>
      </c>
      <c r="J26" s="56">
        <f t="shared" si="4"/>
        <v>0.96844159700935073</v>
      </c>
      <c r="K26" s="56">
        <f t="shared" si="4"/>
        <v>0.96225044864937614</v>
      </c>
      <c r="L26" s="56">
        <f t="shared" si="4"/>
        <v>0.95609887966944251</v>
      </c>
      <c r="M26" s="56">
        <f t="shared" si="4"/>
        <v>0.94998663704260933</v>
      </c>
      <c r="N26" s="56">
        <f t="shared" si="4"/>
        <v>0.94391346935951248</v>
      </c>
      <c r="O26" s="56">
        <f t="shared" si="4"/>
        <v>0.93787912681802166</v>
      </c>
      <c r="P26" s="56">
        <f t="shared" si="4"/>
        <v>0.931883361212966</v>
      </c>
      <c r="Q26" s="56">
        <f t="shared" si="4"/>
        <v>0.92592592592592582</v>
      </c>
      <c r="R26" s="56">
        <f t="shared" si="4"/>
        <v>0.92000657591508705</v>
      </c>
      <c r="S26" s="56">
        <f t="shared" si="4"/>
        <v>0.914125067705163</v>
      </c>
      <c r="T26" s="56">
        <f t="shared" si="4"/>
        <v>0.90828115937738008</v>
      </c>
      <c r="U26" s="56">
        <f t="shared" si="4"/>
        <v>0.9024746105595266</v>
      </c>
      <c r="V26" s="56">
        <f t="shared" si="4"/>
        <v>0.89670518241606534</v>
      </c>
      <c r="W26" s="56">
        <f t="shared" si="4"/>
        <v>0.89097263763831136</v>
      </c>
      <c r="X26" s="56">
        <f t="shared" si="4"/>
        <v>0.88527674043466897</v>
      </c>
      <c r="Y26" s="56">
        <f t="shared" si="4"/>
        <v>0.87961725652093459</v>
      </c>
      <c r="Z26" s="56">
        <f t="shared" si="4"/>
        <v>0.87399395311065964</v>
      </c>
      <c r="AA26" s="56">
        <f t="shared" si="4"/>
        <v>0.86840659890557537</v>
      </c>
      <c r="AB26" s="56">
        <f t="shared" si="4"/>
        <v>0.86285496408607953</v>
      </c>
      <c r="AC26" s="56">
        <f t="shared" si="4"/>
        <v>0.85733882030178321</v>
      </c>
      <c r="AD26" s="56">
        <f t="shared" si="4"/>
        <v>0.85185794066211751</v>
      </c>
      <c r="AE26" s="56">
        <f t="shared" si="4"/>
        <v>0.84641209972700271</v>
      </c>
      <c r="AF26" s="56">
        <f t="shared" si="4"/>
        <v>0.84100107349757414</v>
      </c>
      <c r="AG26" s="56">
        <f t="shared" si="4"/>
        <v>0.83562463940696885</v>
      </c>
      <c r="AH26" s="56">
        <f t="shared" si="4"/>
        <v>0.83028257631117153</v>
      </c>
      <c r="AI26" s="56">
        <f t="shared" si="4"/>
        <v>0.82497466447991774</v>
      </c>
      <c r="AJ26" s="56">
        <f t="shared" si="4"/>
        <v>0.81970068558765641</v>
      </c>
      <c r="AK26" s="56">
        <f t="shared" si="4"/>
        <v>0.81446042270456898</v>
      </c>
      <c r="AL26" s="56">
        <f t="shared" ref="AL26:BM26" si="5">1/(1+Disc)^(AL$6/12)</f>
        <v>0.80925366028764767</v>
      </c>
      <c r="AM26" s="56">
        <f t="shared" si="5"/>
        <v>0.80408018417182903</v>
      </c>
      <c r="AN26" s="56">
        <f t="shared" si="5"/>
        <v>0.79893978156118484</v>
      </c>
      <c r="AO26" s="56">
        <f t="shared" si="5"/>
        <v>0.79383224102016958</v>
      </c>
      <c r="AP26" s="56">
        <f t="shared" si="5"/>
        <v>0.78875735246492351</v>
      </c>
      <c r="AQ26" s="56">
        <f t="shared" si="5"/>
        <v>0.7837149071546321</v>
      </c>
      <c r="AR26" s="56">
        <f t="shared" si="5"/>
        <v>0.77870469768293904</v>
      </c>
      <c r="AS26" s="56">
        <f t="shared" si="5"/>
        <v>0.77372651796941549</v>
      </c>
      <c r="AT26" s="56">
        <f t="shared" si="5"/>
        <v>0.76878016325108478</v>
      </c>
      <c r="AU26" s="56">
        <f t="shared" si="5"/>
        <v>0.76386543007399788</v>
      </c>
      <c r="AV26" s="56">
        <f t="shared" si="5"/>
        <v>0.75898211628486689</v>
      </c>
      <c r="AW26" s="56">
        <f t="shared" si="5"/>
        <v>0.75413002102274895</v>
      </c>
      <c r="AX26" s="56">
        <f t="shared" si="5"/>
        <v>0.74930894471078491</v>
      </c>
      <c r="AY26" s="56">
        <f t="shared" si="5"/>
        <v>0.7445186890479899</v>
      </c>
      <c r="AZ26" s="56">
        <f t="shared" si="5"/>
        <v>0.73975905700109701</v>
      </c>
      <c r="BA26" s="56">
        <f t="shared" si="5"/>
        <v>0.73502985279645328</v>
      </c>
      <c r="BB26" s="56">
        <f t="shared" si="5"/>
        <v>0.73033088191196638</v>
      </c>
      <c r="BC26" s="56">
        <f t="shared" si="5"/>
        <v>0.72566195106910369</v>
      </c>
      <c r="BD26" s="56">
        <f t="shared" si="5"/>
        <v>0.72102286822494344</v>
      </c>
      <c r="BE26" s="56">
        <f t="shared" si="5"/>
        <v>0.71641344256427364</v>
      </c>
      <c r="BF26" s="56">
        <f t="shared" si="5"/>
        <v>0.71183348449174511</v>
      </c>
      <c r="BG26" s="56">
        <f t="shared" si="5"/>
        <v>0.70728280562407209</v>
      </c>
      <c r="BH26" s="56">
        <f t="shared" si="5"/>
        <v>0.70276121878228415</v>
      </c>
      <c r="BI26" s="56">
        <f t="shared" si="5"/>
        <v>0.69826853798402677</v>
      </c>
      <c r="BJ26" s="56">
        <f t="shared" si="5"/>
        <v>0.69380457843591192</v>
      </c>
      <c r="BK26" s="56">
        <f t="shared" si="5"/>
        <v>0.68936915652591646</v>
      </c>
      <c r="BL26" s="56">
        <f t="shared" si="5"/>
        <v>0.68496208981583051</v>
      </c>
      <c r="BM26" s="56">
        <f t="shared" si="5"/>
        <v>0.68058319703375303</v>
      </c>
    </row>
    <row r="27" spans="2:65" x14ac:dyDescent="0.45">
      <c r="B27" s="25" t="s">
        <v>216</v>
      </c>
      <c r="C27" s="26"/>
      <c r="D27" s="28"/>
      <c r="E27" s="28"/>
      <c r="F27" s="52">
        <f t="shared" ref="F27:AK27" si="6">YEAR(F$7)</f>
        <v>2027</v>
      </c>
      <c r="G27" s="52">
        <f t="shared" si="6"/>
        <v>2027</v>
      </c>
      <c r="H27" s="52">
        <f t="shared" si="6"/>
        <v>2027</v>
      </c>
      <c r="I27" s="52">
        <f t="shared" si="6"/>
        <v>2027</v>
      </c>
      <c r="J27" s="52">
        <f t="shared" si="6"/>
        <v>2027</v>
      </c>
      <c r="K27" s="52">
        <f t="shared" si="6"/>
        <v>2027</v>
      </c>
      <c r="L27" s="52">
        <f t="shared" si="6"/>
        <v>2027</v>
      </c>
      <c r="M27" s="52">
        <f t="shared" si="6"/>
        <v>2027</v>
      </c>
      <c r="N27" s="52">
        <f t="shared" si="6"/>
        <v>2027</v>
      </c>
      <c r="O27" s="52">
        <f t="shared" si="6"/>
        <v>2027</v>
      </c>
      <c r="P27" s="52">
        <f t="shared" si="6"/>
        <v>2027</v>
      </c>
      <c r="Q27" s="52">
        <f t="shared" si="6"/>
        <v>2027</v>
      </c>
      <c r="R27" s="52">
        <f t="shared" si="6"/>
        <v>2028</v>
      </c>
      <c r="S27" s="52">
        <f t="shared" si="6"/>
        <v>2028</v>
      </c>
      <c r="T27" s="52">
        <f t="shared" si="6"/>
        <v>2028</v>
      </c>
      <c r="U27" s="52">
        <f t="shared" si="6"/>
        <v>2028</v>
      </c>
      <c r="V27" s="52">
        <f t="shared" si="6"/>
        <v>2028</v>
      </c>
      <c r="W27" s="52">
        <f t="shared" si="6"/>
        <v>2028</v>
      </c>
      <c r="X27" s="52">
        <f t="shared" si="6"/>
        <v>2028</v>
      </c>
      <c r="Y27" s="52">
        <f t="shared" si="6"/>
        <v>2028</v>
      </c>
      <c r="Z27" s="52">
        <f t="shared" si="6"/>
        <v>2028</v>
      </c>
      <c r="AA27" s="52">
        <f t="shared" si="6"/>
        <v>2028</v>
      </c>
      <c r="AB27" s="52">
        <f t="shared" si="6"/>
        <v>2028</v>
      </c>
      <c r="AC27" s="52">
        <f t="shared" si="6"/>
        <v>2028</v>
      </c>
      <c r="AD27" s="52">
        <f t="shared" si="6"/>
        <v>2029</v>
      </c>
      <c r="AE27" s="52">
        <f t="shared" si="6"/>
        <v>2029</v>
      </c>
      <c r="AF27" s="52">
        <f t="shared" si="6"/>
        <v>2029</v>
      </c>
      <c r="AG27" s="52">
        <f t="shared" si="6"/>
        <v>2029</v>
      </c>
      <c r="AH27" s="52">
        <f t="shared" si="6"/>
        <v>2029</v>
      </c>
      <c r="AI27" s="52">
        <f t="shared" si="6"/>
        <v>2029</v>
      </c>
      <c r="AJ27" s="52">
        <f t="shared" si="6"/>
        <v>2029</v>
      </c>
      <c r="AK27" s="52">
        <f t="shared" si="6"/>
        <v>2029</v>
      </c>
      <c r="AL27" s="52">
        <f t="shared" ref="AL27:BM27" si="7">YEAR(AL$7)</f>
        <v>2029</v>
      </c>
      <c r="AM27" s="52">
        <f t="shared" si="7"/>
        <v>2029</v>
      </c>
      <c r="AN27" s="52">
        <f t="shared" si="7"/>
        <v>2029</v>
      </c>
      <c r="AO27" s="52">
        <f t="shared" si="7"/>
        <v>2029</v>
      </c>
      <c r="AP27" s="52">
        <f t="shared" si="7"/>
        <v>2030</v>
      </c>
      <c r="AQ27" s="52">
        <f t="shared" si="7"/>
        <v>2030</v>
      </c>
      <c r="AR27" s="52">
        <f t="shared" si="7"/>
        <v>2030</v>
      </c>
      <c r="AS27" s="52">
        <f t="shared" si="7"/>
        <v>2030</v>
      </c>
      <c r="AT27" s="52">
        <f t="shared" si="7"/>
        <v>2030</v>
      </c>
      <c r="AU27" s="52">
        <f t="shared" si="7"/>
        <v>2030</v>
      </c>
      <c r="AV27" s="52">
        <f t="shared" si="7"/>
        <v>2030</v>
      </c>
      <c r="AW27" s="52">
        <f t="shared" si="7"/>
        <v>2030</v>
      </c>
      <c r="AX27" s="52">
        <f t="shared" si="7"/>
        <v>2030</v>
      </c>
      <c r="AY27" s="52">
        <f t="shared" si="7"/>
        <v>2030</v>
      </c>
      <c r="AZ27" s="52">
        <f t="shared" si="7"/>
        <v>2030</v>
      </c>
      <c r="BA27" s="52">
        <f t="shared" si="7"/>
        <v>2030</v>
      </c>
      <c r="BB27" s="52">
        <f t="shared" si="7"/>
        <v>2031</v>
      </c>
      <c r="BC27" s="52">
        <f t="shared" si="7"/>
        <v>2031</v>
      </c>
      <c r="BD27" s="52">
        <f t="shared" si="7"/>
        <v>2031</v>
      </c>
      <c r="BE27" s="52">
        <f t="shared" si="7"/>
        <v>2031</v>
      </c>
      <c r="BF27" s="52">
        <f t="shared" si="7"/>
        <v>2031</v>
      </c>
      <c r="BG27" s="52">
        <f t="shared" si="7"/>
        <v>2031</v>
      </c>
      <c r="BH27" s="52">
        <f t="shared" si="7"/>
        <v>2031</v>
      </c>
      <c r="BI27" s="52">
        <f t="shared" si="7"/>
        <v>2031</v>
      </c>
      <c r="BJ27" s="52">
        <f t="shared" si="7"/>
        <v>2031</v>
      </c>
      <c r="BK27" s="52">
        <f t="shared" si="7"/>
        <v>2031</v>
      </c>
      <c r="BL27" s="52">
        <f t="shared" si="7"/>
        <v>2031</v>
      </c>
      <c r="BM27" s="52">
        <f t="shared" si="7"/>
        <v>2031</v>
      </c>
    </row>
    <row r="28" spans="2:65" ht="8" customHeight="1" x14ac:dyDescent="0.45"/>
    <row r="29" spans="2:65" ht="22.05" customHeight="1" x14ac:dyDescent="0.5">
      <c r="B29" s="7" t="s">
        <v>217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</row>
    <row r="30" spans="2:65" ht="18" customHeight="1" x14ac:dyDescent="0.45">
      <c r="B30" s="13" t="s">
        <v>218</v>
      </c>
    </row>
    <row r="31" spans="2:65" ht="18" customHeight="1" x14ac:dyDescent="0.45">
      <c r="B31" s="48" t="s">
        <v>219</v>
      </c>
      <c r="C31" s="5"/>
      <c r="D31" s="5"/>
      <c r="E31" s="5"/>
      <c r="F31" s="57">
        <f>YEAR(StartMonth)+0</f>
        <v>2027</v>
      </c>
      <c r="G31" s="57">
        <f>YEAR(StartMonth)+1</f>
        <v>2028</v>
      </c>
      <c r="H31" s="57">
        <f>YEAR(StartMonth)+2</f>
        <v>2029</v>
      </c>
      <c r="I31" s="57">
        <f>YEAR(StartMonth)+3</f>
        <v>2030</v>
      </c>
      <c r="J31" s="57">
        <f>YEAR(StartMonth)+4</f>
        <v>2031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</row>
    <row r="32" spans="2:65" x14ac:dyDescent="0.45">
      <c r="B32" s="25" t="s">
        <v>68</v>
      </c>
      <c r="C32" s="26" t="s">
        <v>201</v>
      </c>
      <c r="D32" s="28"/>
      <c r="E32" s="28"/>
      <c r="F32" s="54">
        <f ca="1">SUMIF(CalYear,F$31,Demand)</f>
        <v>904.60243741606655</v>
      </c>
      <c r="G32" s="54">
        <f ca="1">SUMIF(CalYear,G$31,Demand)</f>
        <v>1033.5591099374481</v>
      </c>
      <c r="H32" s="54">
        <f ca="1">SUMIF(CalYear,H$31,Demand)</f>
        <v>1258.8207660801927</v>
      </c>
      <c r="I32" s="54">
        <f ca="1">SUMIF(CalYear,I$31,Demand)</f>
        <v>1381.0654409095469</v>
      </c>
      <c r="J32" s="54">
        <f ca="1">SUMIF(CalYear,J$31,Demand)</f>
        <v>1450.9962153693409</v>
      </c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</row>
    <row r="33" spans="2:65" x14ac:dyDescent="0.45">
      <c r="B33" s="25" t="s">
        <v>220</v>
      </c>
      <c r="C33" s="26" t="s">
        <v>201</v>
      </c>
      <c r="D33" s="28"/>
      <c r="E33" s="28"/>
      <c r="F33" s="54">
        <f>SUMIF(CalYear,F$31,PlanDemand)</f>
        <v>966.27138722727454</v>
      </c>
      <c r="G33" s="54">
        <f>SUMIF(CalYear,G$31,PlanDemand)</f>
        <v>1024.247670460911</v>
      </c>
      <c r="H33" s="54">
        <f>SUMIF(CalYear,H$31,PlanDemand)</f>
        <v>1085.7025306885657</v>
      </c>
      <c r="I33" s="54">
        <f>SUMIF(CalYear,I$31,PlanDemand)</f>
        <v>1150.8446825298797</v>
      </c>
      <c r="J33" s="54">
        <f>SUMIF(CalYear,J$31,PlanDemand)</f>
        <v>1219.8953634816726</v>
      </c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</row>
    <row r="34" spans="2:65" x14ac:dyDescent="0.45">
      <c r="B34" s="25" t="s">
        <v>221</v>
      </c>
      <c r="C34" s="26" t="s">
        <v>201</v>
      </c>
      <c r="D34" s="28"/>
      <c r="E34" s="28"/>
      <c r="F34" s="54">
        <f ca="1">SUMIF(CalYear,F$31,Lost_0)</f>
        <v>0</v>
      </c>
      <c r="G34" s="54">
        <f ca="1">SUMIF(CalYear,G$31,Lost_0)</f>
        <v>3.9939865355797046</v>
      </c>
      <c r="H34" s="54">
        <f ca="1">SUMIF(CalYear,H$31,Lost_0)</f>
        <v>109.82018353724135</v>
      </c>
      <c r="I34" s="54">
        <f ca="1">SUMIF(CalYear,I$31,Lost_0)</f>
        <v>213.95199102020956</v>
      </c>
      <c r="J34" s="54">
        <f ca="1">SUMIF(CalYear,J$31,Lost_0)</f>
        <v>292.79652946771211</v>
      </c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</row>
    <row r="35" spans="2:65" x14ac:dyDescent="0.45">
      <c r="B35" s="25" t="s">
        <v>222</v>
      </c>
      <c r="C35" s="26" t="s">
        <v>201</v>
      </c>
      <c r="D35" s="28"/>
      <c r="E35" s="28"/>
      <c r="F35" s="54">
        <f ca="1">SUMIF(CalYear,F$31,Lost_1)</f>
        <v>0</v>
      </c>
      <c r="G35" s="54">
        <f ca="1">SUMIF(CalYear,G$31,Lost_1)</f>
        <v>0</v>
      </c>
      <c r="H35" s="54">
        <f ca="1">SUMIF(CalYear,H$31,Lost_1)</f>
        <v>0</v>
      </c>
      <c r="I35" s="54">
        <f ca="1">SUMIF(CalYear,I$31,Lost_1)</f>
        <v>13.953684590153458</v>
      </c>
      <c r="J35" s="54">
        <f ca="1">SUMIF(CalYear,J$31,Lost_1)</f>
        <v>74.391032110765522</v>
      </c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</row>
    <row r="36" spans="2:65" x14ac:dyDescent="0.45">
      <c r="B36" s="25" t="s">
        <v>223</v>
      </c>
      <c r="C36" s="26" t="s">
        <v>201</v>
      </c>
      <c r="D36" s="28"/>
      <c r="E36" s="28"/>
      <c r="F36" s="54">
        <f ca="1">SUMIF(CalYear,F$31,Lost_2)</f>
        <v>0</v>
      </c>
      <c r="G36" s="54">
        <f ca="1">SUMIF(CalYear,G$31,Lost_2)</f>
        <v>0</v>
      </c>
      <c r="H36" s="54">
        <f ca="1">SUMIF(CalYear,H$31,Lost_2)</f>
        <v>0</v>
      </c>
      <c r="I36" s="54">
        <f ca="1">SUMIF(CalYear,I$31,Lost_2)</f>
        <v>0</v>
      </c>
      <c r="J36" s="54">
        <f ca="1">SUMIF(CalYear,J$31,Lost_2)</f>
        <v>0</v>
      </c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</row>
    <row r="37" spans="2:65" x14ac:dyDescent="0.45">
      <c r="B37" s="25" t="s">
        <v>224</v>
      </c>
      <c r="C37" s="26" t="s">
        <v>201</v>
      </c>
      <c r="D37" s="28"/>
      <c r="E37" s="28"/>
      <c r="F37" s="54">
        <f ca="1">SUMIF(CalYear,F$31,Lost_3)</f>
        <v>0</v>
      </c>
      <c r="G37" s="54">
        <f ca="1">SUMIF(CalYear,G$31,Lost_3)</f>
        <v>0</v>
      </c>
      <c r="H37" s="54">
        <f ca="1">SUMIF(CalYear,H$31,Lost_3)</f>
        <v>0</v>
      </c>
      <c r="I37" s="54">
        <f ca="1">SUMIF(CalYear,I$31,Lost_3)</f>
        <v>0</v>
      </c>
      <c r="J37" s="54">
        <f ca="1">SUMIF(CalYear,J$31,Lost_3)</f>
        <v>0</v>
      </c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</row>
    <row r="38" spans="2:65" ht="8" customHeight="1" x14ac:dyDescent="0.45"/>
    <row r="39" spans="2:65" ht="22.05" customHeight="1" x14ac:dyDescent="0.5">
      <c r="B39" s="7" t="s">
        <v>225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</row>
    <row r="40" spans="2:65" ht="18" customHeight="1" x14ac:dyDescent="0.45">
      <c r="B40" s="13" t="s">
        <v>226</v>
      </c>
    </row>
    <row r="41" spans="2:65" x14ac:dyDescent="0.45">
      <c r="B41" s="25" t="s">
        <v>227</v>
      </c>
      <c r="C41" s="26" t="s">
        <v>143</v>
      </c>
      <c r="D41" s="52">
        <v>0</v>
      </c>
      <c r="E41" s="28"/>
      <c r="F41" s="26" t="s">
        <v>228</v>
      </c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</row>
    <row r="42" spans="2:65" x14ac:dyDescent="0.45">
      <c r="B42" s="25" t="s">
        <v>229</v>
      </c>
      <c r="C42" s="26" t="s">
        <v>143</v>
      </c>
      <c r="D42" s="28"/>
      <c r="E42" s="28"/>
      <c r="F42" s="52">
        <f t="shared" ref="F42:AK42" ca="1" si="8">IF(F$6&gt;LeadM,New_0,0)</f>
        <v>0</v>
      </c>
      <c r="G42" s="52">
        <f t="shared" ca="1" si="8"/>
        <v>0</v>
      </c>
      <c r="H42" s="52">
        <f t="shared" ca="1" si="8"/>
        <v>0</v>
      </c>
      <c r="I42" s="52">
        <f t="shared" ca="1" si="8"/>
        <v>0</v>
      </c>
      <c r="J42" s="52">
        <f t="shared" ca="1" si="8"/>
        <v>0</v>
      </c>
      <c r="K42" s="52">
        <f t="shared" ca="1" si="8"/>
        <v>0</v>
      </c>
      <c r="L42" s="52">
        <f t="shared" ca="1" si="8"/>
        <v>0</v>
      </c>
      <c r="M42" s="52">
        <f t="shared" ca="1" si="8"/>
        <v>0</v>
      </c>
      <c r="N42" s="52">
        <f t="shared" ca="1" si="8"/>
        <v>0</v>
      </c>
      <c r="O42" s="52">
        <f t="shared" ca="1" si="8"/>
        <v>0</v>
      </c>
      <c r="P42" s="52">
        <f t="shared" ca="1" si="8"/>
        <v>0</v>
      </c>
      <c r="Q42" s="52">
        <f t="shared" ca="1" si="8"/>
        <v>0</v>
      </c>
      <c r="R42" s="52">
        <f t="shared" ca="1" si="8"/>
        <v>0</v>
      </c>
      <c r="S42" s="52">
        <f t="shared" ca="1" si="8"/>
        <v>0</v>
      </c>
      <c r="T42" s="52">
        <f t="shared" ca="1" si="8"/>
        <v>0</v>
      </c>
      <c r="U42" s="52">
        <f t="shared" ca="1" si="8"/>
        <v>0</v>
      </c>
      <c r="V42" s="52">
        <f t="shared" ca="1" si="8"/>
        <v>0</v>
      </c>
      <c r="W42" s="52">
        <f t="shared" ca="1" si="8"/>
        <v>0</v>
      </c>
      <c r="X42" s="52">
        <f t="shared" ca="1" si="8"/>
        <v>0</v>
      </c>
      <c r="Y42" s="52">
        <f t="shared" ca="1" si="8"/>
        <v>0</v>
      </c>
      <c r="Z42" s="52">
        <f t="shared" ca="1" si="8"/>
        <v>0</v>
      </c>
      <c r="AA42" s="52">
        <f t="shared" ca="1" si="8"/>
        <v>0</v>
      </c>
      <c r="AB42" s="52">
        <f t="shared" ca="1" si="8"/>
        <v>0</v>
      </c>
      <c r="AC42" s="52">
        <f t="shared" ca="1" si="8"/>
        <v>0</v>
      </c>
      <c r="AD42" s="52">
        <f t="shared" ca="1" si="8"/>
        <v>0</v>
      </c>
      <c r="AE42" s="52">
        <f t="shared" ca="1" si="8"/>
        <v>0</v>
      </c>
      <c r="AF42" s="52">
        <f t="shared" ca="1" si="8"/>
        <v>0</v>
      </c>
      <c r="AG42" s="52">
        <f t="shared" ca="1" si="8"/>
        <v>0</v>
      </c>
      <c r="AH42" s="52">
        <f t="shared" ca="1" si="8"/>
        <v>0</v>
      </c>
      <c r="AI42" s="52">
        <f t="shared" ca="1" si="8"/>
        <v>0</v>
      </c>
      <c r="AJ42" s="52">
        <f t="shared" ca="1" si="8"/>
        <v>0</v>
      </c>
      <c r="AK42" s="52">
        <f t="shared" ca="1" si="8"/>
        <v>0</v>
      </c>
      <c r="AL42" s="52">
        <f t="shared" ref="AL42:BM42" ca="1" si="9">IF(AL$6&gt;LeadM,New_0,0)</f>
        <v>0</v>
      </c>
      <c r="AM42" s="52">
        <f t="shared" ca="1" si="9"/>
        <v>0</v>
      </c>
      <c r="AN42" s="52">
        <f t="shared" ca="1" si="9"/>
        <v>0</v>
      </c>
      <c r="AO42" s="52">
        <f t="shared" ca="1" si="9"/>
        <v>0</v>
      </c>
      <c r="AP42" s="52">
        <f t="shared" ca="1" si="9"/>
        <v>0</v>
      </c>
      <c r="AQ42" s="52">
        <f t="shared" ca="1" si="9"/>
        <v>0</v>
      </c>
      <c r="AR42" s="52">
        <f t="shared" ca="1" si="9"/>
        <v>0</v>
      </c>
      <c r="AS42" s="52">
        <f t="shared" ca="1" si="9"/>
        <v>0</v>
      </c>
      <c r="AT42" s="52">
        <f t="shared" ca="1" si="9"/>
        <v>0</v>
      </c>
      <c r="AU42" s="52">
        <f t="shared" ca="1" si="9"/>
        <v>0</v>
      </c>
      <c r="AV42" s="52">
        <f t="shared" ca="1" si="9"/>
        <v>0</v>
      </c>
      <c r="AW42" s="52">
        <f t="shared" ca="1" si="9"/>
        <v>0</v>
      </c>
      <c r="AX42" s="52">
        <f t="shared" ca="1" si="9"/>
        <v>0</v>
      </c>
      <c r="AY42" s="52">
        <f t="shared" ca="1" si="9"/>
        <v>0</v>
      </c>
      <c r="AZ42" s="52">
        <f t="shared" ca="1" si="9"/>
        <v>0</v>
      </c>
      <c r="BA42" s="52">
        <f t="shared" ca="1" si="9"/>
        <v>0</v>
      </c>
      <c r="BB42" s="52">
        <f t="shared" ca="1" si="9"/>
        <v>0</v>
      </c>
      <c r="BC42" s="52">
        <f t="shared" ca="1" si="9"/>
        <v>0</v>
      </c>
      <c r="BD42" s="52">
        <f t="shared" ca="1" si="9"/>
        <v>0</v>
      </c>
      <c r="BE42" s="52">
        <f t="shared" ca="1" si="9"/>
        <v>0</v>
      </c>
      <c r="BF42" s="52">
        <f t="shared" ca="1" si="9"/>
        <v>0</v>
      </c>
      <c r="BG42" s="52">
        <f t="shared" ca="1" si="9"/>
        <v>0</v>
      </c>
      <c r="BH42" s="52">
        <f t="shared" ca="1" si="9"/>
        <v>0</v>
      </c>
      <c r="BI42" s="52">
        <f t="shared" ca="1" si="9"/>
        <v>0</v>
      </c>
      <c r="BJ42" s="52">
        <f t="shared" ca="1" si="9"/>
        <v>0</v>
      </c>
      <c r="BK42" s="52">
        <f t="shared" ca="1" si="9"/>
        <v>0</v>
      </c>
      <c r="BL42" s="52">
        <f t="shared" ca="1" si="9"/>
        <v>0</v>
      </c>
      <c r="BM42" s="52">
        <f t="shared" ca="1" si="9"/>
        <v>0</v>
      </c>
    </row>
    <row r="43" spans="2:65" x14ac:dyDescent="0.45">
      <c r="B43" s="25" t="s">
        <v>230</v>
      </c>
      <c r="C43" s="26" t="s">
        <v>143</v>
      </c>
      <c r="D43" s="28"/>
      <c r="E43" s="28"/>
      <c r="F43" s="52">
        <f t="shared" ref="F43:AK43" ca="1" si="10">Presses+F42</f>
        <v>4</v>
      </c>
      <c r="G43" s="52">
        <f t="shared" ca="1" si="10"/>
        <v>4</v>
      </c>
      <c r="H43" s="52">
        <f t="shared" ca="1" si="10"/>
        <v>4</v>
      </c>
      <c r="I43" s="52">
        <f t="shared" ca="1" si="10"/>
        <v>4</v>
      </c>
      <c r="J43" s="52">
        <f t="shared" ca="1" si="10"/>
        <v>4</v>
      </c>
      <c r="K43" s="52">
        <f t="shared" ca="1" si="10"/>
        <v>4</v>
      </c>
      <c r="L43" s="52">
        <f t="shared" ca="1" si="10"/>
        <v>4</v>
      </c>
      <c r="M43" s="52">
        <f t="shared" ca="1" si="10"/>
        <v>4</v>
      </c>
      <c r="N43" s="52">
        <f t="shared" ca="1" si="10"/>
        <v>4</v>
      </c>
      <c r="O43" s="52">
        <f t="shared" ca="1" si="10"/>
        <v>4</v>
      </c>
      <c r="P43" s="52">
        <f t="shared" ca="1" si="10"/>
        <v>4</v>
      </c>
      <c r="Q43" s="52">
        <f t="shared" ca="1" si="10"/>
        <v>4</v>
      </c>
      <c r="R43" s="52">
        <f t="shared" ca="1" si="10"/>
        <v>4</v>
      </c>
      <c r="S43" s="52">
        <f t="shared" ca="1" si="10"/>
        <v>4</v>
      </c>
      <c r="T43" s="52">
        <f t="shared" ca="1" si="10"/>
        <v>4</v>
      </c>
      <c r="U43" s="52">
        <f t="shared" ca="1" si="10"/>
        <v>4</v>
      </c>
      <c r="V43" s="52">
        <f t="shared" ca="1" si="10"/>
        <v>4</v>
      </c>
      <c r="W43" s="52">
        <f t="shared" ca="1" si="10"/>
        <v>4</v>
      </c>
      <c r="X43" s="52">
        <f t="shared" ca="1" si="10"/>
        <v>4</v>
      </c>
      <c r="Y43" s="52">
        <f t="shared" ca="1" si="10"/>
        <v>4</v>
      </c>
      <c r="Z43" s="52">
        <f t="shared" ca="1" si="10"/>
        <v>4</v>
      </c>
      <c r="AA43" s="52">
        <f t="shared" ca="1" si="10"/>
        <v>4</v>
      </c>
      <c r="AB43" s="52">
        <f t="shared" ca="1" si="10"/>
        <v>4</v>
      </c>
      <c r="AC43" s="52">
        <f t="shared" ca="1" si="10"/>
        <v>4</v>
      </c>
      <c r="AD43" s="52">
        <f t="shared" ca="1" si="10"/>
        <v>4</v>
      </c>
      <c r="AE43" s="52">
        <f t="shared" ca="1" si="10"/>
        <v>4</v>
      </c>
      <c r="AF43" s="52">
        <f t="shared" ca="1" si="10"/>
        <v>4</v>
      </c>
      <c r="AG43" s="52">
        <f t="shared" ca="1" si="10"/>
        <v>4</v>
      </c>
      <c r="AH43" s="52">
        <f t="shared" ca="1" si="10"/>
        <v>4</v>
      </c>
      <c r="AI43" s="52">
        <f t="shared" ca="1" si="10"/>
        <v>4</v>
      </c>
      <c r="AJ43" s="52">
        <f t="shared" ca="1" si="10"/>
        <v>4</v>
      </c>
      <c r="AK43" s="52">
        <f t="shared" ca="1" si="10"/>
        <v>4</v>
      </c>
      <c r="AL43" s="52">
        <f t="shared" ref="AL43:BQ43" ca="1" si="11">Presses+AL42</f>
        <v>4</v>
      </c>
      <c r="AM43" s="52">
        <f t="shared" ca="1" si="11"/>
        <v>4</v>
      </c>
      <c r="AN43" s="52">
        <f t="shared" ca="1" si="11"/>
        <v>4</v>
      </c>
      <c r="AO43" s="52">
        <f t="shared" ca="1" si="11"/>
        <v>4</v>
      </c>
      <c r="AP43" s="52">
        <f t="shared" ca="1" si="11"/>
        <v>4</v>
      </c>
      <c r="AQ43" s="52">
        <f t="shared" ca="1" si="11"/>
        <v>4</v>
      </c>
      <c r="AR43" s="52">
        <f t="shared" ca="1" si="11"/>
        <v>4</v>
      </c>
      <c r="AS43" s="52">
        <f t="shared" ca="1" si="11"/>
        <v>4</v>
      </c>
      <c r="AT43" s="52">
        <f t="shared" ca="1" si="11"/>
        <v>4</v>
      </c>
      <c r="AU43" s="52">
        <f t="shared" ca="1" si="11"/>
        <v>4</v>
      </c>
      <c r="AV43" s="52">
        <f t="shared" ca="1" si="11"/>
        <v>4</v>
      </c>
      <c r="AW43" s="52">
        <f t="shared" ca="1" si="11"/>
        <v>4</v>
      </c>
      <c r="AX43" s="52">
        <f t="shared" ca="1" si="11"/>
        <v>4</v>
      </c>
      <c r="AY43" s="52">
        <f t="shared" ca="1" si="11"/>
        <v>4</v>
      </c>
      <c r="AZ43" s="52">
        <f t="shared" ca="1" si="11"/>
        <v>4</v>
      </c>
      <c r="BA43" s="52">
        <f t="shared" ca="1" si="11"/>
        <v>4</v>
      </c>
      <c r="BB43" s="52">
        <f t="shared" ca="1" si="11"/>
        <v>4</v>
      </c>
      <c r="BC43" s="52">
        <f t="shared" ca="1" si="11"/>
        <v>4</v>
      </c>
      <c r="BD43" s="52">
        <f t="shared" ca="1" si="11"/>
        <v>4</v>
      </c>
      <c r="BE43" s="52">
        <f t="shared" ca="1" si="11"/>
        <v>4</v>
      </c>
      <c r="BF43" s="52">
        <f t="shared" ca="1" si="11"/>
        <v>4</v>
      </c>
      <c r="BG43" s="52">
        <f t="shared" ca="1" si="11"/>
        <v>4</v>
      </c>
      <c r="BH43" s="52">
        <f t="shared" ca="1" si="11"/>
        <v>4</v>
      </c>
      <c r="BI43" s="52">
        <f t="shared" ca="1" si="11"/>
        <v>4</v>
      </c>
      <c r="BJ43" s="52">
        <f t="shared" ca="1" si="11"/>
        <v>4</v>
      </c>
      <c r="BK43" s="52">
        <f t="shared" ca="1" si="11"/>
        <v>4</v>
      </c>
      <c r="BL43" s="52">
        <f t="shared" ca="1" si="11"/>
        <v>4</v>
      </c>
      <c r="BM43" s="52">
        <f t="shared" ca="1" si="11"/>
        <v>4</v>
      </c>
    </row>
    <row r="44" spans="2:65" x14ac:dyDescent="0.45">
      <c r="B44" s="25" t="s">
        <v>231</v>
      </c>
      <c r="C44" s="26" t="s">
        <v>201</v>
      </c>
      <c r="D44" s="28"/>
      <c r="E44" s="28"/>
      <c r="F44" s="42">
        <f t="shared" ref="F44:AK44" ca="1" si="12">F43*PressRate*F25</f>
        <v>80.124886694610183</v>
      </c>
      <c r="G44" s="42">
        <f t="shared" ca="1" si="12"/>
        <v>79.14931051550758</v>
      </c>
      <c r="H44" s="42">
        <f t="shared" ca="1" si="12"/>
        <v>84.200681683981671</v>
      </c>
      <c r="I44" s="42">
        <f t="shared" ca="1" si="12"/>
        <v>80.737153669729338</v>
      </c>
      <c r="J44" s="42">
        <f t="shared" ca="1" si="12"/>
        <v>79.213241678328799</v>
      </c>
      <c r="K44" s="42">
        <f t="shared" ca="1" si="12"/>
        <v>82.502535811334667</v>
      </c>
      <c r="L44" s="42">
        <f t="shared" ca="1" si="12"/>
        <v>81.000866232631282</v>
      </c>
      <c r="M44" s="42">
        <f t="shared" ca="1" si="12"/>
        <v>84.13480162181574</v>
      </c>
      <c r="N44" s="42">
        <f t="shared" ca="1" si="12"/>
        <v>81.633324156914625</v>
      </c>
      <c r="O44" s="42">
        <f t="shared" ca="1" si="12"/>
        <v>77.786672282444229</v>
      </c>
      <c r="P44" s="42">
        <f t="shared" ca="1" si="12"/>
        <v>79.546161423844978</v>
      </c>
      <c r="Q44" s="42">
        <f t="shared" ca="1" si="12"/>
        <v>80.674650464817972</v>
      </c>
      <c r="R44" s="42">
        <f t="shared" ca="1" si="12"/>
        <v>74.725208070733785</v>
      </c>
      <c r="S44" s="42">
        <f t="shared" ca="1" si="12"/>
        <v>82.916957665246315</v>
      </c>
      <c r="T44" s="42">
        <f t="shared" ca="1" si="12"/>
        <v>79.465907918097059</v>
      </c>
      <c r="U44" s="42">
        <f t="shared" ca="1" si="12"/>
        <v>77.16805873553335</v>
      </c>
      <c r="V44" s="42">
        <f t="shared" ca="1" si="12"/>
        <v>76.0084404769553</v>
      </c>
      <c r="W44" s="42">
        <f t="shared" ca="1" si="12"/>
        <v>79.977429706029596</v>
      </c>
      <c r="X44" s="42">
        <f t="shared" ca="1" si="12"/>
        <v>81.825796691504024</v>
      </c>
      <c r="Y44" s="42">
        <f t="shared" ca="1" si="12"/>
        <v>81.546971513923779</v>
      </c>
      <c r="Z44" s="42">
        <f t="shared" ca="1" si="12"/>
        <v>79.666855229800305</v>
      </c>
      <c r="AA44" s="42">
        <f t="shared" ca="1" si="12"/>
        <v>79.508825587035176</v>
      </c>
      <c r="AB44" s="42">
        <f t="shared" ca="1" si="12"/>
        <v>83.934473946839844</v>
      </c>
      <c r="AC44" s="42">
        <f t="shared" ca="1" si="12"/>
        <v>79.019106518753716</v>
      </c>
      <c r="AD44" s="42">
        <f t="shared" ca="1" si="12"/>
        <v>82.965826419217279</v>
      </c>
      <c r="AE44" s="42">
        <f t="shared" ca="1" si="12"/>
        <v>78.677385587118252</v>
      </c>
      <c r="AF44" s="42">
        <f t="shared" ca="1" si="12"/>
        <v>77.500996924837935</v>
      </c>
      <c r="AG44" s="42">
        <f t="shared" ca="1" si="12"/>
        <v>81.35811458542797</v>
      </c>
      <c r="AH44" s="42">
        <f t="shared" ca="1" si="12"/>
        <v>83.817637279022719</v>
      </c>
      <c r="AI44" s="42">
        <f t="shared" ca="1" si="12"/>
        <v>78.617902011803636</v>
      </c>
      <c r="AJ44" s="42">
        <f t="shared" ca="1" si="12"/>
        <v>78.427020814381294</v>
      </c>
      <c r="AK44" s="42">
        <f t="shared" ca="1" si="12"/>
        <v>81.562982829748876</v>
      </c>
      <c r="AL44" s="42">
        <f t="shared" ref="AL44:BQ44" ca="1" si="13">AL43*PressRate*AL25</f>
        <v>80.856797249762323</v>
      </c>
      <c r="AM44" s="42">
        <f t="shared" ca="1" si="13"/>
        <v>82.54951207360682</v>
      </c>
      <c r="AN44" s="42">
        <f t="shared" ca="1" si="13"/>
        <v>82.940032130670417</v>
      </c>
      <c r="AO44" s="42">
        <f t="shared" ca="1" si="13"/>
        <v>81.984423073596432</v>
      </c>
      <c r="AP44" s="42">
        <f t="shared" ca="1" si="13"/>
        <v>80.191676309178135</v>
      </c>
      <c r="AQ44" s="42">
        <f t="shared" ca="1" si="13"/>
        <v>77.51083105509376</v>
      </c>
      <c r="AR44" s="42">
        <f t="shared" ca="1" si="13"/>
        <v>80.144008225737139</v>
      </c>
      <c r="AS44" s="42">
        <f t="shared" ca="1" si="13"/>
        <v>74.405149562365054</v>
      </c>
      <c r="AT44" s="42">
        <f t="shared" ca="1" si="13"/>
        <v>83.628974228685294</v>
      </c>
      <c r="AU44" s="42">
        <f t="shared" ca="1" si="13"/>
        <v>80.206082279276643</v>
      </c>
      <c r="AV44" s="42">
        <f t="shared" ca="1" si="13"/>
        <v>78.263368492372479</v>
      </c>
      <c r="AW44" s="42">
        <f t="shared" ca="1" si="13"/>
        <v>82.336513775140631</v>
      </c>
      <c r="AX44" s="42">
        <f t="shared" ca="1" si="13"/>
        <v>81.588046291498856</v>
      </c>
      <c r="AY44" s="42">
        <f t="shared" ca="1" si="13"/>
        <v>80.245977701901637</v>
      </c>
      <c r="AZ44" s="42">
        <f t="shared" ca="1" si="13"/>
        <v>74.994603914731755</v>
      </c>
      <c r="BA44" s="42">
        <f t="shared" ca="1" si="13"/>
        <v>78.406086245234462</v>
      </c>
      <c r="BB44" s="42">
        <f t="shared" ca="1" si="13"/>
        <v>76.910905970579464</v>
      </c>
      <c r="BC44" s="42">
        <f t="shared" ca="1" si="13"/>
        <v>81.052758196074194</v>
      </c>
      <c r="BD44" s="42">
        <f t="shared" ca="1" si="13"/>
        <v>80.156382368549856</v>
      </c>
      <c r="BE44" s="42">
        <f t="shared" ca="1" si="13"/>
        <v>79.021624441794685</v>
      </c>
      <c r="BF44" s="42">
        <f t="shared" ca="1" si="13"/>
        <v>75.693881733795038</v>
      </c>
      <c r="BG44" s="42">
        <f t="shared" ca="1" si="13"/>
        <v>77.128878747866096</v>
      </c>
      <c r="BH44" s="42">
        <f t="shared" ca="1" si="13"/>
        <v>78.977642790205167</v>
      </c>
      <c r="BI44" s="42">
        <f t="shared" ca="1" si="13"/>
        <v>82.082057253892529</v>
      </c>
      <c r="BJ44" s="42">
        <f t="shared" ca="1" si="13"/>
        <v>79.988003811609772</v>
      </c>
      <c r="BK44" s="42">
        <f t="shared" ca="1" si="13"/>
        <v>73.40359645811688</v>
      </c>
      <c r="BL44" s="42">
        <f t="shared" ca="1" si="13"/>
        <v>79.213812182784437</v>
      </c>
      <c r="BM44" s="42">
        <f t="shared" ca="1" si="13"/>
        <v>80.188352318939764</v>
      </c>
    </row>
    <row r="45" spans="2:65" x14ac:dyDescent="0.45">
      <c r="B45" s="25" t="s">
        <v>232</v>
      </c>
      <c r="C45" s="26" t="s">
        <v>201</v>
      </c>
      <c r="D45" s="58">
        <f ca="1">SUM(F45:BM45)</f>
        <v>4697.9634682704082</v>
      </c>
      <c r="E45" s="28"/>
      <c r="F45" s="42">
        <f t="shared" ref="F45:AK45" ca="1" si="14">MIN(F21,F44)</f>
        <v>68.290595695396206</v>
      </c>
      <c r="G45" s="42">
        <f t="shared" ca="1" si="14"/>
        <v>65.692994202387496</v>
      </c>
      <c r="H45" s="42">
        <f t="shared" ca="1" si="14"/>
        <v>72.268129370746678</v>
      </c>
      <c r="I45" s="42">
        <f t="shared" ca="1" si="14"/>
        <v>77.243553565078926</v>
      </c>
      <c r="J45" s="42">
        <f t="shared" ca="1" si="14"/>
        <v>79.213241678328799</v>
      </c>
      <c r="K45" s="42">
        <f t="shared" ca="1" si="14"/>
        <v>82.502535811334667</v>
      </c>
      <c r="L45" s="42">
        <f t="shared" ca="1" si="14"/>
        <v>81.000866232631282</v>
      </c>
      <c r="M45" s="42">
        <f t="shared" ca="1" si="14"/>
        <v>77.379524838997042</v>
      </c>
      <c r="N45" s="42">
        <f t="shared" ca="1" si="14"/>
        <v>74.586918691012855</v>
      </c>
      <c r="O45" s="42">
        <f t="shared" ca="1" si="14"/>
        <v>74.122158261100623</v>
      </c>
      <c r="P45" s="42">
        <f t="shared" ca="1" si="14"/>
        <v>72.883368998373925</v>
      </c>
      <c r="Q45" s="42">
        <f t="shared" ca="1" si="14"/>
        <v>67.808823720456559</v>
      </c>
      <c r="R45" s="42">
        <f t="shared" ca="1" si="14"/>
        <v>70.090750096157066</v>
      </c>
      <c r="S45" s="42">
        <f t="shared" ca="1" si="14"/>
        <v>73.703218832637063</v>
      </c>
      <c r="T45" s="42">
        <f t="shared" ca="1" si="14"/>
        <v>79.465907918097059</v>
      </c>
      <c r="U45" s="42">
        <f t="shared" ca="1" si="14"/>
        <v>77.16805873553335</v>
      </c>
      <c r="V45" s="42">
        <f t="shared" ca="1" si="14"/>
        <v>76.0084404769553</v>
      </c>
      <c r="W45" s="42">
        <f t="shared" ca="1" si="14"/>
        <v>79.977429706029596</v>
      </c>
      <c r="X45" s="42">
        <f t="shared" ca="1" si="14"/>
        <v>81.825796691504024</v>
      </c>
      <c r="Y45" s="42">
        <f t="shared" ca="1" si="14"/>
        <v>81.546971513923779</v>
      </c>
      <c r="Z45" s="42">
        <f t="shared" ca="1" si="14"/>
        <v>79.666855229800305</v>
      </c>
      <c r="AA45" s="42">
        <f t="shared" ca="1" si="14"/>
        <v>79.508825587035176</v>
      </c>
      <c r="AB45" s="42">
        <f t="shared" ca="1" si="14"/>
        <v>83.934473946839844</v>
      </c>
      <c r="AC45" s="42">
        <f t="shared" ca="1" si="14"/>
        <v>79.019106518753716</v>
      </c>
      <c r="AD45" s="42">
        <f t="shared" ca="1" si="14"/>
        <v>79.022903035896093</v>
      </c>
      <c r="AE45" s="42">
        <f t="shared" ca="1" si="14"/>
        <v>78.677385587118252</v>
      </c>
      <c r="AF45" s="42">
        <f t="shared" ca="1" si="14"/>
        <v>77.500996924837935</v>
      </c>
      <c r="AG45" s="42">
        <f t="shared" ca="1" si="14"/>
        <v>81.35811458542797</v>
      </c>
      <c r="AH45" s="42">
        <f t="shared" ca="1" si="14"/>
        <v>83.817637279022719</v>
      </c>
      <c r="AI45" s="42">
        <f t="shared" ca="1" si="14"/>
        <v>78.617902011803636</v>
      </c>
      <c r="AJ45" s="42">
        <f t="shared" ca="1" si="14"/>
        <v>78.427020814381294</v>
      </c>
      <c r="AK45" s="42">
        <f t="shared" ca="1" si="14"/>
        <v>81.562982829748876</v>
      </c>
      <c r="AL45" s="42">
        <f t="shared" ref="AL45:BQ45" ca="1" si="15">MIN(AL21,AL44)</f>
        <v>80.856797249762323</v>
      </c>
      <c r="AM45" s="42">
        <f t="shared" ca="1" si="15"/>
        <v>82.54951207360682</v>
      </c>
      <c r="AN45" s="42">
        <f t="shared" ca="1" si="15"/>
        <v>82.940032130670417</v>
      </c>
      <c r="AO45" s="42">
        <f t="shared" ca="1" si="15"/>
        <v>81.984423073596432</v>
      </c>
      <c r="AP45" s="42">
        <f t="shared" ca="1" si="15"/>
        <v>80.191676309178135</v>
      </c>
      <c r="AQ45" s="42">
        <f t="shared" ca="1" si="15"/>
        <v>77.51083105509376</v>
      </c>
      <c r="AR45" s="42">
        <f t="shared" ca="1" si="15"/>
        <v>80.144008225737139</v>
      </c>
      <c r="AS45" s="42">
        <f t="shared" ca="1" si="15"/>
        <v>74.405149562365054</v>
      </c>
      <c r="AT45" s="42">
        <f t="shared" ca="1" si="15"/>
        <v>83.628974228685294</v>
      </c>
      <c r="AU45" s="42">
        <f t="shared" ca="1" si="15"/>
        <v>80.206082279276643</v>
      </c>
      <c r="AV45" s="42">
        <f t="shared" ca="1" si="15"/>
        <v>78.263368492372479</v>
      </c>
      <c r="AW45" s="42">
        <f t="shared" ca="1" si="15"/>
        <v>82.336513775140631</v>
      </c>
      <c r="AX45" s="42">
        <f t="shared" ca="1" si="15"/>
        <v>81.588046291498856</v>
      </c>
      <c r="AY45" s="42">
        <f t="shared" ca="1" si="15"/>
        <v>80.245977701901637</v>
      </c>
      <c r="AZ45" s="42">
        <f t="shared" ca="1" si="15"/>
        <v>74.994603914731755</v>
      </c>
      <c r="BA45" s="42">
        <f t="shared" ca="1" si="15"/>
        <v>78.406086245234462</v>
      </c>
      <c r="BB45" s="42">
        <f t="shared" ca="1" si="15"/>
        <v>76.910905970579464</v>
      </c>
      <c r="BC45" s="42">
        <f t="shared" ca="1" si="15"/>
        <v>81.052758196074194</v>
      </c>
      <c r="BD45" s="42">
        <f t="shared" ca="1" si="15"/>
        <v>80.156382368549856</v>
      </c>
      <c r="BE45" s="42">
        <f t="shared" ca="1" si="15"/>
        <v>79.021624441794685</v>
      </c>
      <c r="BF45" s="42">
        <f t="shared" ca="1" si="15"/>
        <v>75.693881733795038</v>
      </c>
      <c r="BG45" s="42">
        <f t="shared" ca="1" si="15"/>
        <v>77.128878747866096</v>
      </c>
      <c r="BH45" s="42">
        <f t="shared" ca="1" si="15"/>
        <v>78.977642790205167</v>
      </c>
      <c r="BI45" s="42">
        <f t="shared" ca="1" si="15"/>
        <v>82.082057253892529</v>
      </c>
      <c r="BJ45" s="42">
        <f t="shared" ca="1" si="15"/>
        <v>79.988003811609772</v>
      </c>
      <c r="BK45" s="42">
        <f t="shared" ca="1" si="15"/>
        <v>73.40359645811688</v>
      </c>
      <c r="BL45" s="42">
        <f t="shared" ca="1" si="15"/>
        <v>79.213812182784437</v>
      </c>
      <c r="BM45" s="42">
        <f t="shared" ca="1" si="15"/>
        <v>80.188352318939764</v>
      </c>
    </row>
    <row r="46" spans="2:65" x14ac:dyDescent="0.45">
      <c r="B46" s="25" t="s">
        <v>233</v>
      </c>
      <c r="C46" s="26" t="s">
        <v>201</v>
      </c>
      <c r="D46" s="58">
        <f ca="1">SUM(F46:BM46)</f>
        <v>1331.0805014421874</v>
      </c>
      <c r="E46" s="28"/>
      <c r="F46" s="42">
        <f t="shared" ref="F46:AK46" ca="1" si="16">F21-F45</f>
        <v>0</v>
      </c>
      <c r="G46" s="42">
        <f t="shared" ca="1" si="16"/>
        <v>0</v>
      </c>
      <c r="H46" s="42">
        <f t="shared" ca="1" si="16"/>
        <v>0</v>
      </c>
      <c r="I46" s="42">
        <f t="shared" ca="1" si="16"/>
        <v>0</v>
      </c>
      <c r="J46" s="42">
        <f t="shared" ca="1" si="16"/>
        <v>3.9552371576258309</v>
      </c>
      <c r="K46" s="42">
        <f t="shared" ca="1" si="16"/>
        <v>2.3603071170632006</v>
      </c>
      <c r="L46" s="42">
        <f t="shared" ca="1" si="16"/>
        <v>5.2941820755324613</v>
      </c>
      <c r="M46" s="42">
        <f t="shared" ca="1" si="16"/>
        <v>0</v>
      </c>
      <c r="N46" s="42">
        <f t="shared" ca="1" si="16"/>
        <v>0</v>
      </c>
      <c r="O46" s="42">
        <f t="shared" ca="1" si="16"/>
        <v>0</v>
      </c>
      <c r="P46" s="42">
        <f t="shared" ca="1" si="16"/>
        <v>0</v>
      </c>
      <c r="Q46" s="42">
        <f t="shared" ca="1" si="16"/>
        <v>0</v>
      </c>
      <c r="R46" s="42">
        <f t="shared" ca="1" si="16"/>
        <v>0</v>
      </c>
      <c r="S46" s="42">
        <f t="shared" ca="1" si="16"/>
        <v>0</v>
      </c>
      <c r="T46" s="42">
        <f t="shared" ca="1" si="16"/>
        <v>3.7246645578280067</v>
      </c>
      <c r="U46" s="42">
        <f t="shared" ca="1" si="16"/>
        <v>10.631330276853802</v>
      </c>
      <c r="V46" s="42">
        <f t="shared" ca="1" si="16"/>
        <v>17.333554291828378</v>
      </c>
      <c r="W46" s="42">
        <f t="shared" ca="1" si="16"/>
        <v>21.991729506182665</v>
      </c>
      <c r="X46" s="42">
        <f t="shared" ca="1" si="16"/>
        <v>13.699372924307923</v>
      </c>
      <c r="Y46" s="42">
        <f t="shared" ca="1" si="16"/>
        <v>10.585499793644345</v>
      </c>
      <c r="Z46" s="42">
        <f t="shared" ca="1" si="16"/>
        <v>5.0343861809559485</v>
      </c>
      <c r="AA46" s="42">
        <f t="shared" ca="1" si="16"/>
        <v>4.7062321552487276</v>
      </c>
      <c r="AB46" s="42">
        <f t="shared" ca="1" si="16"/>
        <v>1.7674265511755038</v>
      </c>
      <c r="AC46" s="42">
        <f t="shared" ca="1" si="16"/>
        <v>2.1690784461565329</v>
      </c>
      <c r="AD46" s="42">
        <f t="shared" ca="1" si="16"/>
        <v>0</v>
      </c>
      <c r="AE46" s="42">
        <f t="shared" ca="1" si="16"/>
        <v>2.8866865176643444</v>
      </c>
      <c r="AF46" s="42">
        <f t="shared" ca="1" si="16"/>
        <v>15.586746224612227</v>
      </c>
      <c r="AG46" s="42">
        <f t="shared" ca="1" si="16"/>
        <v>18.276163174068245</v>
      </c>
      <c r="AH46" s="42">
        <f t="shared" ca="1" si="16"/>
        <v>26.117764501928178</v>
      </c>
      <c r="AI46" s="42">
        <f t="shared" ca="1" si="16"/>
        <v>37.615647139634675</v>
      </c>
      <c r="AJ46" s="42">
        <f t="shared" ca="1" si="16"/>
        <v>38.155908385726505</v>
      </c>
      <c r="AK46" s="42">
        <f t="shared" ca="1" si="16"/>
        <v>28.255712750146685</v>
      </c>
      <c r="AL46" s="42">
        <f t="shared" ref="AL46:BQ46" ca="1" si="17">AL21-AL45</f>
        <v>29.577888672249159</v>
      </c>
      <c r="AM46" s="42">
        <f t="shared" ca="1" si="17"/>
        <v>32.55627155514442</v>
      </c>
      <c r="AN46" s="42">
        <f t="shared" ca="1" si="17"/>
        <v>36.448359077252604</v>
      </c>
      <c r="AO46" s="42">
        <f t="shared" ca="1" si="17"/>
        <v>26.027910485892932</v>
      </c>
      <c r="AP46" s="42">
        <f t="shared" ca="1" si="17"/>
        <v>21.865170523651429</v>
      </c>
      <c r="AQ46" s="42">
        <f t="shared" ca="1" si="17"/>
        <v>29.732343245657347</v>
      </c>
      <c r="AR46" s="42">
        <f t="shared" ca="1" si="17"/>
        <v>36.214896099522136</v>
      </c>
      <c r="AS46" s="42">
        <f t="shared" ca="1" si="17"/>
        <v>48.026443268582156</v>
      </c>
      <c r="AT46" s="42">
        <f t="shared" ca="1" si="17"/>
        <v>36.913509850134645</v>
      </c>
      <c r="AU46" s="42">
        <f t="shared" ca="1" si="17"/>
        <v>40.578692491591255</v>
      </c>
      <c r="AV46" s="42">
        <f t="shared" ca="1" si="17"/>
        <v>42.676523955235368</v>
      </c>
      <c r="AW46" s="42">
        <f t="shared" ca="1" si="17"/>
        <v>37.873982868751114</v>
      </c>
      <c r="AX46" s="42">
        <f t="shared" ca="1" si="17"/>
        <v>36.923430946402718</v>
      </c>
      <c r="AY46" s="42">
        <f t="shared" ca="1" si="17"/>
        <v>33.350410209712493</v>
      </c>
      <c r="AZ46" s="42">
        <f t="shared" ca="1" si="17"/>
        <v>37.935815148741312</v>
      </c>
      <c r="BA46" s="42">
        <f t="shared" ca="1" si="17"/>
        <v>27.052904220349163</v>
      </c>
      <c r="BB46" s="42">
        <f t="shared" ca="1" si="17"/>
        <v>25.17402381592423</v>
      </c>
      <c r="BC46" s="42">
        <f t="shared" ca="1" si="17"/>
        <v>25.838542500771055</v>
      </c>
      <c r="BD46" s="42">
        <f t="shared" ca="1" si="17"/>
        <v>35.089216193237917</v>
      </c>
      <c r="BE46" s="42">
        <f t="shared" ca="1" si="17"/>
        <v>40.038156292924626</v>
      </c>
      <c r="BF46" s="42">
        <f t="shared" ca="1" si="17"/>
        <v>54.904018599723216</v>
      </c>
      <c r="BG46" s="42">
        <f t="shared" ca="1" si="17"/>
        <v>59.956019262926461</v>
      </c>
      <c r="BH46" s="42">
        <f t="shared" ca="1" si="17"/>
        <v>51.372231431106329</v>
      </c>
      <c r="BI46" s="42">
        <f t="shared" ca="1" si="17"/>
        <v>41.84780209669448</v>
      </c>
      <c r="BJ46" s="42">
        <f t="shared" ca="1" si="17"/>
        <v>46.360663414187428</v>
      </c>
      <c r="BK46" s="42">
        <f t="shared" ca="1" si="17"/>
        <v>49.875645222356738</v>
      </c>
      <c r="BL46" s="42">
        <f t="shared" ca="1" si="17"/>
        <v>44.602557323370533</v>
      </c>
      <c r="BM46" s="42">
        <f t="shared" ca="1" si="17"/>
        <v>32.119442941909881</v>
      </c>
    </row>
    <row r="47" spans="2:65" x14ac:dyDescent="0.45">
      <c r="B47" s="25" t="s">
        <v>234</v>
      </c>
      <c r="C47" s="26" t="s">
        <v>201</v>
      </c>
      <c r="D47" s="58">
        <f ca="1">SUM(F47:BM47)</f>
        <v>342.08633380447344</v>
      </c>
      <c r="E47" s="28"/>
      <c r="F47" s="42">
        <f t="shared" ref="F47:AK47" ca="1" si="18">MIN(F46,OTMax*F44)</f>
        <v>0</v>
      </c>
      <c r="G47" s="42">
        <f t="shared" ca="1" si="18"/>
        <v>0</v>
      </c>
      <c r="H47" s="42">
        <f t="shared" ca="1" si="18"/>
        <v>0</v>
      </c>
      <c r="I47" s="42">
        <f t="shared" ca="1" si="18"/>
        <v>0</v>
      </c>
      <c r="J47" s="42">
        <f t="shared" ca="1" si="18"/>
        <v>3.9552371576258309</v>
      </c>
      <c r="K47" s="42">
        <f t="shared" ca="1" si="18"/>
        <v>2.3603071170632006</v>
      </c>
      <c r="L47" s="42">
        <f t="shared" ca="1" si="18"/>
        <v>5.2941820755324613</v>
      </c>
      <c r="M47" s="42">
        <f t="shared" ca="1" si="18"/>
        <v>0</v>
      </c>
      <c r="N47" s="42">
        <f t="shared" ca="1" si="18"/>
        <v>0</v>
      </c>
      <c r="O47" s="42">
        <f t="shared" ca="1" si="18"/>
        <v>0</v>
      </c>
      <c r="P47" s="42">
        <f t="shared" ca="1" si="18"/>
        <v>0</v>
      </c>
      <c r="Q47" s="42">
        <f t="shared" ca="1" si="18"/>
        <v>0</v>
      </c>
      <c r="R47" s="42">
        <f t="shared" ca="1" si="18"/>
        <v>0</v>
      </c>
      <c r="S47" s="42">
        <f t="shared" ca="1" si="18"/>
        <v>0</v>
      </c>
      <c r="T47" s="42">
        <f t="shared" ca="1" si="18"/>
        <v>3.7246645578280067</v>
      </c>
      <c r="U47" s="42">
        <f t="shared" ca="1" si="18"/>
        <v>7.7168058735533354</v>
      </c>
      <c r="V47" s="42">
        <f t="shared" ca="1" si="18"/>
        <v>7.6008440476955306</v>
      </c>
      <c r="W47" s="42">
        <f t="shared" ca="1" si="18"/>
        <v>7.9977429706029604</v>
      </c>
      <c r="X47" s="42">
        <f t="shared" ca="1" si="18"/>
        <v>8.1825796691504031</v>
      </c>
      <c r="Y47" s="42">
        <f t="shared" ca="1" si="18"/>
        <v>8.1546971513923783</v>
      </c>
      <c r="Z47" s="42">
        <f t="shared" ca="1" si="18"/>
        <v>5.0343861809559485</v>
      </c>
      <c r="AA47" s="42">
        <f t="shared" ca="1" si="18"/>
        <v>4.7062321552487276</v>
      </c>
      <c r="AB47" s="42">
        <f t="shared" ca="1" si="18"/>
        <v>1.7674265511755038</v>
      </c>
      <c r="AC47" s="42">
        <f t="shared" ca="1" si="18"/>
        <v>2.1690784461565329</v>
      </c>
      <c r="AD47" s="42">
        <f t="shared" ca="1" si="18"/>
        <v>0</v>
      </c>
      <c r="AE47" s="42">
        <f t="shared" ca="1" si="18"/>
        <v>2.8866865176643444</v>
      </c>
      <c r="AF47" s="42">
        <f t="shared" ca="1" si="18"/>
        <v>7.7500996924837935</v>
      </c>
      <c r="AG47" s="42">
        <f t="shared" ca="1" si="18"/>
        <v>8.135811458542797</v>
      </c>
      <c r="AH47" s="42">
        <f t="shared" ca="1" si="18"/>
        <v>8.381763727902273</v>
      </c>
      <c r="AI47" s="42">
        <f t="shared" ca="1" si="18"/>
        <v>7.861790201180364</v>
      </c>
      <c r="AJ47" s="42">
        <f t="shared" ca="1" si="18"/>
        <v>7.8427020814381301</v>
      </c>
      <c r="AK47" s="42">
        <f t="shared" ca="1" si="18"/>
        <v>8.1562982829748876</v>
      </c>
      <c r="AL47" s="42">
        <f t="shared" ref="AL47:BQ47" ca="1" si="19">MIN(AL46,OTMax*AL44)</f>
        <v>8.0856797249762327</v>
      </c>
      <c r="AM47" s="42">
        <f t="shared" ca="1" si="19"/>
        <v>8.2549512073606817</v>
      </c>
      <c r="AN47" s="42">
        <f t="shared" ca="1" si="19"/>
        <v>8.2940032130670414</v>
      </c>
      <c r="AO47" s="42">
        <f t="shared" ca="1" si="19"/>
        <v>8.1984423073596435</v>
      </c>
      <c r="AP47" s="42">
        <f t="shared" ca="1" si="19"/>
        <v>8.0191676309178135</v>
      </c>
      <c r="AQ47" s="42">
        <f t="shared" ca="1" si="19"/>
        <v>7.7510831055093767</v>
      </c>
      <c r="AR47" s="42">
        <f t="shared" ca="1" si="19"/>
        <v>8.0144008225737142</v>
      </c>
      <c r="AS47" s="42">
        <f t="shared" ca="1" si="19"/>
        <v>7.4405149562365054</v>
      </c>
      <c r="AT47" s="42">
        <f t="shared" ca="1" si="19"/>
        <v>8.3628974228685298</v>
      </c>
      <c r="AU47" s="42">
        <f t="shared" ca="1" si="19"/>
        <v>8.0206082279276654</v>
      </c>
      <c r="AV47" s="42">
        <f t="shared" ca="1" si="19"/>
        <v>7.826336849237248</v>
      </c>
      <c r="AW47" s="42">
        <f t="shared" ca="1" si="19"/>
        <v>8.2336513775140627</v>
      </c>
      <c r="AX47" s="42">
        <f t="shared" ca="1" si="19"/>
        <v>8.1588046291498859</v>
      </c>
      <c r="AY47" s="42">
        <f t="shared" ca="1" si="19"/>
        <v>8.0245977701901641</v>
      </c>
      <c r="AZ47" s="42">
        <f t="shared" ca="1" si="19"/>
        <v>7.4994603914731757</v>
      </c>
      <c r="BA47" s="42">
        <f t="shared" ca="1" si="19"/>
        <v>7.8406086245234468</v>
      </c>
      <c r="BB47" s="42">
        <f t="shared" ca="1" si="19"/>
        <v>7.6910905970579471</v>
      </c>
      <c r="BC47" s="42">
        <f t="shared" ca="1" si="19"/>
        <v>8.1052758196074191</v>
      </c>
      <c r="BD47" s="42">
        <f t="shared" ca="1" si="19"/>
        <v>8.0156382368549863</v>
      </c>
      <c r="BE47" s="42">
        <f t="shared" ca="1" si="19"/>
        <v>7.9021624441794689</v>
      </c>
      <c r="BF47" s="42">
        <f t="shared" ca="1" si="19"/>
        <v>7.5693881733795045</v>
      </c>
      <c r="BG47" s="42">
        <f t="shared" ca="1" si="19"/>
        <v>7.7128878747866096</v>
      </c>
      <c r="BH47" s="42">
        <f t="shared" ca="1" si="19"/>
        <v>7.8977642790205174</v>
      </c>
      <c r="BI47" s="42">
        <f t="shared" ca="1" si="19"/>
        <v>8.208205725389254</v>
      </c>
      <c r="BJ47" s="42">
        <f t="shared" ca="1" si="19"/>
        <v>7.9988003811609776</v>
      </c>
      <c r="BK47" s="42">
        <f t="shared" ca="1" si="19"/>
        <v>7.340359645811688</v>
      </c>
      <c r="BL47" s="42">
        <f t="shared" ca="1" si="19"/>
        <v>7.9213812182784444</v>
      </c>
      <c r="BM47" s="42">
        <f t="shared" ca="1" si="19"/>
        <v>8.0188352318939771</v>
      </c>
    </row>
    <row r="48" spans="2:65" x14ac:dyDescent="0.45">
      <c r="B48" s="25" t="s">
        <v>235</v>
      </c>
      <c r="C48" s="26" t="s">
        <v>201</v>
      </c>
      <c r="D48" s="58">
        <f ca="1">SUM(F48:BM48)</f>
        <v>368.43147707697125</v>
      </c>
      <c r="E48" s="28"/>
      <c r="F48" s="42">
        <f t="shared" ref="F48:AK48" ca="1" si="20">MIN(F46-F47,SubMax)</f>
        <v>0</v>
      </c>
      <c r="G48" s="42">
        <f t="shared" ca="1" si="20"/>
        <v>0</v>
      </c>
      <c r="H48" s="42">
        <f t="shared" ca="1" si="20"/>
        <v>0</v>
      </c>
      <c r="I48" s="42">
        <f t="shared" ca="1" si="20"/>
        <v>0</v>
      </c>
      <c r="J48" s="42">
        <f t="shared" ca="1" si="20"/>
        <v>0</v>
      </c>
      <c r="K48" s="42">
        <f t="shared" ca="1" si="20"/>
        <v>0</v>
      </c>
      <c r="L48" s="42">
        <f t="shared" ca="1" si="20"/>
        <v>0</v>
      </c>
      <c r="M48" s="42">
        <f t="shared" ca="1" si="20"/>
        <v>0</v>
      </c>
      <c r="N48" s="42">
        <f t="shared" ca="1" si="20"/>
        <v>0</v>
      </c>
      <c r="O48" s="42">
        <f t="shared" ca="1" si="20"/>
        <v>0</v>
      </c>
      <c r="P48" s="42">
        <f t="shared" ca="1" si="20"/>
        <v>0</v>
      </c>
      <c r="Q48" s="42">
        <f t="shared" ca="1" si="20"/>
        <v>0</v>
      </c>
      <c r="R48" s="42">
        <f t="shared" ca="1" si="20"/>
        <v>0</v>
      </c>
      <c r="S48" s="42">
        <f t="shared" ca="1" si="20"/>
        <v>0</v>
      </c>
      <c r="T48" s="42">
        <f t="shared" ca="1" si="20"/>
        <v>0</v>
      </c>
      <c r="U48" s="42">
        <f t="shared" ca="1" si="20"/>
        <v>2.9145244033004669</v>
      </c>
      <c r="V48" s="42">
        <f t="shared" ca="1" si="20"/>
        <v>9.7327102441328464</v>
      </c>
      <c r="W48" s="42">
        <f t="shared" ca="1" si="20"/>
        <v>10</v>
      </c>
      <c r="X48" s="42">
        <f t="shared" ca="1" si="20"/>
        <v>5.5167932551575198</v>
      </c>
      <c r="Y48" s="42">
        <f t="shared" ca="1" si="20"/>
        <v>2.4308026422519671</v>
      </c>
      <c r="Z48" s="42">
        <f t="shared" ca="1" si="20"/>
        <v>0</v>
      </c>
      <c r="AA48" s="42">
        <f t="shared" ca="1" si="20"/>
        <v>0</v>
      </c>
      <c r="AB48" s="42">
        <f t="shared" ca="1" si="20"/>
        <v>0</v>
      </c>
      <c r="AC48" s="42">
        <f t="shared" ca="1" si="20"/>
        <v>0</v>
      </c>
      <c r="AD48" s="42">
        <f t="shared" ca="1" si="20"/>
        <v>0</v>
      </c>
      <c r="AE48" s="42">
        <f t="shared" ca="1" si="20"/>
        <v>0</v>
      </c>
      <c r="AF48" s="42">
        <f t="shared" ca="1" si="20"/>
        <v>7.8366465321284338</v>
      </c>
      <c r="AG48" s="42">
        <f t="shared" ca="1" si="20"/>
        <v>10</v>
      </c>
      <c r="AH48" s="42">
        <f t="shared" ca="1" si="20"/>
        <v>10</v>
      </c>
      <c r="AI48" s="42">
        <f t="shared" ca="1" si="20"/>
        <v>10</v>
      </c>
      <c r="AJ48" s="42">
        <f t="shared" ca="1" si="20"/>
        <v>10</v>
      </c>
      <c r="AK48" s="42">
        <f t="shared" ca="1" si="20"/>
        <v>10</v>
      </c>
      <c r="AL48" s="42">
        <f t="shared" ref="AL48:BQ48" ca="1" si="21">MIN(AL46-AL47,SubMax)</f>
        <v>10</v>
      </c>
      <c r="AM48" s="42">
        <f t="shared" ca="1" si="21"/>
        <v>10</v>
      </c>
      <c r="AN48" s="42">
        <f t="shared" ca="1" si="21"/>
        <v>10</v>
      </c>
      <c r="AO48" s="42">
        <f t="shared" ca="1" si="21"/>
        <v>10</v>
      </c>
      <c r="AP48" s="42">
        <f t="shared" ca="1" si="21"/>
        <v>10</v>
      </c>
      <c r="AQ48" s="42">
        <f t="shared" ca="1" si="21"/>
        <v>10</v>
      </c>
      <c r="AR48" s="42">
        <f t="shared" ca="1" si="21"/>
        <v>10</v>
      </c>
      <c r="AS48" s="42">
        <f t="shared" ca="1" si="21"/>
        <v>10</v>
      </c>
      <c r="AT48" s="42">
        <f t="shared" ca="1" si="21"/>
        <v>10</v>
      </c>
      <c r="AU48" s="42">
        <f t="shared" ca="1" si="21"/>
        <v>10</v>
      </c>
      <c r="AV48" s="42">
        <f t="shared" ca="1" si="21"/>
        <v>10</v>
      </c>
      <c r="AW48" s="42">
        <f t="shared" ca="1" si="21"/>
        <v>10</v>
      </c>
      <c r="AX48" s="42">
        <f t="shared" ca="1" si="21"/>
        <v>10</v>
      </c>
      <c r="AY48" s="42">
        <f t="shared" ca="1" si="21"/>
        <v>10</v>
      </c>
      <c r="AZ48" s="42">
        <f t="shared" ca="1" si="21"/>
        <v>10</v>
      </c>
      <c r="BA48" s="42">
        <f t="shared" ca="1" si="21"/>
        <v>10</v>
      </c>
      <c r="BB48" s="42">
        <f t="shared" ca="1" si="21"/>
        <v>10</v>
      </c>
      <c r="BC48" s="42">
        <f t="shared" ca="1" si="21"/>
        <v>10</v>
      </c>
      <c r="BD48" s="42">
        <f t="shared" ca="1" si="21"/>
        <v>10</v>
      </c>
      <c r="BE48" s="42">
        <f t="shared" ca="1" si="21"/>
        <v>10</v>
      </c>
      <c r="BF48" s="42">
        <f t="shared" ca="1" si="21"/>
        <v>10</v>
      </c>
      <c r="BG48" s="42">
        <f t="shared" ca="1" si="21"/>
        <v>10</v>
      </c>
      <c r="BH48" s="42">
        <f t="shared" ca="1" si="21"/>
        <v>10</v>
      </c>
      <c r="BI48" s="42">
        <f t="shared" ca="1" si="21"/>
        <v>10</v>
      </c>
      <c r="BJ48" s="42">
        <f t="shared" ca="1" si="21"/>
        <v>10</v>
      </c>
      <c r="BK48" s="42">
        <f t="shared" ca="1" si="21"/>
        <v>10</v>
      </c>
      <c r="BL48" s="42">
        <f t="shared" ca="1" si="21"/>
        <v>10</v>
      </c>
      <c r="BM48" s="42">
        <f t="shared" ca="1" si="21"/>
        <v>10</v>
      </c>
    </row>
    <row r="49" spans="2:65" x14ac:dyDescent="0.45">
      <c r="B49" s="25" t="s">
        <v>236</v>
      </c>
      <c r="C49" s="26" t="s">
        <v>201</v>
      </c>
      <c r="D49" s="58">
        <f ca="1">SUM(F49:BM49)</f>
        <v>620.56269056074257</v>
      </c>
      <c r="E49" s="28"/>
      <c r="F49" s="42">
        <f t="shared" ref="F49:AK49" ca="1" si="22">F46-F47-F48</f>
        <v>0</v>
      </c>
      <c r="G49" s="42">
        <f t="shared" ca="1" si="22"/>
        <v>0</v>
      </c>
      <c r="H49" s="42">
        <f t="shared" ca="1" si="22"/>
        <v>0</v>
      </c>
      <c r="I49" s="42">
        <f t="shared" ca="1" si="22"/>
        <v>0</v>
      </c>
      <c r="J49" s="42">
        <f t="shared" ca="1" si="22"/>
        <v>0</v>
      </c>
      <c r="K49" s="42">
        <f t="shared" ca="1" si="22"/>
        <v>0</v>
      </c>
      <c r="L49" s="42">
        <f t="shared" ca="1" si="22"/>
        <v>0</v>
      </c>
      <c r="M49" s="42">
        <f t="shared" ca="1" si="22"/>
        <v>0</v>
      </c>
      <c r="N49" s="42">
        <f t="shared" ca="1" si="22"/>
        <v>0</v>
      </c>
      <c r="O49" s="42">
        <f t="shared" ca="1" si="22"/>
        <v>0</v>
      </c>
      <c r="P49" s="42">
        <f t="shared" ca="1" si="22"/>
        <v>0</v>
      </c>
      <c r="Q49" s="42">
        <f t="shared" ca="1" si="22"/>
        <v>0</v>
      </c>
      <c r="R49" s="42">
        <f t="shared" ca="1" si="22"/>
        <v>0</v>
      </c>
      <c r="S49" s="42">
        <f t="shared" ca="1" si="22"/>
        <v>0</v>
      </c>
      <c r="T49" s="42">
        <f t="shared" ca="1" si="22"/>
        <v>0</v>
      </c>
      <c r="U49" s="42">
        <f t="shared" ca="1" si="22"/>
        <v>0</v>
      </c>
      <c r="V49" s="42">
        <f t="shared" ca="1" si="22"/>
        <v>0</v>
      </c>
      <c r="W49" s="42">
        <f t="shared" ca="1" si="22"/>
        <v>3.9939865355797046</v>
      </c>
      <c r="X49" s="42">
        <f t="shared" ca="1" si="22"/>
        <v>0</v>
      </c>
      <c r="Y49" s="42">
        <f t="shared" ca="1" si="22"/>
        <v>0</v>
      </c>
      <c r="Z49" s="42">
        <f t="shared" ca="1" si="22"/>
        <v>0</v>
      </c>
      <c r="AA49" s="42">
        <f t="shared" ca="1" si="22"/>
        <v>0</v>
      </c>
      <c r="AB49" s="42">
        <f t="shared" ca="1" si="22"/>
        <v>0</v>
      </c>
      <c r="AC49" s="42">
        <f t="shared" ca="1" si="22"/>
        <v>0</v>
      </c>
      <c r="AD49" s="42">
        <f t="shared" ca="1" si="22"/>
        <v>0</v>
      </c>
      <c r="AE49" s="42">
        <f t="shared" ca="1" si="22"/>
        <v>0</v>
      </c>
      <c r="AF49" s="42">
        <f t="shared" ca="1" si="22"/>
        <v>0</v>
      </c>
      <c r="AG49" s="42">
        <f t="shared" ca="1" si="22"/>
        <v>0.14035171552544767</v>
      </c>
      <c r="AH49" s="42">
        <f t="shared" ca="1" si="22"/>
        <v>7.7360007740259036</v>
      </c>
      <c r="AI49" s="42">
        <f t="shared" ca="1" si="22"/>
        <v>19.753856938454312</v>
      </c>
      <c r="AJ49" s="42">
        <f t="shared" ca="1" si="22"/>
        <v>20.313206304288375</v>
      </c>
      <c r="AK49" s="42">
        <f t="shared" ca="1" si="22"/>
        <v>10.099414467171798</v>
      </c>
      <c r="AL49" s="42">
        <f t="shared" ref="AL49:BQ49" ca="1" si="23">AL46-AL47-AL48</f>
        <v>11.492208947272928</v>
      </c>
      <c r="AM49" s="42">
        <f t="shared" ca="1" si="23"/>
        <v>14.301320347783737</v>
      </c>
      <c r="AN49" s="42">
        <f t="shared" ca="1" si="23"/>
        <v>18.154355864185561</v>
      </c>
      <c r="AO49" s="42">
        <f t="shared" ca="1" si="23"/>
        <v>7.8294681785332898</v>
      </c>
      <c r="AP49" s="42">
        <f t="shared" ca="1" si="23"/>
        <v>3.8460028927336154</v>
      </c>
      <c r="AQ49" s="42">
        <f t="shared" ca="1" si="23"/>
        <v>11.98126014014797</v>
      </c>
      <c r="AR49" s="42">
        <f t="shared" ca="1" si="23"/>
        <v>18.200495276948423</v>
      </c>
      <c r="AS49" s="42">
        <f t="shared" ca="1" si="23"/>
        <v>30.585928312345651</v>
      </c>
      <c r="AT49" s="42">
        <f t="shared" ca="1" si="23"/>
        <v>18.550612427266117</v>
      </c>
      <c r="AU49" s="42">
        <f t="shared" ca="1" si="23"/>
        <v>22.558084263663588</v>
      </c>
      <c r="AV49" s="42">
        <f t="shared" ca="1" si="23"/>
        <v>24.850187105998117</v>
      </c>
      <c r="AW49" s="42">
        <f t="shared" ca="1" si="23"/>
        <v>19.640331491237049</v>
      </c>
      <c r="AX49" s="42">
        <f t="shared" ca="1" si="23"/>
        <v>18.764626317252834</v>
      </c>
      <c r="AY49" s="42">
        <f t="shared" ca="1" si="23"/>
        <v>15.325812439522331</v>
      </c>
      <c r="AZ49" s="42">
        <f t="shared" ca="1" si="23"/>
        <v>20.436354757268138</v>
      </c>
      <c r="BA49" s="42">
        <f t="shared" ca="1" si="23"/>
        <v>9.2122955958257151</v>
      </c>
      <c r="BB49" s="42">
        <f t="shared" ca="1" si="23"/>
        <v>7.4829332188662825</v>
      </c>
      <c r="BC49" s="42">
        <f t="shared" ca="1" si="23"/>
        <v>7.7332666811636344</v>
      </c>
      <c r="BD49" s="42">
        <f t="shared" ca="1" si="23"/>
        <v>17.07357795638293</v>
      </c>
      <c r="BE49" s="42">
        <f t="shared" ca="1" si="23"/>
        <v>22.135993848745159</v>
      </c>
      <c r="BF49" s="42">
        <f t="shared" ca="1" si="23"/>
        <v>37.334630426343708</v>
      </c>
      <c r="BG49" s="42">
        <f t="shared" ca="1" si="23"/>
        <v>42.243131388139851</v>
      </c>
      <c r="BH49" s="42">
        <f t="shared" ca="1" si="23"/>
        <v>33.474467152085808</v>
      </c>
      <c r="BI49" s="42">
        <f t="shared" ca="1" si="23"/>
        <v>23.639596371305224</v>
      </c>
      <c r="BJ49" s="42">
        <f t="shared" ca="1" si="23"/>
        <v>28.361863033026452</v>
      </c>
      <c r="BK49" s="42">
        <f t="shared" ca="1" si="23"/>
        <v>32.53528557654505</v>
      </c>
      <c r="BL49" s="42">
        <f t="shared" ca="1" si="23"/>
        <v>26.681176105092092</v>
      </c>
      <c r="BM49" s="42">
        <f t="shared" ca="1" si="23"/>
        <v>14.100607710015904</v>
      </c>
    </row>
    <row r="50" spans="2:65" x14ac:dyDescent="0.45">
      <c r="B50" s="25" t="s">
        <v>237</v>
      </c>
      <c r="C50" s="26" t="s">
        <v>170</v>
      </c>
      <c r="D50" s="42">
        <f>New_0*NetCapex</f>
        <v>0</v>
      </c>
      <c r="E50" s="28"/>
      <c r="F50" s="26" t="s">
        <v>238</v>
      </c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</row>
    <row r="51" spans="2:65" x14ac:dyDescent="0.45">
      <c r="B51" s="25" t="s">
        <v>239</v>
      </c>
      <c r="C51" s="26" t="s">
        <v>170</v>
      </c>
      <c r="D51" s="55" cm="1">
        <f t="array" aca="1" ref="D51" ca="1">_xll.VoseOutput("Постоянные затраты, без нового пресса","тыс. долл.")+PressFixed*SUMPRODUCT(F42:BM42,F26:BM26)</f>
        <v>0</v>
      </c>
      <c r="E51" s="28"/>
      <c r="F51" s="26" t="s">
        <v>240</v>
      </c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</row>
    <row r="52" spans="2:65" x14ac:dyDescent="0.45">
      <c r="B52" s="25" t="s">
        <v>241</v>
      </c>
      <c r="C52" s="26" t="s">
        <v>170</v>
      </c>
      <c r="D52" s="55" cm="1">
        <f t="array" aca="1" ref="D52" ca="1">_xll.VoseOutput("Надбавка за сверхурочную работу, без нового пресса","тыс. долл.")+OTCost*SUMPRODUCT(F47:BM47,F26:BM26)</f>
        <v>80.817534069122374</v>
      </c>
      <c r="E52" s="28"/>
      <c r="F52" s="26" t="s">
        <v>242</v>
      </c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</row>
    <row r="53" spans="2:65" x14ac:dyDescent="0.45">
      <c r="B53" s="25" t="s">
        <v>243</v>
      </c>
      <c r="C53" s="26" t="s">
        <v>170</v>
      </c>
      <c r="D53" s="55" cm="1">
        <f t="array" aca="1" ref="D53" ca="1">_xll.VoseOutput("Надбавка за субподряд, без нового пресса","тыс. долл.")+SubCost*SUMPRODUCT(F48:BM48,F26:BM26)</f>
        <v>226.56582671174803</v>
      </c>
      <c r="E53" s="28"/>
      <c r="F53" s="26" t="s">
        <v>244</v>
      </c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</row>
    <row r="54" spans="2:65" x14ac:dyDescent="0.45">
      <c r="B54" s="25" t="s">
        <v>245</v>
      </c>
      <c r="C54" s="26" t="s">
        <v>170</v>
      </c>
      <c r="D54" s="55" cm="1">
        <f t="array" aca="1" ref="D54" ca="1">_xll.VoseOutput("Потерянный маржинальный доход, без нового пресса","тыс. долл.")+LostCost*SUMPRODUCT(F49:BM49,F26:BM26)</f>
        <v>1014.8307723897151</v>
      </c>
      <c r="E54" s="28"/>
      <c r="F54" s="26" t="s">
        <v>246</v>
      </c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</row>
    <row r="55" spans="2:65" x14ac:dyDescent="0.45">
      <c r="B55" s="59" t="s">
        <v>63</v>
      </c>
      <c r="C55" s="26" t="s">
        <v>170</v>
      </c>
      <c r="D55" s="58">
        <f ca="1">SUM(D50:D54)</f>
        <v>1322.2141331705855</v>
      </c>
      <c r="E55" s="28"/>
      <c r="F55" s="26" t="s">
        <v>247</v>
      </c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</row>
    <row r="56" spans="2:65" ht="8" customHeight="1" x14ac:dyDescent="0.45"/>
    <row r="57" spans="2:65" ht="22.05" customHeight="1" x14ac:dyDescent="0.5">
      <c r="B57" s="7" t="s">
        <v>248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</row>
    <row r="58" spans="2:65" ht="18" customHeight="1" x14ac:dyDescent="0.45">
      <c r="B58" s="13" t="s">
        <v>249</v>
      </c>
    </row>
    <row r="59" spans="2:65" x14ac:dyDescent="0.45">
      <c r="B59" s="25" t="s">
        <v>227</v>
      </c>
      <c r="C59" s="26" t="s">
        <v>143</v>
      </c>
      <c r="D59" s="52">
        <v>1</v>
      </c>
      <c r="E59" s="28"/>
      <c r="F59" s="26" t="s">
        <v>228</v>
      </c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</row>
    <row r="60" spans="2:65" x14ac:dyDescent="0.45">
      <c r="B60" s="25" t="s">
        <v>229</v>
      </c>
      <c r="C60" s="26" t="s">
        <v>143</v>
      </c>
      <c r="D60" s="28"/>
      <c r="E60" s="28"/>
      <c r="F60" s="52">
        <f t="shared" ref="F60:AK60" ca="1" si="24">IF(F$6&gt;LeadM,New_1,0)</f>
        <v>0</v>
      </c>
      <c r="G60" s="52">
        <f t="shared" ca="1" si="24"/>
        <v>0</v>
      </c>
      <c r="H60" s="52">
        <f t="shared" ca="1" si="24"/>
        <v>0</v>
      </c>
      <c r="I60" s="52">
        <f t="shared" ca="1" si="24"/>
        <v>0</v>
      </c>
      <c r="J60" s="52">
        <f t="shared" ca="1" si="24"/>
        <v>0</v>
      </c>
      <c r="K60" s="52">
        <f t="shared" ca="1" si="24"/>
        <v>0</v>
      </c>
      <c r="L60" s="52">
        <f t="shared" ca="1" si="24"/>
        <v>1</v>
      </c>
      <c r="M60" s="52">
        <f t="shared" ca="1" si="24"/>
        <v>1</v>
      </c>
      <c r="N60" s="52">
        <f t="shared" ca="1" si="24"/>
        <v>1</v>
      </c>
      <c r="O60" s="52">
        <f t="shared" ca="1" si="24"/>
        <v>1</v>
      </c>
      <c r="P60" s="52">
        <f t="shared" ca="1" si="24"/>
        <v>1</v>
      </c>
      <c r="Q60" s="52">
        <f t="shared" ca="1" si="24"/>
        <v>1</v>
      </c>
      <c r="R60" s="52">
        <f t="shared" ca="1" si="24"/>
        <v>1</v>
      </c>
      <c r="S60" s="52">
        <f t="shared" ca="1" si="24"/>
        <v>1</v>
      </c>
      <c r="T60" s="52">
        <f t="shared" ca="1" si="24"/>
        <v>1</v>
      </c>
      <c r="U60" s="52">
        <f t="shared" ca="1" si="24"/>
        <v>1</v>
      </c>
      <c r="V60" s="52">
        <f t="shared" ca="1" si="24"/>
        <v>1</v>
      </c>
      <c r="W60" s="52">
        <f t="shared" ca="1" si="24"/>
        <v>1</v>
      </c>
      <c r="X60" s="52">
        <f t="shared" ca="1" si="24"/>
        <v>1</v>
      </c>
      <c r="Y60" s="52">
        <f t="shared" ca="1" si="24"/>
        <v>1</v>
      </c>
      <c r="Z60" s="52">
        <f t="shared" ca="1" si="24"/>
        <v>1</v>
      </c>
      <c r="AA60" s="52">
        <f t="shared" ca="1" si="24"/>
        <v>1</v>
      </c>
      <c r="AB60" s="52">
        <f t="shared" ca="1" si="24"/>
        <v>1</v>
      </c>
      <c r="AC60" s="52">
        <f t="shared" ca="1" si="24"/>
        <v>1</v>
      </c>
      <c r="AD60" s="52">
        <f t="shared" ca="1" si="24"/>
        <v>1</v>
      </c>
      <c r="AE60" s="52">
        <f t="shared" ca="1" si="24"/>
        <v>1</v>
      </c>
      <c r="AF60" s="52">
        <f t="shared" ca="1" si="24"/>
        <v>1</v>
      </c>
      <c r="AG60" s="52">
        <f t="shared" ca="1" si="24"/>
        <v>1</v>
      </c>
      <c r="AH60" s="52">
        <f t="shared" ca="1" si="24"/>
        <v>1</v>
      </c>
      <c r="AI60" s="52">
        <f t="shared" ca="1" si="24"/>
        <v>1</v>
      </c>
      <c r="AJ60" s="52">
        <f t="shared" ca="1" si="24"/>
        <v>1</v>
      </c>
      <c r="AK60" s="52">
        <f t="shared" ca="1" si="24"/>
        <v>1</v>
      </c>
      <c r="AL60" s="52">
        <f t="shared" ref="AL60:BM60" ca="1" si="25">IF(AL$6&gt;LeadM,New_1,0)</f>
        <v>1</v>
      </c>
      <c r="AM60" s="52">
        <f t="shared" ca="1" si="25"/>
        <v>1</v>
      </c>
      <c r="AN60" s="52">
        <f t="shared" ca="1" si="25"/>
        <v>1</v>
      </c>
      <c r="AO60" s="52">
        <f t="shared" ca="1" si="25"/>
        <v>1</v>
      </c>
      <c r="AP60" s="52">
        <f t="shared" ca="1" si="25"/>
        <v>1</v>
      </c>
      <c r="AQ60" s="52">
        <f t="shared" ca="1" si="25"/>
        <v>1</v>
      </c>
      <c r="AR60" s="52">
        <f t="shared" ca="1" si="25"/>
        <v>1</v>
      </c>
      <c r="AS60" s="52">
        <f t="shared" ca="1" si="25"/>
        <v>1</v>
      </c>
      <c r="AT60" s="52">
        <f t="shared" ca="1" si="25"/>
        <v>1</v>
      </c>
      <c r="AU60" s="52">
        <f t="shared" ca="1" si="25"/>
        <v>1</v>
      </c>
      <c r="AV60" s="52">
        <f t="shared" ca="1" si="25"/>
        <v>1</v>
      </c>
      <c r="AW60" s="52">
        <f t="shared" ca="1" si="25"/>
        <v>1</v>
      </c>
      <c r="AX60" s="52">
        <f t="shared" ca="1" si="25"/>
        <v>1</v>
      </c>
      <c r="AY60" s="52">
        <f t="shared" ca="1" si="25"/>
        <v>1</v>
      </c>
      <c r="AZ60" s="52">
        <f t="shared" ca="1" si="25"/>
        <v>1</v>
      </c>
      <c r="BA60" s="52">
        <f t="shared" ca="1" si="25"/>
        <v>1</v>
      </c>
      <c r="BB60" s="52">
        <f t="shared" ca="1" si="25"/>
        <v>1</v>
      </c>
      <c r="BC60" s="52">
        <f t="shared" ca="1" si="25"/>
        <v>1</v>
      </c>
      <c r="BD60" s="52">
        <f t="shared" ca="1" si="25"/>
        <v>1</v>
      </c>
      <c r="BE60" s="52">
        <f t="shared" ca="1" si="25"/>
        <v>1</v>
      </c>
      <c r="BF60" s="52">
        <f t="shared" ca="1" si="25"/>
        <v>1</v>
      </c>
      <c r="BG60" s="52">
        <f t="shared" ca="1" si="25"/>
        <v>1</v>
      </c>
      <c r="BH60" s="52">
        <f t="shared" ca="1" si="25"/>
        <v>1</v>
      </c>
      <c r="BI60" s="52">
        <f t="shared" ca="1" si="25"/>
        <v>1</v>
      </c>
      <c r="BJ60" s="52">
        <f t="shared" ca="1" si="25"/>
        <v>1</v>
      </c>
      <c r="BK60" s="52">
        <f t="shared" ca="1" si="25"/>
        <v>1</v>
      </c>
      <c r="BL60" s="52">
        <f t="shared" ca="1" si="25"/>
        <v>1</v>
      </c>
      <c r="BM60" s="52">
        <f t="shared" ca="1" si="25"/>
        <v>1</v>
      </c>
    </row>
    <row r="61" spans="2:65" x14ac:dyDescent="0.45">
      <c r="B61" s="25" t="s">
        <v>230</v>
      </c>
      <c r="C61" s="26" t="s">
        <v>143</v>
      </c>
      <c r="D61" s="28"/>
      <c r="E61" s="28"/>
      <c r="F61" s="52">
        <f t="shared" ref="F61:AK61" ca="1" si="26">Presses+F60</f>
        <v>4</v>
      </c>
      <c r="G61" s="52">
        <f t="shared" ca="1" si="26"/>
        <v>4</v>
      </c>
      <c r="H61" s="52">
        <f t="shared" ca="1" si="26"/>
        <v>4</v>
      </c>
      <c r="I61" s="52">
        <f t="shared" ca="1" si="26"/>
        <v>4</v>
      </c>
      <c r="J61" s="52">
        <f t="shared" ca="1" si="26"/>
        <v>4</v>
      </c>
      <c r="K61" s="52">
        <f t="shared" ca="1" si="26"/>
        <v>4</v>
      </c>
      <c r="L61" s="52">
        <f t="shared" ca="1" si="26"/>
        <v>5</v>
      </c>
      <c r="M61" s="52">
        <f t="shared" ca="1" si="26"/>
        <v>5</v>
      </c>
      <c r="N61" s="52">
        <f t="shared" ca="1" si="26"/>
        <v>5</v>
      </c>
      <c r="O61" s="52">
        <f t="shared" ca="1" si="26"/>
        <v>5</v>
      </c>
      <c r="P61" s="52">
        <f t="shared" ca="1" si="26"/>
        <v>5</v>
      </c>
      <c r="Q61" s="52">
        <f t="shared" ca="1" si="26"/>
        <v>5</v>
      </c>
      <c r="R61" s="52">
        <f t="shared" ca="1" si="26"/>
        <v>5</v>
      </c>
      <c r="S61" s="52">
        <f t="shared" ca="1" si="26"/>
        <v>5</v>
      </c>
      <c r="T61" s="52">
        <f t="shared" ca="1" si="26"/>
        <v>5</v>
      </c>
      <c r="U61" s="52">
        <f t="shared" ca="1" si="26"/>
        <v>5</v>
      </c>
      <c r="V61" s="52">
        <f t="shared" ca="1" si="26"/>
        <v>5</v>
      </c>
      <c r="W61" s="52">
        <f t="shared" ca="1" si="26"/>
        <v>5</v>
      </c>
      <c r="X61" s="52">
        <f t="shared" ca="1" si="26"/>
        <v>5</v>
      </c>
      <c r="Y61" s="52">
        <f t="shared" ca="1" si="26"/>
        <v>5</v>
      </c>
      <c r="Z61" s="52">
        <f t="shared" ca="1" si="26"/>
        <v>5</v>
      </c>
      <c r="AA61" s="52">
        <f t="shared" ca="1" si="26"/>
        <v>5</v>
      </c>
      <c r="AB61" s="52">
        <f t="shared" ca="1" si="26"/>
        <v>5</v>
      </c>
      <c r="AC61" s="52">
        <f t="shared" ca="1" si="26"/>
        <v>5</v>
      </c>
      <c r="AD61" s="52">
        <f t="shared" ca="1" si="26"/>
        <v>5</v>
      </c>
      <c r="AE61" s="52">
        <f t="shared" ca="1" si="26"/>
        <v>5</v>
      </c>
      <c r="AF61" s="52">
        <f t="shared" ca="1" si="26"/>
        <v>5</v>
      </c>
      <c r="AG61" s="52">
        <f t="shared" ca="1" si="26"/>
        <v>5</v>
      </c>
      <c r="AH61" s="52">
        <f t="shared" ca="1" si="26"/>
        <v>5</v>
      </c>
      <c r="AI61" s="52">
        <f t="shared" ca="1" si="26"/>
        <v>5</v>
      </c>
      <c r="AJ61" s="52">
        <f t="shared" ca="1" si="26"/>
        <v>5</v>
      </c>
      <c r="AK61" s="52">
        <f t="shared" ca="1" si="26"/>
        <v>5</v>
      </c>
      <c r="AL61" s="52">
        <f t="shared" ref="AL61:BQ61" ca="1" si="27">Presses+AL60</f>
        <v>5</v>
      </c>
      <c r="AM61" s="52">
        <f t="shared" ca="1" si="27"/>
        <v>5</v>
      </c>
      <c r="AN61" s="52">
        <f t="shared" ca="1" si="27"/>
        <v>5</v>
      </c>
      <c r="AO61" s="52">
        <f t="shared" ca="1" si="27"/>
        <v>5</v>
      </c>
      <c r="AP61" s="52">
        <f t="shared" ca="1" si="27"/>
        <v>5</v>
      </c>
      <c r="AQ61" s="52">
        <f t="shared" ca="1" si="27"/>
        <v>5</v>
      </c>
      <c r="AR61" s="52">
        <f t="shared" ca="1" si="27"/>
        <v>5</v>
      </c>
      <c r="AS61" s="52">
        <f t="shared" ca="1" si="27"/>
        <v>5</v>
      </c>
      <c r="AT61" s="52">
        <f t="shared" ca="1" si="27"/>
        <v>5</v>
      </c>
      <c r="AU61" s="52">
        <f t="shared" ca="1" si="27"/>
        <v>5</v>
      </c>
      <c r="AV61" s="52">
        <f t="shared" ca="1" si="27"/>
        <v>5</v>
      </c>
      <c r="AW61" s="52">
        <f t="shared" ca="1" si="27"/>
        <v>5</v>
      </c>
      <c r="AX61" s="52">
        <f t="shared" ca="1" si="27"/>
        <v>5</v>
      </c>
      <c r="AY61" s="52">
        <f t="shared" ca="1" si="27"/>
        <v>5</v>
      </c>
      <c r="AZ61" s="52">
        <f t="shared" ca="1" si="27"/>
        <v>5</v>
      </c>
      <c r="BA61" s="52">
        <f t="shared" ca="1" si="27"/>
        <v>5</v>
      </c>
      <c r="BB61" s="52">
        <f t="shared" ca="1" si="27"/>
        <v>5</v>
      </c>
      <c r="BC61" s="52">
        <f t="shared" ca="1" si="27"/>
        <v>5</v>
      </c>
      <c r="BD61" s="52">
        <f t="shared" ca="1" si="27"/>
        <v>5</v>
      </c>
      <c r="BE61" s="52">
        <f t="shared" ca="1" si="27"/>
        <v>5</v>
      </c>
      <c r="BF61" s="52">
        <f t="shared" ca="1" si="27"/>
        <v>5</v>
      </c>
      <c r="BG61" s="52">
        <f t="shared" ca="1" si="27"/>
        <v>5</v>
      </c>
      <c r="BH61" s="52">
        <f t="shared" ca="1" si="27"/>
        <v>5</v>
      </c>
      <c r="BI61" s="52">
        <f t="shared" ca="1" si="27"/>
        <v>5</v>
      </c>
      <c r="BJ61" s="52">
        <f t="shared" ca="1" si="27"/>
        <v>5</v>
      </c>
      <c r="BK61" s="52">
        <f t="shared" ca="1" si="27"/>
        <v>5</v>
      </c>
      <c r="BL61" s="52">
        <f t="shared" ca="1" si="27"/>
        <v>5</v>
      </c>
      <c r="BM61" s="52">
        <f t="shared" ca="1" si="27"/>
        <v>5</v>
      </c>
    </row>
    <row r="62" spans="2:65" x14ac:dyDescent="0.45">
      <c r="B62" s="25" t="s">
        <v>231</v>
      </c>
      <c r="C62" s="26" t="s">
        <v>201</v>
      </c>
      <c r="D62" s="28"/>
      <c r="E62" s="28"/>
      <c r="F62" s="42">
        <f t="shared" ref="F62:AK62" ca="1" si="28">F61*PressRate*F25</f>
        <v>80.124886694610183</v>
      </c>
      <c r="G62" s="42">
        <f t="shared" ca="1" si="28"/>
        <v>79.14931051550758</v>
      </c>
      <c r="H62" s="42">
        <f t="shared" ca="1" si="28"/>
        <v>84.200681683981671</v>
      </c>
      <c r="I62" s="42">
        <f t="shared" ca="1" si="28"/>
        <v>80.737153669729338</v>
      </c>
      <c r="J62" s="42">
        <f t="shared" ca="1" si="28"/>
        <v>79.213241678328799</v>
      </c>
      <c r="K62" s="42">
        <f t="shared" ca="1" si="28"/>
        <v>82.502535811334667</v>
      </c>
      <c r="L62" s="42">
        <f t="shared" ca="1" si="28"/>
        <v>101.25108279078911</v>
      </c>
      <c r="M62" s="42">
        <f t="shared" ca="1" si="28"/>
        <v>105.16850202726967</v>
      </c>
      <c r="N62" s="42">
        <f t="shared" ca="1" si="28"/>
        <v>102.04165519614328</v>
      </c>
      <c r="O62" s="42">
        <f t="shared" ca="1" si="28"/>
        <v>97.233340353055283</v>
      </c>
      <c r="P62" s="42">
        <f t="shared" ca="1" si="28"/>
        <v>99.432701779806237</v>
      </c>
      <c r="Q62" s="42">
        <f t="shared" ca="1" si="28"/>
        <v>100.84331308102247</v>
      </c>
      <c r="R62" s="42">
        <f t="shared" ca="1" si="28"/>
        <v>93.406510088417235</v>
      </c>
      <c r="S62" s="42">
        <f t="shared" ca="1" si="28"/>
        <v>103.6461970815579</v>
      </c>
      <c r="T62" s="42">
        <f t="shared" ca="1" si="28"/>
        <v>99.332384897621324</v>
      </c>
      <c r="U62" s="42">
        <f t="shared" ca="1" si="28"/>
        <v>96.460073419416688</v>
      </c>
      <c r="V62" s="42">
        <f t="shared" ca="1" si="28"/>
        <v>95.010550596194122</v>
      </c>
      <c r="W62" s="42">
        <f t="shared" ca="1" si="28"/>
        <v>99.971787132536988</v>
      </c>
      <c r="X62" s="42">
        <f t="shared" ca="1" si="28"/>
        <v>102.28224586438003</v>
      </c>
      <c r="Y62" s="42">
        <f t="shared" ca="1" si="28"/>
        <v>101.93371439240472</v>
      </c>
      <c r="Z62" s="42">
        <f t="shared" ca="1" si="28"/>
        <v>99.583569037250385</v>
      </c>
      <c r="AA62" s="42">
        <f t="shared" ca="1" si="28"/>
        <v>99.38603198379397</v>
      </c>
      <c r="AB62" s="42">
        <f t="shared" ca="1" si="28"/>
        <v>104.9180924335498</v>
      </c>
      <c r="AC62" s="42">
        <f t="shared" ca="1" si="28"/>
        <v>98.773883148442138</v>
      </c>
      <c r="AD62" s="42">
        <f t="shared" ca="1" si="28"/>
        <v>103.70728302402161</v>
      </c>
      <c r="AE62" s="42">
        <f t="shared" ca="1" si="28"/>
        <v>98.346731983897811</v>
      </c>
      <c r="AF62" s="42">
        <f t="shared" ca="1" si="28"/>
        <v>96.876246156047429</v>
      </c>
      <c r="AG62" s="42">
        <f t="shared" ca="1" si="28"/>
        <v>101.69764323178497</v>
      </c>
      <c r="AH62" s="42">
        <f t="shared" ca="1" si="28"/>
        <v>104.7720465987784</v>
      </c>
      <c r="AI62" s="42">
        <f t="shared" ca="1" si="28"/>
        <v>98.272377514754538</v>
      </c>
      <c r="AJ62" s="42">
        <f t="shared" ca="1" si="28"/>
        <v>98.033776017976606</v>
      </c>
      <c r="AK62" s="42">
        <f t="shared" ca="1" si="28"/>
        <v>101.95372853718609</v>
      </c>
      <c r="AL62" s="42">
        <f t="shared" ref="AL62:BQ62" ca="1" si="29">AL61*PressRate*AL25</f>
        <v>101.07099656220291</v>
      </c>
      <c r="AM62" s="42">
        <f t="shared" ca="1" si="29"/>
        <v>103.18689009200853</v>
      </c>
      <c r="AN62" s="42">
        <f t="shared" ca="1" si="29"/>
        <v>103.67504016333802</v>
      </c>
      <c r="AO62" s="42">
        <f t="shared" ca="1" si="29"/>
        <v>102.48052884199555</v>
      </c>
      <c r="AP62" s="42">
        <f t="shared" ca="1" si="29"/>
        <v>100.23959538647267</v>
      </c>
      <c r="AQ62" s="42">
        <f t="shared" ca="1" si="29"/>
        <v>96.88853881886719</v>
      </c>
      <c r="AR62" s="42">
        <f t="shared" ca="1" si="29"/>
        <v>100.18001028217142</v>
      </c>
      <c r="AS62" s="42">
        <f t="shared" ca="1" si="29"/>
        <v>93.006436952956321</v>
      </c>
      <c r="AT62" s="42">
        <f t="shared" ca="1" si="29"/>
        <v>104.53621778585662</v>
      </c>
      <c r="AU62" s="42">
        <f t="shared" ca="1" si="29"/>
        <v>100.2576028490958</v>
      </c>
      <c r="AV62" s="42">
        <f t="shared" ca="1" si="29"/>
        <v>97.829210615465598</v>
      </c>
      <c r="AW62" s="42">
        <f t="shared" ca="1" si="29"/>
        <v>102.92064221892579</v>
      </c>
      <c r="AX62" s="42">
        <f t="shared" ca="1" si="29"/>
        <v>101.98505786437356</v>
      </c>
      <c r="AY62" s="42">
        <f t="shared" ca="1" si="29"/>
        <v>100.30747212737705</v>
      </c>
      <c r="AZ62" s="42">
        <f t="shared" ca="1" si="29"/>
        <v>93.743254893414701</v>
      </c>
      <c r="BA62" s="42">
        <f t="shared" ca="1" si="29"/>
        <v>98.007607806543078</v>
      </c>
      <c r="BB62" s="42">
        <f t="shared" ca="1" si="29"/>
        <v>96.138632463224326</v>
      </c>
      <c r="BC62" s="42">
        <f t="shared" ca="1" si="29"/>
        <v>101.31594774509274</v>
      </c>
      <c r="BD62" s="42">
        <f t="shared" ca="1" si="29"/>
        <v>100.19547796068731</v>
      </c>
      <c r="BE62" s="42">
        <f t="shared" ca="1" si="29"/>
        <v>98.77703055224336</v>
      </c>
      <c r="BF62" s="42">
        <f t="shared" ca="1" si="29"/>
        <v>94.617352167243808</v>
      </c>
      <c r="BG62" s="42">
        <f t="shared" ca="1" si="29"/>
        <v>96.411098434832624</v>
      </c>
      <c r="BH62" s="42">
        <f t="shared" ca="1" si="29"/>
        <v>98.722053487756469</v>
      </c>
      <c r="BI62" s="42">
        <f t="shared" ca="1" si="29"/>
        <v>102.60257156736566</v>
      </c>
      <c r="BJ62" s="42">
        <f t="shared" ca="1" si="29"/>
        <v>99.985004764512226</v>
      </c>
      <c r="BK62" s="42">
        <f t="shared" ca="1" si="29"/>
        <v>91.754495572646107</v>
      </c>
      <c r="BL62" s="42">
        <f t="shared" ca="1" si="29"/>
        <v>99.017265228480554</v>
      </c>
      <c r="BM62" s="42">
        <f t="shared" ca="1" si="29"/>
        <v>100.2354403986747</v>
      </c>
    </row>
    <row r="63" spans="2:65" x14ac:dyDescent="0.45">
      <c r="B63" s="25" t="s">
        <v>232</v>
      </c>
      <c r="C63" s="26" t="s">
        <v>201</v>
      </c>
      <c r="D63" s="58">
        <f ca="1">SUM(F63:BM63)</f>
        <v>5466.2770293212961</v>
      </c>
      <c r="E63" s="28"/>
      <c r="F63" s="42">
        <f t="shared" ref="F63:AK63" ca="1" si="30">MIN(F21,F62)</f>
        <v>68.290595695396206</v>
      </c>
      <c r="G63" s="42">
        <f t="shared" ca="1" si="30"/>
        <v>65.692994202387496</v>
      </c>
      <c r="H63" s="42">
        <f t="shared" ca="1" si="30"/>
        <v>72.268129370746678</v>
      </c>
      <c r="I63" s="42">
        <f t="shared" ca="1" si="30"/>
        <v>77.243553565078926</v>
      </c>
      <c r="J63" s="42">
        <f t="shared" ca="1" si="30"/>
        <v>79.213241678328799</v>
      </c>
      <c r="K63" s="42">
        <f t="shared" ca="1" si="30"/>
        <v>82.502535811334667</v>
      </c>
      <c r="L63" s="42">
        <f t="shared" ca="1" si="30"/>
        <v>86.295048308163743</v>
      </c>
      <c r="M63" s="42">
        <f t="shared" ca="1" si="30"/>
        <v>77.379524838997042</v>
      </c>
      <c r="N63" s="42">
        <f t="shared" ca="1" si="30"/>
        <v>74.586918691012855</v>
      </c>
      <c r="O63" s="42">
        <f t="shared" ca="1" si="30"/>
        <v>74.122158261100623</v>
      </c>
      <c r="P63" s="42">
        <f t="shared" ca="1" si="30"/>
        <v>72.883368998373925</v>
      </c>
      <c r="Q63" s="42">
        <f t="shared" ca="1" si="30"/>
        <v>67.808823720456559</v>
      </c>
      <c r="R63" s="42">
        <f t="shared" ca="1" si="30"/>
        <v>70.090750096157066</v>
      </c>
      <c r="S63" s="42">
        <f t="shared" ca="1" si="30"/>
        <v>73.703218832637063</v>
      </c>
      <c r="T63" s="42">
        <f t="shared" ca="1" si="30"/>
        <v>83.190572475925066</v>
      </c>
      <c r="U63" s="42">
        <f t="shared" ca="1" si="30"/>
        <v>87.799389012387152</v>
      </c>
      <c r="V63" s="42">
        <f t="shared" ca="1" si="30"/>
        <v>93.341994768783678</v>
      </c>
      <c r="W63" s="42">
        <f t="shared" ca="1" si="30"/>
        <v>99.971787132536988</v>
      </c>
      <c r="X63" s="42">
        <f t="shared" ca="1" si="30"/>
        <v>95.525169615811947</v>
      </c>
      <c r="Y63" s="42">
        <f t="shared" ca="1" si="30"/>
        <v>92.132471307568125</v>
      </c>
      <c r="Z63" s="42">
        <f t="shared" ca="1" si="30"/>
        <v>84.701241410756253</v>
      </c>
      <c r="AA63" s="42">
        <f t="shared" ca="1" si="30"/>
        <v>84.215057742283904</v>
      </c>
      <c r="AB63" s="42">
        <f t="shared" ca="1" si="30"/>
        <v>85.701900498015348</v>
      </c>
      <c r="AC63" s="42">
        <f t="shared" ca="1" si="30"/>
        <v>81.188184964910249</v>
      </c>
      <c r="AD63" s="42">
        <f t="shared" ca="1" si="30"/>
        <v>79.022903035896093</v>
      </c>
      <c r="AE63" s="42">
        <f t="shared" ca="1" si="30"/>
        <v>81.564072104782596</v>
      </c>
      <c r="AF63" s="42">
        <f t="shared" ca="1" si="30"/>
        <v>93.087743149450162</v>
      </c>
      <c r="AG63" s="42">
        <f t="shared" ca="1" si="30"/>
        <v>99.634277759496214</v>
      </c>
      <c r="AH63" s="42">
        <f t="shared" ca="1" si="30"/>
        <v>104.7720465987784</v>
      </c>
      <c r="AI63" s="42">
        <f t="shared" ca="1" si="30"/>
        <v>98.272377514754538</v>
      </c>
      <c r="AJ63" s="42">
        <f t="shared" ca="1" si="30"/>
        <v>98.033776017976606</v>
      </c>
      <c r="AK63" s="42">
        <f t="shared" ca="1" si="30"/>
        <v>101.95372853718609</v>
      </c>
      <c r="AL63" s="42">
        <f t="shared" ref="AL63:BQ63" ca="1" si="31">MIN(AL21,AL62)</f>
        <v>101.07099656220291</v>
      </c>
      <c r="AM63" s="42">
        <f t="shared" ca="1" si="31"/>
        <v>103.18689009200853</v>
      </c>
      <c r="AN63" s="42">
        <f t="shared" ca="1" si="31"/>
        <v>103.67504016333802</v>
      </c>
      <c r="AO63" s="42">
        <f t="shared" ca="1" si="31"/>
        <v>102.48052884199555</v>
      </c>
      <c r="AP63" s="42">
        <f t="shared" ca="1" si="31"/>
        <v>100.23959538647267</v>
      </c>
      <c r="AQ63" s="42">
        <f t="shared" ca="1" si="31"/>
        <v>96.88853881886719</v>
      </c>
      <c r="AR63" s="42">
        <f t="shared" ca="1" si="31"/>
        <v>100.18001028217142</v>
      </c>
      <c r="AS63" s="42">
        <f t="shared" ca="1" si="31"/>
        <v>93.006436952956321</v>
      </c>
      <c r="AT63" s="42">
        <f t="shared" ca="1" si="31"/>
        <v>104.53621778585662</v>
      </c>
      <c r="AU63" s="42">
        <f t="shared" ca="1" si="31"/>
        <v>100.2576028490958</v>
      </c>
      <c r="AV63" s="42">
        <f t="shared" ca="1" si="31"/>
        <v>97.829210615465598</v>
      </c>
      <c r="AW63" s="42">
        <f t="shared" ca="1" si="31"/>
        <v>102.92064221892579</v>
      </c>
      <c r="AX63" s="42">
        <f t="shared" ca="1" si="31"/>
        <v>101.98505786437356</v>
      </c>
      <c r="AY63" s="42">
        <f t="shared" ca="1" si="31"/>
        <v>100.30747212737705</v>
      </c>
      <c r="AZ63" s="42">
        <f t="shared" ca="1" si="31"/>
        <v>93.743254893414701</v>
      </c>
      <c r="BA63" s="42">
        <f t="shared" ca="1" si="31"/>
        <v>98.007607806543078</v>
      </c>
      <c r="BB63" s="42">
        <f t="shared" ca="1" si="31"/>
        <v>96.138632463224326</v>
      </c>
      <c r="BC63" s="42">
        <f t="shared" ca="1" si="31"/>
        <v>101.31594774509274</v>
      </c>
      <c r="BD63" s="42">
        <f t="shared" ca="1" si="31"/>
        <v>100.19547796068731</v>
      </c>
      <c r="BE63" s="42">
        <f t="shared" ca="1" si="31"/>
        <v>98.77703055224336</v>
      </c>
      <c r="BF63" s="42">
        <f t="shared" ca="1" si="31"/>
        <v>94.617352167243808</v>
      </c>
      <c r="BG63" s="42">
        <f t="shared" ca="1" si="31"/>
        <v>96.411098434832624</v>
      </c>
      <c r="BH63" s="42">
        <f t="shared" ca="1" si="31"/>
        <v>98.722053487756469</v>
      </c>
      <c r="BI63" s="42">
        <f t="shared" ca="1" si="31"/>
        <v>102.60257156736566</v>
      </c>
      <c r="BJ63" s="42">
        <f t="shared" ca="1" si="31"/>
        <v>99.985004764512226</v>
      </c>
      <c r="BK63" s="42">
        <f t="shared" ca="1" si="31"/>
        <v>91.754495572646107</v>
      </c>
      <c r="BL63" s="42">
        <f t="shared" ca="1" si="31"/>
        <v>99.017265228480554</v>
      </c>
      <c r="BM63" s="42">
        <f t="shared" ca="1" si="31"/>
        <v>100.2354403986747</v>
      </c>
    </row>
    <row r="64" spans="2:65" x14ac:dyDescent="0.45">
      <c r="B64" s="25" t="s">
        <v>233</v>
      </c>
      <c r="C64" s="26" t="s">
        <v>201</v>
      </c>
      <c r="D64" s="58">
        <f ca="1">SUM(F64:BM64)</f>
        <v>562.76694039129939</v>
      </c>
      <c r="E64" s="28"/>
      <c r="F64" s="42">
        <f t="shared" ref="F64:AK64" ca="1" si="32">F21-F63</f>
        <v>0</v>
      </c>
      <c r="G64" s="42">
        <f t="shared" ca="1" si="32"/>
        <v>0</v>
      </c>
      <c r="H64" s="42">
        <f t="shared" ca="1" si="32"/>
        <v>0</v>
      </c>
      <c r="I64" s="42">
        <f t="shared" ca="1" si="32"/>
        <v>0</v>
      </c>
      <c r="J64" s="42">
        <f t="shared" ca="1" si="32"/>
        <v>3.9552371576258309</v>
      </c>
      <c r="K64" s="42">
        <f t="shared" ca="1" si="32"/>
        <v>2.3603071170632006</v>
      </c>
      <c r="L64" s="42">
        <f t="shared" ca="1" si="32"/>
        <v>0</v>
      </c>
      <c r="M64" s="42">
        <f t="shared" ca="1" si="32"/>
        <v>0</v>
      </c>
      <c r="N64" s="42">
        <f t="shared" ca="1" si="32"/>
        <v>0</v>
      </c>
      <c r="O64" s="42">
        <f t="shared" ca="1" si="32"/>
        <v>0</v>
      </c>
      <c r="P64" s="42">
        <f t="shared" ca="1" si="32"/>
        <v>0</v>
      </c>
      <c r="Q64" s="42">
        <f t="shared" ca="1" si="32"/>
        <v>0</v>
      </c>
      <c r="R64" s="42">
        <f t="shared" ca="1" si="32"/>
        <v>0</v>
      </c>
      <c r="S64" s="42">
        <f t="shared" ca="1" si="32"/>
        <v>0</v>
      </c>
      <c r="T64" s="42">
        <f t="shared" ca="1" si="32"/>
        <v>0</v>
      </c>
      <c r="U64" s="42">
        <f t="shared" ca="1" si="32"/>
        <v>0</v>
      </c>
      <c r="V64" s="42">
        <f t="shared" ca="1" si="32"/>
        <v>0</v>
      </c>
      <c r="W64" s="42">
        <f t="shared" ca="1" si="32"/>
        <v>1.997372079675273</v>
      </c>
      <c r="X64" s="42">
        <f t="shared" ca="1" si="32"/>
        <v>0</v>
      </c>
      <c r="Y64" s="42">
        <f t="shared" ca="1" si="32"/>
        <v>0</v>
      </c>
      <c r="Z64" s="42">
        <f t="shared" ca="1" si="32"/>
        <v>0</v>
      </c>
      <c r="AA64" s="42">
        <f t="shared" ca="1" si="32"/>
        <v>0</v>
      </c>
      <c r="AB64" s="42">
        <f t="shared" ca="1" si="32"/>
        <v>0</v>
      </c>
      <c r="AC64" s="42">
        <f t="shared" ca="1" si="32"/>
        <v>0</v>
      </c>
      <c r="AD64" s="42">
        <f t="shared" ca="1" si="32"/>
        <v>0</v>
      </c>
      <c r="AE64" s="42">
        <f t="shared" ca="1" si="32"/>
        <v>0</v>
      </c>
      <c r="AF64" s="42">
        <f t="shared" ca="1" si="32"/>
        <v>0</v>
      </c>
      <c r="AG64" s="42">
        <f t="shared" ca="1" si="32"/>
        <v>0</v>
      </c>
      <c r="AH64" s="42">
        <f t="shared" ca="1" si="32"/>
        <v>5.163355182172495</v>
      </c>
      <c r="AI64" s="42">
        <f t="shared" ca="1" si="32"/>
        <v>17.961171636683773</v>
      </c>
      <c r="AJ64" s="42">
        <f t="shared" ca="1" si="32"/>
        <v>18.549153182131192</v>
      </c>
      <c r="AK64" s="42">
        <f t="shared" ca="1" si="32"/>
        <v>7.8649670427094662</v>
      </c>
      <c r="AL64" s="42">
        <f t="shared" ref="AL64:BQ64" ca="1" si="33">AL21-AL63</f>
        <v>9.3636893598085749</v>
      </c>
      <c r="AM64" s="42">
        <f t="shared" ca="1" si="33"/>
        <v>11.918893536742715</v>
      </c>
      <c r="AN64" s="42">
        <f t="shared" ca="1" si="33"/>
        <v>15.713351044584996</v>
      </c>
      <c r="AO64" s="42">
        <f t="shared" ca="1" si="33"/>
        <v>5.531804717493813</v>
      </c>
      <c r="AP64" s="42">
        <f t="shared" ca="1" si="33"/>
        <v>1.8172514463568916</v>
      </c>
      <c r="AQ64" s="42">
        <f t="shared" ca="1" si="33"/>
        <v>10.354635481883918</v>
      </c>
      <c r="AR64" s="42">
        <f t="shared" ca="1" si="33"/>
        <v>16.178894043087851</v>
      </c>
      <c r="AS64" s="42">
        <f t="shared" ca="1" si="33"/>
        <v>29.425155877990889</v>
      </c>
      <c r="AT64" s="42">
        <f t="shared" ca="1" si="33"/>
        <v>16.006266292963318</v>
      </c>
      <c r="AU64" s="42">
        <f t="shared" ca="1" si="33"/>
        <v>20.527171921772094</v>
      </c>
      <c r="AV64" s="42">
        <f t="shared" ca="1" si="33"/>
        <v>23.110681832142248</v>
      </c>
      <c r="AW64" s="42">
        <f t="shared" ca="1" si="33"/>
        <v>17.289854424965952</v>
      </c>
      <c r="AX64" s="42">
        <f t="shared" ca="1" si="33"/>
        <v>16.526419373528014</v>
      </c>
      <c r="AY64" s="42">
        <f t="shared" ca="1" si="33"/>
        <v>13.288915784237076</v>
      </c>
      <c r="AZ64" s="42">
        <f t="shared" ca="1" si="33"/>
        <v>19.187164170058367</v>
      </c>
      <c r="BA64" s="42">
        <f t="shared" ca="1" si="33"/>
        <v>7.4513826590405472</v>
      </c>
      <c r="BB64" s="42">
        <f t="shared" ca="1" si="33"/>
        <v>5.9462973232793672</v>
      </c>
      <c r="BC64" s="42">
        <f t="shared" ca="1" si="33"/>
        <v>5.5753529517525067</v>
      </c>
      <c r="BD64" s="42">
        <f t="shared" ca="1" si="33"/>
        <v>15.05012060110046</v>
      </c>
      <c r="BE64" s="42">
        <f t="shared" ca="1" si="33"/>
        <v>20.282750182475951</v>
      </c>
      <c r="BF64" s="42">
        <f t="shared" ca="1" si="33"/>
        <v>35.980548166274446</v>
      </c>
      <c r="BG64" s="42">
        <f t="shared" ca="1" si="33"/>
        <v>40.673799575959933</v>
      </c>
      <c r="BH64" s="42">
        <f t="shared" ca="1" si="33"/>
        <v>31.627820733555026</v>
      </c>
      <c r="BI64" s="42">
        <f t="shared" ca="1" si="33"/>
        <v>21.327287783221351</v>
      </c>
      <c r="BJ64" s="42">
        <f t="shared" ca="1" si="33"/>
        <v>26.363662461284974</v>
      </c>
      <c r="BK64" s="42">
        <f t="shared" ca="1" si="33"/>
        <v>31.524746107827511</v>
      </c>
      <c r="BL64" s="42">
        <f t="shared" ca="1" si="33"/>
        <v>24.799104277674417</v>
      </c>
      <c r="BM64" s="42">
        <f t="shared" ca="1" si="33"/>
        <v>12.072354862174947</v>
      </c>
    </row>
    <row r="65" spans="2:65" x14ac:dyDescent="0.45">
      <c r="B65" s="25" t="s">
        <v>234</v>
      </c>
      <c r="C65" s="26" t="s">
        <v>201</v>
      </c>
      <c r="D65" s="58">
        <f ca="1">SUM(F65:BM65)</f>
        <v>294.74104887008042</v>
      </c>
      <c r="E65" s="28"/>
      <c r="F65" s="42">
        <f t="shared" ref="F65:AK65" ca="1" si="34">MIN(F64,OTMax*F62)</f>
        <v>0</v>
      </c>
      <c r="G65" s="42">
        <f t="shared" ca="1" si="34"/>
        <v>0</v>
      </c>
      <c r="H65" s="42">
        <f t="shared" ca="1" si="34"/>
        <v>0</v>
      </c>
      <c r="I65" s="42">
        <f t="shared" ca="1" si="34"/>
        <v>0</v>
      </c>
      <c r="J65" s="42">
        <f t="shared" ca="1" si="34"/>
        <v>3.9552371576258309</v>
      </c>
      <c r="K65" s="42">
        <f t="shared" ca="1" si="34"/>
        <v>2.3603071170632006</v>
      </c>
      <c r="L65" s="42">
        <f t="shared" ca="1" si="34"/>
        <v>0</v>
      </c>
      <c r="M65" s="42">
        <f t="shared" ca="1" si="34"/>
        <v>0</v>
      </c>
      <c r="N65" s="42">
        <f t="shared" ca="1" si="34"/>
        <v>0</v>
      </c>
      <c r="O65" s="42">
        <f t="shared" ca="1" si="34"/>
        <v>0</v>
      </c>
      <c r="P65" s="42">
        <f t="shared" ca="1" si="34"/>
        <v>0</v>
      </c>
      <c r="Q65" s="42">
        <f t="shared" ca="1" si="34"/>
        <v>0</v>
      </c>
      <c r="R65" s="42">
        <f t="shared" ca="1" si="34"/>
        <v>0</v>
      </c>
      <c r="S65" s="42">
        <f t="shared" ca="1" si="34"/>
        <v>0</v>
      </c>
      <c r="T65" s="42">
        <f t="shared" ca="1" si="34"/>
        <v>0</v>
      </c>
      <c r="U65" s="42">
        <f t="shared" ca="1" si="34"/>
        <v>0</v>
      </c>
      <c r="V65" s="42">
        <f t="shared" ca="1" si="34"/>
        <v>0</v>
      </c>
      <c r="W65" s="42">
        <f t="shared" ca="1" si="34"/>
        <v>1.997372079675273</v>
      </c>
      <c r="X65" s="42">
        <f t="shared" ca="1" si="34"/>
        <v>0</v>
      </c>
      <c r="Y65" s="42">
        <f t="shared" ca="1" si="34"/>
        <v>0</v>
      </c>
      <c r="Z65" s="42">
        <f t="shared" ca="1" si="34"/>
        <v>0</v>
      </c>
      <c r="AA65" s="42">
        <f t="shared" ca="1" si="34"/>
        <v>0</v>
      </c>
      <c r="AB65" s="42">
        <f t="shared" ca="1" si="34"/>
        <v>0</v>
      </c>
      <c r="AC65" s="42">
        <f t="shared" ca="1" si="34"/>
        <v>0</v>
      </c>
      <c r="AD65" s="42">
        <f t="shared" ca="1" si="34"/>
        <v>0</v>
      </c>
      <c r="AE65" s="42">
        <f t="shared" ca="1" si="34"/>
        <v>0</v>
      </c>
      <c r="AF65" s="42">
        <f t="shared" ca="1" si="34"/>
        <v>0</v>
      </c>
      <c r="AG65" s="42">
        <f t="shared" ca="1" si="34"/>
        <v>0</v>
      </c>
      <c r="AH65" s="42">
        <f t="shared" ca="1" si="34"/>
        <v>5.163355182172495</v>
      </c>
      <c r="AI65" s="42">
        <f t="shared" ca="1" si="34"/>
        <v>9.8272377514754545</v>
      </c>
      <c r="AJ65" s="42">
        <f t="shared" ca="1" si="34"/>
        <v>9.8033776017976617</v>
      </c>
      <c r="AK65" s="42">
        <f t="shared" ca="1" si="34"/>
        <v>7.8649670427094662</v>
      </c>
      <c r="AL65" s="42">
        <f t="shared" ref="AL65:BQ65" ca="1" si="35">MIN(AL64,OTMax*AL62)</f>
        <v>9.3636893598085749</v>
      </c>
      <c r="AM65" s="42">
        <f t="shared" ca="1" si="35"/>
        <v>10.318689009200853</v>
      </c>
      <c r="AN65" s="42">
        <f t="shared" ca="1" si="35"/>
        <v>10.367504016333804</v>
      </c>
      <c r="AO65" s="42">
        <f t="shared" ca="1" si="35"/>
        <v>5.531804717493813</v>
      </c>
      <c r="AP65" s="42">
        <f t="shared" ca="1" si="35"/>
        <v>1.8172514463568916</v>
      </c>
      <c r="AQ65" s="42">
        <f t="shared" ca="1" si="35"/>
        <v>9.68885388188672</v>
      </c>
      <c r="AR65" s="42">
        <f t="shared" ca="1" si="35"/>
        <v>10.018001028217142</v>
      </c>
      <c r="AS65" s="42">
        <f t="shared" ca="1" si="35"/>
        <v>9.3006436952956317</v>
      </c>
      <c r="AT65" s="42">
        <f t="shared" ca="1" si="35"/>
        <v>10.453621778585664</v>
      </c>
      <c r="AU65" s="42">
        <f t="shared" ca="1" si="35"/>
        <v>10.02576028490958</v>
      </c>
      <c r="AV65" s="42">
        <f t="shared" ca="1" si="35"/>
        <v>9.7829210615465598</v>
      </c>
      <c r="AW65" s="42">
        <f t="shared" ca="1" si="35"/>
        <v>10.292064221892581</v>
      </c>
      <c r="AX65" s="42">
        <f t="shared" ca="1" si="35"/>
        <v>10.198505786437357</v>
      </c>
      <c r="AY65" s="42">
        <f t="shared" ca="1" si="35"/>
        <v>10.030747212737706</v>
      </c>
      <c r="AZ65" s="42">
        <f t="shared" ca="1" si="35"/>
        <v>9.3743254893414711</v>
      </c>
      <c r="BA65" s="42">
        <f t="shared" ca="1" si="35"/>
        <v>7.4513826590405472</v>
      </c>
      <c r="BB65" s="42">
        <f t="shared" ca="1" si="35"/>
        <v>5.9462973232793672</v>
      </c>
      <c r="BC65" s="42">
        <f t="shared" ca="1" si="35"/>
        <v>5.5753529517525067</v>
      </c>
      <c r="BD65" s="42">
        <f t="shared" ca="1" si="35"/>
        <v>10.019547796068732</v>
      </c>
      <c r="BE65" s="42">
        <f t="shared" ca="1" si="35"/>
        <v>9.8777030552243374</v>
      </c>
      <c r="BF65" s="42">
        <f t="shared" ca="1" si="35"/>
        <v>9.4617352167243816</v>
      </c>
      <c r="BG65" s="42">
        <f t="shared" ca="1" si="35"/>
        <v>9.6411098434832638</v>
      </c>
      <c r="BH65" s="42">
        <f t="shared" ca="1" si="35"/>
        <v>9.8722053487756476</v>
      </c>
      <c r="BI65" s="42">
        <f t="shared" ca="1" si="35"/>
        <v>10.260257156736566</v>
      </c>
      <c r="BJ65" s="42">
        <f t="shared" ca="1" si="35"/>
        <v>9.9985004764512233</v>
      </c>
      <c r="BK65" s="42">
        <f t="shared" ca="1" si="35"/>
        <v>9.1754495572646118</v>
      </c>
      <c r="BL65" s="42">
        <f t="shared" ca="1" si="35"/>
        <v>9.9017265228480564</v>
      </c>
      <c r="BM65" s="42">
        <f t="shared" ca="1" si="35"/>
        <v>10.02354403986747</v>
      </c>
    </row>
    <row r="66" spans="2:65" x14ac:dyDescent="0.45">
      <c r="B66" s="25" t="s">
        <v>235</v>
      </c>
      <c r="C66" s="26" t="s">
        <v>201</v>
      </c>
      <c r="D66" s="58">
        <f ca="1">SUM(F66:BM66)</f>
        <v>179.68117482029999</v>
      </c>
      <c r="E66" s="28"/>
      <c r="F66" s="42">
        <f t="shared" ref="F66:AK66" ca="1" si="36">MIN(F64-F65,SubMax)</f>
        <v>0</v>
      </c>
      <c r="G66" s="42">
        <f t="shared" ca="1" si="36"/>
        <v>0</v>
      </c>
      <c r="H66" s="42">
        <f t="shared" ca="1" si="36"/>
        <v>0</v>
      </c>
      <c r="I66" s="42">
        <f t="shared" ca="1" si="36"/>
        <v>0</v>
      </c>
      <c r="J66" s="42">
        <f t="shared" ca="1" si="36"/>
        <v>0</v>
      </c>
      <c r="K66" s="42">
        <f t="shared" ca="1" si="36"/>
        <v>0</v>
      </c>
      <c r="L66" s="42">
        <f t="shared" ca="1" si="36"/>
        <v>0</v>
      </c>
      <c r="M66" s="42">
        <f t="shared" ca="1" si="36"/>
        <v>0</v>
      </c>
      <c r="N66" s="42">
        <f t="shared" ca="1" si="36"/>
        <v>0</v>
      </c>
      <c r="O66" s="42">
        <f t="shared" ca="1" si="36"/>
        <v>0</v>
      </c>
      <c r="P66" s="42">
        <f t="shared" ca="1" si="36"/>
        <v>0</v>
      </c>
      <c r="Q66" s="42">
        <f t="shared" ca="1" si="36"/>
        <v>0</v>
      </c>
      <c r="R66" s="42">
        <f t="shared" ca="1" si="36"/>
        <v>0</v>
      </c>
      <c r="S66" s="42">
        <f t="shared" ca="1" si="36"/>
        <v>0</v>
      </c>
      <c r="T66" s="42">
        <f t="shared" ca="1" si="36"/>
        <v>0</v>
      </c>
      <c r="U66" s="42">
        <f t="shared" ca="1" si="36"/>
        <v>0</v>
      </c>
      <c r="V66" s="42">
        <f t="shared" ca="1" si="36"/>
        <v>0</v>
      </c>
      <c r="W66" s="42">
        <f t="shared" ca="1" si="36"/>
        <v>0</v>
      </c>
      <c r="X66" s="42">
        <f t="shared" ca="1" si="36"/>
        <v>0</v>
      </c>
      <c r="Y66" s="42">
        <f t="shared" ca="1" si="36"/>
        <v>0</v>
      </c>
      <c r="Z66" s="42">
        <f t="shared" ca="1" si="36"/>
        <v>0</v>
      </c>
      <c r="AA66" s="42">
        <f t="shared" ca="1" si="36"/>
        <v>0</v>
      </c>
      <c r="AB66" s="42">
        <f t="shared" ca="1" si="36"/>
        <v>0</v>
      </c>
      <c r="AC66" s="42">
        <f t="shared" ca="1" si="36"/>
        <v>0</v>
      </c>
      <c r="AD66" s="42">
        <f t="shared" ca="1" si="36"/>
        <v>0</v>
      </c>
      <c r="AE66" s="42">
        <f t="shared" ca="1" si="36"/>
        <v>0</v>
      </c>
      <c r="AF66" s="42">
        <f t="shared" ca="1" si="36"/>
        <v>0</v>
      </c>
      <c r="AG66" s="42">
        <f t="shared" ca="1" si="36"/>
        <v>0</v>
      </c>
      <c r="AH66" s="42">
        <f t="shared" ca="1" si="36"/>
        <v>0</v>
      </c>
      <c r="AI66" s="42">
        <f t="shared" ca="1" si="36"/>
        <v>8.1339338852083181</v>
      </c>
      <c r="AJ66" s="42">
        <f t="shared" ca="1" si="36"/>
        <v>8.7457755803335306</v>
      </c>
      <c r="AK66" s="42">
        <f t="shared" ca="1" si="36"/>
        <v>0</v>
      </c>
      <c r="AL66" s="42">
        <f t="shared" ref="AL66:BQ66" ca="1" si="37">MIN(AL64-AL65,SubMax)</f>
        <v>0</v>
      </c>
      <c r="AM66" s="42">
        <f t="shared" ca="1" si="37"/>
        <v>1.6002045275418624</v>
      </c>
      <c r="AN66" s="42">
        <f t="shared" ca="1" si="37"/>
        <v>5.3458470282511925</v>
      </c>
      <c r="AO66" s="42">
        <f t="shared" ca="1" si="37"/>
        <v>0</v>
      </c>
      <c r="AP66" s="42">
        <f t="shared" ca="1" si="37"/>
        <v>0</v>
      </c>
      <c r="AQ66" s="42">
        <f t="shared" ca="1" si="37"/>
        <v>0.66578159999719766</v>
      </c>
      <c r="AR66" s="42">
        <f t="shared" ca="1" si="37"/>
        <v>6.1608930148707088</v>
      </c>
      <c r="AS66" s="42">
        <f t="shared" ca="1" si="37"/>
        <v>10</v>
      </c>
      <c r="AT66" s="42">
        <f t="shared" ca="1" si="37"/>
        <v>5.5526445143776542</v>
      </c>
      <c r="AU66" s="42">
        <f t="shared" ca="1" si="37"/>
        <v>10</v>
      </c>
      <c r="AV66" s="42">
        <f t="shared" ca="1" si="37"/>
        <v>10</v>
      </c>
      <c r="AW66" s="42">
        <f t="shared" ca="1" si="37"/>
        <v>6.9977902030733716</v>
      </c>
      <c r="AX66" s="42">
        <f t="shared" ca="1" si="37"/>
        <v>6.3279135870906575</v>
      </c>
      <c r="AY66" s="42">
        <f t="shared" ca="1" si="37"/>
        <v>3.25816857149937</v>
      </c>
      <c r="AZ66" s="42">
        <f t="shared" ca="1" si="37"/>
        <v>9.8128386807168955</v>
      </c>
      <c r="BA66" s="42">
        <f t="shared" ca="1" si="37"/>
        <v>0</v>
      </c>
      <c r="BB66" s="42">
        <f t="shared" ca="1" si="37"/>
        <v>0</v>
      </c>
      <c r="BC66" s="42">
        <f t="shared" ca="1" si="37"/>
        <v>0</v>
      </c>
      <c r="BD66" s="42">
        <f t="shared" ca="1" si="37"/>
        <v>5.0305728050317278</v>
      </c>
      <c r="BE66" s="42">
        <f t="shared" ca="1" si="37"/>
        <v>10</v>
      </c>
      <c r="BF66" s="42">
        <f t="shared" ca="1" si="37"/>
        <v>10</v>
      </c>
      <c r="BG66" s="42">
        <f t="shared" ca="1" si="37"/>
        <v>10</v>
      </c>
      <c r="BH66" s="42">
        <f t="shared" ca="1" si="37"/>
        <v>10</v>
      </c>
      <c r="BI66" s="42">
        <f t="shared" ca="1" si="37"/>
        <v>10</v>
      </c>
      <c r="BJ66" s="42">
        <f t="shared" ca="1" si="37"/>
        <v>10</v>
      </c>
      <c r="BK66" s="42">
        <f t="shared" ca="1" si="37"/>
        <v>10</v>
      </c>
      <c r="BL66" s="42">
        <f t="shared" ca="1" si="37"/>
        <v>10</v>
      </c>
      <c r="BM66" s="42">
        <f t="shared" ca="1" si="37"/>
        <v>2.0488108223074768</v>
      </c>
    </row>
    <row r="67" spans="2:65" x14ac:dyDescent="0.45">
      <c r="B67" s="25" t="s">
        <v>236</v>
      </c>
      <c r="C67" s="26" t="s">
        <v>201</v>
      </c>
      <c r="D67" s="58">
        <f ca="1">SUM(F67:BM67)</f>
        <v>88.344716700918966</v>
      </c>
      <c r="E67" s="28"/>
      <c r="F67" s="42">
        <f t="shared" ref="F67:AK67" ca="1" si="38">F64-F65-F66</f>
        <v>0</v>
      </c>
      <c r="G67" s="42">
        <f t="shared" ca="1" si="38"/>
        <v>0</v>
      </c>
      <c r="H67" s="42">
        <f t="shared" ca="1" si="38"/>
        <v>0</v>
      </c>
      <c r="I67" s="42">
        <f t="shared" ca="1" si="38"/>
        <v>0</v>
      </c>
      <c r="J67" s="42">
        <f t="shared" ca="1" si="38"/>
        <v>0</v>
      </c>
      <c r="K67" s="42">
        <f t="shared" ca="1" si="38"/>
        <v>0</v>
      </c>
      <c r="L67" s="42">
        <f t="shared" ca="1" si="38"/>
        <v>0</v>
      </c>
      <c r="M67" s="42">
        <f t="shared" ca="1" si="38"/>
        <v>0</v>
      </c>
      <c r="N67" s="42">
        <f t="shared" ca="1" si="38"/>
        <v>0</v>
      </c>
      <c r="O67" s="42">
        <f t="shared" ca="1" si="38"/>
        <v>0</v>
      </c>
      <c r="P67" s="42">
        <f t="shared" ca="1" si="38"/>
        <v>0</v>
      </c>
      <c r="Q67" s="42">
        <f t="shared" ca="1" si="38"/>
        <v>0</v>
      </c>
      <c r="R67" s="42">
        <f t="shared" ca="1" si="38"/>
        <v>0</v>
      </c>
      <c r="S67" s="42">
        <f t="shared" ca="1" si="38"/>
        <v>0</v>
      </c>
      <c r="T67" s="42">
        <f t="shared" ca="1" si="38"/>
        <v>0</v>
      </c>
      <c r="U67" s="42">
        <f t="shared" ca="1" si="38"/>
        <v>0</v>
      </c>
      <c r="V67" s="42">
        <f t="shared" ca="1" si="38"/>
        <v>0</v>
      </c>
      <c r="W67" s="42">
        <f t="shared" ca="1" si="38"/>
        <v>0</v>
      </c>
      <c r="X67" s="42">
        <f t="shared" ca="1" si="38"/>
        <v>0</v>
      </c>
      <c r="Y67" s="42">
        <f t="shared" ca="1" si="38"/>
        <v>0</v>
      </c>
      <c r="Z67" s="42">
        <f t="shared" ca="1" si="38"/>
        <v>0</v>
      </c>
      <c r="AA67" s="42">
        <f t="shared" ca="1" si="38"/>
        <v>0</v>
      </c>
      <c r="AB67" s="42">
        <f t="shared" ca="1" si="38"/>
        <v>0</v>
      </c>
      <c r="AC67" s="42">
        <f t="shared" ca="1" si="38"/>
        <v>0</v>
      </c>
      <c r="AD67" s="42">
        <f t="shared" ca="1" si="38"/>
        <v>0</v>
      </c>
      <c r="AE67" s="42">
        <f t="shared" ca="1" si="38"/>
        <v>0</v>
      </c>
      <c r="AF67" s="42">
        <f t="shared" ca="1" si="38"/>
        <v>0</v>
      </c>
      <c r="AG67" s="42">
        <f t="shared" ca="1" si="38"/>
        <v>0</v>
      </c>
      <c r="AH67" s="42">
        <f t="shared" ca="1" si="38"/>
        <v>0</v>
      </c>
      <c r="AI67" s="42">
        <f t="shared" ca="1" si="38"/>
        <v>0</v>
      </c>
      <c r="AJ67" s="42">
        <f t="shared" ca="1" si="38"/>
        <v>0</v>
      </c>
      <c r="AK67" s="42">
        <f t="shared" ca="1" si="38"/>
        <v>0</v>
      </c>
      <c r="AL67" s="42">
        <f t="shared" ref="AL67:BQ67" ca="1" si="39">AL64-AL65-AL66</f>
        <v>0</v>
      </c>
      <c r="AM67" s="42">
        <f t="shared" ca="1" si="39"/>
        <v>0</v>
      </c>
      <c r="AN67" s="42">
        <f t="shared" ca="1" si="39"/>
        <v>0</v>
      </c>
      <c r="AO67" s="42">
        <f t="shared" ca="1" si="39"/>
        <v>0</v>
      </c>
      <c r="AP67" s="42">
        <f t="shared" ca="1" si="39"/>
        <v>0</v>
      </c>
      <c r="AQ67" s="42">
        <f t="shared" ca="1" si="39"/>
        <v>0</v>
      </c>
      <c r="AR67" s="42">
        <f t="shared" ca="1" si="39"/>
        <v>0</v>
      </c>
      <c r="AS67" s="42">
        <f t="shared" ca="1" si="39"/>
        <v>10.124512182695256</v>
      </c>
      <c r="AT67" s="42">
        <f t="shared" ca="1" si="39"/>
        <v>0</v>
      </c>
      <c r="AU67" s="42">
        <f t="shared" ca="1" si="39"/>
        <v>0.50141163686251389</v>
      </c>
      <c r="AV67" s="42">
        <f t="shared" ca="1" si="39"/>
        <v>3.3277607705956882</v>
      </c>
      <c r="AW67" s="42">
        <f t="shared" ca="1" si="39"/>
        <v>0</v>
      </c>
      <c r="AX67" s="42">
        <f t="shared" ca="1" si="39"/>
        <v>0</v>
      </c>
      <c r="AY67" s="42">
        <f t="shared" ca="1" si="39"/>
        <v>0</v>
      </c>
      <c r="AZ67" s="42">
        <f t="shared" ca="1" si="39"/>
        <v>0</v>
      </c>
      <c r="BA67" s="42">
        <f t="shared" ca="1" si="39"/>
        <v>0</v>
      </c>
      <c r="BB67" s="42">
        <f t="shared" ca="1" si="39"/>
        <v>0</v>
      </c>
      <c r="BC67" s="42">
        <f t="shared" ca="1" si="39"/>
        <v>0</v>
      </c>
      <c r="BD67" s="42">
        <f t="shared" ca="1" si="39"/>
        <v>0</v>
      </c>
      <c r="BE67" s="42">
        <f t="shared" ca="1" si="39"/>
        <v>0.4050471272516134</v>
      </c>
      <c r="BF67" s="42">
        <f t="shared" ca="1" si="39"/>
        <v>16.518812949550064</v>
      </c>
      <c r="BG67" s="42">
        <f t="shared" ca="1" si="39"/>
        <v>21.032689732476669</v>
      </c>
      <c r="BH67" s="42">
        <f t="shared" ca="1" si="39"/>
        <v>11.755615384779379</v>
      </c>
      <c r="BI67" s="42">
        <f t="shared" ca="1" si="39"/>
        <v>1.0670306264847849</v>
      </c>
      <c r="BJ67" s="42">
        <f t="shared" ca="1" si="39"/>
        <v>6.3651619848337511</v>
      </c>
      <c r="BK67" s="42">
        <f t="shared" ca="1" si="39"/>
        <v>12.349296550562897</v>
      </c>
      <c r="BL67" s="42">
        <f t="shared" ca="1" si="39"/>
        <v>4.8973777548263602</v>
      </c>
      <c r="BM67" s="42">
        <f t="shared" ca="1" si="39"/>
        <v>0</v>
      </c>
    </row>
    <row r="68" spans="2:65" x14ac:dyDescent="0.45">
      <c r="B68" s="25" t="s">
        <v>237</v>
      </c>
      <c r="C68" s="26" t="s">
        <v>170</v>
      </c>
      <c r="D68" s="42">
        <f>New_1*NetCapex</f>
        <v>263.88336059324939</v>
      </c>
      <c r="E68" s="28"/>
      <c r="F68" s="26" t="s">
        <v>238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</row>
    <row r="69" spans="2:65" x14ac:dyDescent="0.45">
      <c r="B69" s="25" t="s">
        <v>239</v>
      </c>
      <c r="C69" s="26" t="s">
        <v>170</v>
      </c>
      <c r="D69" s="55" cm="1">
        <f t="array" aca="1" ref="D69" ca="1">_xll.VoseOutput("Постоянные затраты, один новый пресс","тыс. долл.")+PressFixed*SUMPRODUCT(F60:BM60,F26:BM26)</f>
        <v>175.11093159336914</v>
      </c>
      <c r="E69" s="28"/>
      <c r="F69" s="26" t="s">
        <v>240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</row>
    <row r="70" spans="2:65" x14ac:dyDescent="0.45">
      <c r="B70" s="25" t="s">
        <v>241</v>
      </c>
      <c r="C70" s="26" t="s">
        <v>170</v>
      </c>
      <c r="D70" s="55" cm="1">
        <f t="array" aca="1" ref="D70" ca="1">_xll.VoseOutput("Надбавка за сверхурочную работу, один новый пресс","тыс. долл.")+OTCost*SUMPRODUCT(F65:BM65,F26:BM26)</f>
        <v>66.87158854666221</v>
      </c>
      <c r="E70" s="28"/>
      <c r="F70" s="26" t="s">
        <v>242</v>
      </c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</row>
    <row r="71" spans="2:65" x14ac:dyDescent="0.45">
      <c r="B71" s="25" t="s">
        <v>243</v>
      </c>
      <c r="C71" s="26" t="s">
        <v>170</v>
      </c>
      <c r="D71" s="55" cm="1">
        <f t="array" aca="1" ref="D71" ca="1">_xll.VoseOutput("Надбавка за субподряд, один новый пресс","тыс. долл.")+SubCost*SUMPRODUCT(F66:BM66,F26:BM26)</f>
        <v>106.21033609947983</v>
      </c>
      <c r="E71" s="28"/>
      <c r="F71" s="26" t="s">
        <v>244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</row>
    <row r="72" spans="2:65" x14ac:dyDescent="0.45">
      <c r="B72" s="25" t="s">
        <v>245</v>
      </c>
      <c r="C72" s="26" t="s">
        <v>170</v>
      </c>
      <c r="D72" s="55" cm="1">
        <f t="array" aca="1" ref="D72" ca="1">_xll.VoseOutput("Потерянный маржинальный доход, один новый пресс","тыс. долл.")+LostCost*SUMPRODUCT(F67:BM67,F26:BM26)</f>
        <v>138.50671112079115</v>
      </c>
      <c r="E72" s="28"/>
      <c r="F72" s="26" t="s">
        <v>246</v>
      </c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</row>
    <row r="73" spans="2:65" x14ac:dyDescent="0.45">
      <c r="B73" s="59" t="s">
        <v>63</v>
      </c>
      <c r="C73" s="26" t="s">
        <v>170</v>
      </c>
      <c r="D73" s="58">
        <f ca="1">SUM(D68:D72)</f>
        <v>750.58292795355169</v>
      </c>
      <c r="E73" s="28"/>
      <c r="F73" s="26" t="s">
        <v>247</v>
      </c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</row>
    <row r="74" spans="2:65" ht="8" customHeight="1" x14ac:dyDescent="0.45"/>
    <row r="75" spans="2:65" ht="22.05" customHeight="1" x14ac:dyDescent="0.5">
      <c r="B75" s="7" t="s">
        <v>250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</row>
    <row r="76" spans="2:65" ht="18" customHeight="1" x14ac:dyDescent="0.45">
      <c r="B76" s="13" t="s">
        <v>251</v>
      </c>
    </row>
    <row r="77" spans="2:65" x14ac:dyDescent="0.45">
      <c r="B77" s="25" t="s">
        <v>227</v>
      </c>
      <c r="C77" s="26" t="s">
        <v>143</v>
      </c>
      <c r="D77" s="52">
        <v>2</v>
      </c>
      <c r="E77" s="28"/>
      <c r="F77" s="26" t="s">
        <v>228</v>
      </c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</row>
    <row r="78" spans="2:65" x14ac:dyDescent="0.45">
      <c r="B78" s="25" t="s">
        <v>229</v>
      </c>
      <c r="C78" s="26" t="s">
        <v>143</v>
      </c>
      <c r="D78" s="28"/>
      <c r="E78" s="28"/>
      <c r="F78" s="52">
        <f t="shared" ref="F78:AK78" ca="1" si="40">IF(F$6&gt;LeadM,New_2,0)</f>
        <v>0</v>
      </c>
      <c r="G78" s="52">
        <f t="shared" ca="1" si="40"/>
        <v>0</v>
      </c>
      <c r="H78" s="52">
        <f t="shared" ca="1" si="40"/>
        <v>0</v>
      </c>
      <c r="I78" s="52">
        <f t="shared" ca="1" si="40"/>
        <v>0</v>
      </c>
      <c r="J78" s="52">
        <f t="shared" ca="1" si="40"/>
        <v>0</v>
      </c>
      <c r="K78" s="52">
        <f t="shared" ca="1" si="40"/>
        <v>0</v>
      </c>
      <c r="L78" s="52">
        <f t="shared" ca="1" si="40"/>
        <v>2</v>
      </c>
      <c r="M78" s="52">
        <f t="shared" ca="1" si="40"/>
        <v>2</v>
      </c>
      <c r="N78" s="52">
        <f t="shared" ca="1" si="40"/>
        <v>2</v>
      </c>
      <c r="O78" s="52">
        <f t="shared" ca="1" si="40"/>
        <v>2</v>
      </c>
      <c r="P78" s="52">
        <f t="shared" ca="1" si="40"/>
        <v>2</v>
      </c>
      <c r="Q78" s="52">
        <f t="shared" ca="1" si="40"/>
        <v>2</v>
      </c>
      <c r="R78" s="52">
        <f t="shared" ca="1" si="40"/>
        <v>2</v>
      </c>
      <c r="S78" s="52">
        <f t="shared" ca="1" si="40"/>
        <v>2</v>
      </c>
      <c r="T78" s="52">
        <f t="shared" ca="1" si="40"/>
        <v>2</v>
      </c>
      <c r="U78" s="52">
        <f t="shared" ca="1" si="40"/>
        <v>2</v>
      </c>
      <c r="V78" s="52">
        <f t="shared" ca="1" si="40"/>
        <v>2</v>
      </c>
      <c r="W78" s="52">
        <f t="shared" ca="1" si="40"/>
        <v>2</v>
      </c>
      <c r="X78" s="52">
        <f t="shared" ca="1" si="40"/>
        <v>2</v>
      </c>
      <c r="Y78" s="52">
        <f t="shared" ca="1" si="40"/>
        <v>2</v>
      </c>
      <c r="Z78" s="52">
        <f t="shared" ca="1" si="40"/>
        <v>2</v>
      </c>
      <c r="AA78" s="52">
        <f t="shared" ca="1" si="40"/>
        <v>2</v>
      </c>
      <c r="AB78" s="52">
        <f t="shared" ca="1" si="40"/>
        <v>2</v>
      </c>
      <c r="AC78" s="52">
        <f t="shared" ca="1" si="40"/>
        <v>2</v>
      </c>
      <c r="AD78" s="52">
        <f t="shared" ca="1" si="40"/>
        <v>2</v>
      </c>
      <c r="AE78" s="52">
        <f t="shared" ca="1" si="40"/>
        <v>2</v>
      </c>
      <c r="AF78" s="52">
        <f t="shared" ca="1" si="40"/>
        <v>2</v>
      </c>
      <c r="AG78" s="52">
        <f t="shared" ca="1" si="40"/>
        <v>2</v>
      </c>
      <c r="AH78" s="52">
        <f t="shared" ca="1" si="40"/>
        <v>2</v>
      </c>
      <c r="AI78" s="52">
        <f t="shared" ca="1" si="40"/>
        <v>2</v>
      </c>
      <c r="AJ78" s="52">
        <f t="shared" ca="1" si="40"/>
        <v>2</v>
      </c>
      <c r="AK78" s="52">
        <f t="shared" ca="1" si="40"/>
        <v>2</v>
      </c>
      <c r="AL78" s="52">
        <f t="shared" ref="AL78:BM78" ca="1" si="41">IF(AL$6&gt;LeadM,New_2,0)</f>
        <v>2</v>
      </c>
      <c r="AM78" s="52">
        <f t="shared" ca="1" si="41"/>
        <v>2</v>
      </c>
      <c r="AN78" s="52">
        <f t="shared" ca="1" si="41"/>
        <v>2</v>
      </c>
      <c r="AO78" s="52">
        <f t="shared" ca="1" si="41"/>
        <v>2</v>
      </c>
      <c r="AP78" s="52">
        <f t="shared" ca="1" si="41"/>
        <v>2</v>
      </c>
      <c r="AQ78" s="52">
        <f t="shared" ca="1" si="41"/>
        <v>2</v>
      </c>
      <c r="AR78" s="52">
        <f t="shared" ca="1" si="41"/>
        <v>2</v>
      </c>
      <c r="AS78" s="52">
        <f t="shared" ca="1" si="41"/>
        <v>2</v>
      </c>
      <c r="AT78" s="52">
        <f t="shared" ca="1" si="41"/>
        <v>2</v>
      </c>
      <c r="AU78" s="52">
        <f t="shared" ca="1" si="41"/>
        <v>2</v>
      </c>
      <c r="AV78" s="52">
        <f t="shared" ca="1" si="41"/>
        <v>2</v>
      </c>
      <c r="AW78" s="52">
        <f t="shared" ca="1" si="41"/>
        <v>2</v>
      </c>
      <c r="AX78" s="52">
        <f t="shared" ca="1" si="41"/>
        <v>2</v>
      </c>
      <c r="AY78" s="52">
        <f t="shared" ca="1" si="41"/>
        <v>2</v>
      </c>
      <c r="AZ78" s="52">
        <f t="shared" ca="1" si="41"/>
        <v>2</v>
      </c>
      <c r="BA78" s="52">
        <f t="shared" ca="1" si="41"/>
        <v>2</v>
      </c>
      <c r="BB78" s="52">
        <f t="shared" ca="1" si="41"/>
        <v>2</v>
      </c>
      <c r="BC78" s="52">
        <f t="shared" ca="1" si="41"/>
        <v>2</v>
      </c>
      <c r="BD78" s="52">
        <f t="shared" ca="1" si="41"/>
        <v>2</v>
      </c>
      <c r="BE78" s="52">
        <f t="shared" ca="1" si="41"/>
        <v>2</v>
      </c>
      <c r="BF78" s="52">
        <f t="shared" ca="1" si="41"/>
        <v>2</v>
      </c>
      <c r="BG78" s="52">
        <f t="shared" ca="1" si="41"/>
        <v>2</v>
      </c>
      <c r="BH78" s="52">
        <f t="shared" ca="1" si="41"/>
        <v>2</v>
      </c>
      <c r="BI78" s="52">
        <f t="shared" ca="1" si="41"/>
        <v>2</v>
      </c>
      <c r="BJ78" s="52">
        <f t="shared" ca="1" si="41"/>
        <v>2</v>
      </c>
      <c r="BK78" s="52">
        <f t="shared" ca="1" si="41"/>
        <v>2</v>
      </c>
      <c r="BL78" s="52">
        <f t="shared" ca="1" si="41"/>
        <v>2</v>
      </c>
      <c r="BM78" s="52">
        <f t="shared" ca="1" si="41"/>
        <v>2</v>
      </c>
    </row>
    <row r="79" spans="2:65" x14ac:dyDescent="0.45">
      <c r="B79" s="25" t="s">
        <v>230</v>
      </c>
      <c r="C79" s="26" t="s">
        <v>143</v>
      </c>
      <c r="D79" s="28"/>
      <c r="E79" s="28"/>
      <c r="F79" s="52">
        <f t="shared" ref="F79:AK79" ca="1" si="42">Presses+F78</f>
        <v>4</v>
      </c>
      <c r="G79" s="52">
        <f t="shared" ca="1" si="42"/>
        <v>4</v>
      </c>
      <c r="H79" s="52">
        <f t="shared" ca="1" si="42"/>
        <v>4</v>
      </c>
      <c r="I79" s="52">
        <f t="shared" ca="1" si="42"/>
        <v>4</v>
      </c>
      <c r="J79" s="52">
        <f t="shared" ca="1" si="42"/>
        <v>4</v>
      </c>
      <c r="K79" s="52">
        <f t="shared" ca="1" si="42"/>
        <v>4</v>
      </c>
      <c r="L79" s="52">
        <f t="shared" ca="1" si="42"/>
        <v>6</v>
      </c>
      <c r="M79" s="52">
        <f t="shared" ca="1" si="42"/>
        <v>6</v>
      </c>
      <c r="N79" s="52">
        <f t="shared" ca="1" si="42"/>
        <v>6</v>
      </c>
      <c r="O79" s="52">
        <f t="shared" ca="1" si="42"/>
        <v>6</v>
      </c>
      <c r="P79" s="52">
        <f t="shared" ca="1" si="42"/>
        <v>6</v>
      </c>
      <c r="Q79" s="52">
        <f t="shared" ca="1" si="42"/>
        <v>6</v>
      </c>
      <c r="R79" s="52">
        <f t="shared" ca="1" si="42"/>
        <v>6</v>
      </c>
      <c r="S79" s="52">
        <f t="shared" ca="1" si="42"/>
        <v>6</v>
      </c>
      <c r="T79" s="52">
        <f t="shared" ca="1" si="42"/>
        <v>6</v>
      </c>
      <c r="U79" s="52">
        <f t="shared" ca="1" si="42"/>
        <v>6</v>
      </c>
      <c r="V79" s="52">
        <f t="shared" ca="1" si="42"/>
        <v>6</v>
      </c>
      <c r="W79" s="52">
        <f t="shared" ca="1" si="42"/>
        <v>6</v>
      </c>
      <c r="X79" s="52">
        <f t="shared" ca="1" si="42"/>
        <v>6</v>
      </c>
      <c r="Y79" s="52">
        <f t="shared" ca="1" si="42"/>
        <v>6</v>
      </c>
      <c r="Z79" s="52">
        <f t="shared" ca="1" si="42"/>
        <v>6</v>
      </c>
      <c r="AA79" s="52">
        <f t="shared" ca="1" si="42"/>
        <v>6</v>
      </c>
      <c r="AB79" s="52">
        <f t="shared" ca="1" si="42"/>
        <v>6</v>
      </c>
      <c r="AC79" s="52">
        <f t="shared" ca="1" si="42"/>
        <v>6</v>
      </c>
      <c r="AD79" s="52">
        <f t="shared" ca="1" si="42"/>
        <v>6</v>
      </c>
      <c r="AE79" s="52">
        <f t="shared" ca="1" si="42"/>
        <v>6</v>
      </c>
      <c r="AF79" s="52">
        <f t="shared" ca="1" si="42"/>
        <v>6</v>
      </c>
      <c r="AG79" s="52">
        <f t="shared" ca="1" si="42"/>
        <v>6</v>
      </c>
      <c r="AH79" s="52">
        <f t="shared" ca="1" si="42"/>
        <v>6</v>
      </c>
      <c r="AI79" s="52">
        <f t="shared" ca="1" si="42"/>
        <v>6</v>
      </c>
      <c r="AJ79" s="52">
        <f t="shared" ca="1" si="42"/>
        <v>6</v>
      </c>
      <c r="AK79" s="52">
        <f t="shared" ca="1" si="42"/>
        <v>6</v>
      </c>
      <c r="AL79" s="52">
        <f t="shared" ref="AL79:BQ79" ca="1" si="43">Presses+AL78</f>
        <v>6</v>
      </c>
      <c r="AM79" s="52">
        <f t="shared" ca="1" si="43"/>
        <v>6</v>
      </c>
      <c r="AN79" s="52">
        <f t="shared" ca="1" si="43"/>
        <v>6</v>
      </c>
      <c r="AO79" s="52">
        <f t="shared" ca="1" si="43"/>
        <v>6</v>
      </c>
      <c r="AP79" s="52">
        <f t="shared" ca="1" si="43"/>
        <v>6</v>
      </c>
      <c r="AQ79" s="52">
        <f t="shared" ca="1" si="43"/>
        <v>6</v>
      </c>
      <c r="AR79" s="52">
        <f t="shared" ca="1" si="43"/>
        <v>6</v>
      </c>
      <c r="AS79" s="52">
        <f t="shared" ca="1" si="43"/>
        <v>6</v>
      </c>
      <c r="AT79" s="52">
        <f t="shared" ca="1" si="43"/>
        <v>6</v>
      </c>
      <c r="AU79" s="52">
        <f t="shared" ca="1" si="43"/>
        <v>6</v>
      </c>
      <c r="AV79" s="52">
        <f t="shared" ca="1" si="43"/>
        <v>6</v>
      </c>
      <c r="AW79" s="52">
        <f t="shared" ca="1" si="43"/>
        <v>6</v>
      </c>
      <c r="AX79" s="52">
        <f t="shared" ca="1" si="43"/>
        <v>6</v>
      </c>
      <c r="AY79" s="52">
        <f t="shared" ca="1" si="43"/>
        <v>6</v>
      </c>
      <c r="AZ79" s="52">
        <f t="shared" ca="1" si="43"/>
        <v>6</v>
      </c>
      <c r="BA79" s="52">
        <f t="shared" ca="1" si="43"/>
        <v>6</v>
      </c>
      <c r="BB79" s="52">
        <f t="shared" ca="1" si="43"/>
        <v>6</v>
      </c>
      <c r="BC79" s="52">
        <f t="shared" ca="1" si="43"/>
        <v>6</v>
      </c>
      <c r="BD79" s="52">
        <f t="shared" ca="1" si="43"/>
        <v>6</v>
      </c>
      <c r="BE79" s="52">
        <f t="shared" ca="1" si="43"/>
        <v>6</v>
      </c>
      <c r="BF79" s="52">
        <f t="shared" ca="1" si="43"/>
        <v>6</v>
      </c>
      <c r="BG79" s="52">
        <f t="shared" ca="1" si="43"/>
        <v>6</v>
      </c>
      <c r="BH79" s="52">
        <f t="shared" ca="1" si="43"/>
        <v>6</v>
      </c>
      <c r="BI79" s="52">
        <f t="shared" ca="1" si="43"/>
        <v>6</v>
      </c>
      <c r="BJ79" s="52">
        <f t="shared" ca="1" si="43"/>
        <v>6</v>
      </c>
      <c r="BK79" s="52">
        <f t="shared" ca="1" si="43"/>
        <v>6</v>
      </c>
      <c r="BL79" s="52">
        <f t="shared" ca="1" si="43"/>
        <v>6</v>
      </c>
      <c r="BM79" s="52">
        <f t="shared" ca="1" si="43"/>
        <v>6</v>
      </c>
    </row>
    <row r="80" spans="2:65" x14ac:dyDescent="0.45">
      <c r="B80" s="25" t="s">
        <v>231</v>
      </c>
      <c r="C80" s="26" t="s">
        <v>201</v>
      </c>
      <c r="D80" s="28"/>
      <c r="E80" s="28"/>
      <c r="F80" s="42">
        <f t="shared" ref="F80:AK80" ca="1" si="44">F79*PressRate*F25</f>
        <v>80.124886694610183</v>
      </c>
      <c r="G80" s="42">
        <f t="shared" ca="1" si="44"/>
        <v>79.14931051550758</v>
      </c>
      <c r="H80" s="42">
        <f t="shared" ca="1" si="44"/>
        <v>84.200681683981671</v>
      </c>
      <c r="I80" s="42">
        <f t="shared" ca="1" si="44"/>
        <v>80.737153669729338</v>
      </c>
      <c r="J80" s="42">
        <f t="shared" ca="1" si="44"/>
        <v>79.213241678328799</v>
      </c>
      <c r="K80" s="42">
        <f t="shared" ca="1" si="44"/>
        <v>82.502535811334667</v>
      </c>
      <c r="L80" s="42">
        <f t="shared" ca="1" si="44"/>
        <v>121.50129934894693</v>
      </c>
      <c r="M80" s="42">
        <f t="shared" ca="1" si="44"/>
        <v>126.20220243272361</v>
      </c>
      <c r="N80" s="42">
        <f t="shared" ca="1" si="44"/>
        <v>122.44998623537194</v>
      </c>
      <c r="O80" s="42">
        <f t="shared" ca="1" si="44"/>
        <v>116.68000842366634</v>
      </c>
      <c r="P80" s="42">
        <f t="shared" ca="1" si="44"/>
        <v>119.31924213576748</v>
      </c>
      <c r="Q80" s="42">
        <f t="shared" ca="1" si="44"/>
        <v>121.01197569722696</v>
      </c>
      <c r="R80" s="42">
        <f t="shared" ca="1" si="44"/>
        <v>112.08781210610067</v>
      </c>
      <c r="S80" s="42">
        <f t="shared" ca="1" si="44"/>
        <v>124.37543649786947</v>
      </c>
      <c r="T80" s="42">
        <f t="shared" ca="1" si="44"/>
        <v>119.19886187714559</v>
      </c>
      <c r="U80" s="42">
        <f t="shared" ca="1" si="44"/>
        <v>115.75208810330003</v>
      </c>
      <c r="V80" s="42">
        <f t="shared" ca="1" si="44"/>
        <v>114.01266071543294</v>
      </c>
      <c r="W80" s="42">
        <f t="shared" ca="1" si="44"/>
        <v>119.96614455904438</v>
      </c>
      <c r="X80" s="42">
        <f t="shared" ca="1" si="44"/>
        <v>122.73869503725604</v>
      </c>
      <c r="Y80" s="42">
        <f t="shared" ca="1" si="44"/>
        <v>122.32045727088567</v>
      </c>
      <c r="Z80" s="42">
        <f t="shared" ca="1" si="44"/>
        <v>119.50028284470045</v>
      </c>
      <c r="AA80" s="42">
        <f t="shared" ca="1" si="44"/>
        <v>119.26323838055278</v>
      </c>
      <c r="AB80" s="42">
        <f t="shared" ca="1" si="44"/>
        <v>125.90171092025976</v>
      </c>
      <c r="AC80" s="42">
        <f t="shared" ca="1" si="44"/>
        <v>118.52865977813057</v>
      </c>
      <c r="AD80" s="42">
        <f t="shared" ca="1" si="44"/>
        <v>124.44873962882592</v>
      </c>
      <c r="AE80" s="42">
        <f t="shared" ca="1" si="44"/>
        <v>118.01607838067738</v>
      </c>
      <c r="AF80" s="42">
        <f t="shared" ca="1" si="44"/>
        <v>116.25149538725691</v>
      </c>
      <c r="AG80" s="42">
        <f t="shared" ca="1" si="44"/>
        <v>122.03717187814196</v>
      </c>
      <c r="AH80" s="42">
        <f t="shared" ca="1" si="44"/>
        <v>125.72645591853407</v>
      </c>
      <c r="AI80" s="42">
        <f t="shared" ca="1" si="44"/>
        <v>117.92685301770544</v>
      </c>
      <c r="AJ80" s="42">
        <f t="shared" ca="1" si="44"/>
        <v>117.64053122157193</v>
      </c>
      <c r="AK80" s="42">
        <f t="shared" ca="1" si="44"/>
        <v>122.34447424462331</v>
      </c>
      <c r="AL80" s="42">
        <f t="shared" ref="AL80:BQ80" ca="1" si="45">AL79*PressRate*AL25</f>
        <v>121.28519587464349</v>
      </c>
      <c r="AM80" s="42">
        <f t="shared" ca="1" si="45"/>
        <v>123.82426811041023</v>
      </c>
      <c r="AN80" s="42">
        <f t="shared" ca="1" si="45"/>
        <v>124.41004819600562</v>
      </c>
      <c r="AO80" s="42">
        <f t="shared" ca="1" si="45"/>
        <v>122.97663461039465</v>
      </c>
      <c r="AP80" s="42">
        <f t="shared" ca="1" si="45"/>
        <v>120.28751446376721</v>
      </c>
      <c r="AQ80" s="42">
        <f t="shared" ca="1" si="45"/>
        <v>116.26624658264063</v>
      </c>
      <c r="AR80" s="42">
        <f t="shared" ca="1" si="45"/>
        <v>120.21601233860571</v>
      </c>
      <c r="AS80" s="42">
        <f t="shared" ca="1" si="45"/>
        <v>111.60772434354759</v>
      </c>
      <c r="AT80" s="42">
        <f t="shared" ca="1" si="45"/>
        <v>125.44346134302793</v>
      </c>
      <c r="AU80" s="42">
        <f t="shared" ca="1" si="45"/>
        <v>120.30912341891496</v>
      </c>
      <c r="AV80" s="42">
        <f t="shared" ca="1" si="45"/>
        <v>117.39505273855872</v>
      </c>
      <c r="AW80" s="42">
        <f t="shared" ca="1" si="45"/>
        <v>123.50477066271094</v>
      </c>
      <c r="AX80" s="42">
        <f t="shared" ca="1" si="45"/>
        <v>122.38206943724828</v>
      </c>
      <c r="AY80" s="42">
        <f t="shared" ca="1" si="45"/>
        <v>120.36896655285246</v>
      </c>
      <c r="AZ80" s="42">
        <f t="shared" ca="1" si="45"/>
        <v>112.49190587209765</v>
      </c>
      <c r="BA80" s="42">
        <f t="shared" ca="1" si="45"/>
        <v>117.60912936785169</v>
      </c>
      <c r="BB80" s="42">
        <f t="shared" ca="1" si="45"/>
        <v>115.36635895586919</v>
      </c>
      <c r="BC80" s="42">
        <f t="shared" ca="1" si="45"/>
        <v>121.57913729411129</v>
      </c>
      <c r="BD80" s="42">
        <f t="shared" ca="1" si="45"/>
        <v>120.23457355282477</v>
      </c>
      <c r="BE80" s="42">
        <f t="shared" ca="1" si="45"/>
        <v>118.53243666269204</v>
      </c>
      <c r="BF80" s="42">
        <f t="shared" ca="1" si="45"/>
        <v>113.54082260069256</v>
      </c>
      <c r="BG80" s="42">
        <f t="shared" ca="1" si="45"/>
        <v>115.69331812179915</v>
      </c>
      <c r="BH80" s="42">
        <f t="shared" ca="1" si="45"/>
        <v>118.46646418530776</v>
      </c>
      <c r="BI80" s="42">
        <f t="shared" ca="1" si="45"/>
        <v>123.12308588083879</v>
      </c>
      <c r="BJ80" s="42">
        <f t="shared" ca="1" si="45"/>
        <v>119.98200571741467</v>
      </c>
      <c r="BK80" s="42">
        <f t="shared" ca="1" si="45"/>
        <v>110.10539468717532</v>
      </c>
      <c r="BL80" s="42">
        <f t="shared" ca="1" si="45"/>
        <v>118.82071827417666</v>
      </c>
      <c r="BM80" s="42">
        <f t="shared" ca="1" si="45"/>
        <v>120.28252847840965</v>
      </c>
    </row>
    <row r="81" spans="2:65" x14ac:dyDescent="0.45">
      <c r="B81" s="25" t="s">
        <v>232</v>
      </c>
      <c r="C81" s="26" t="s">
        <v>201</v>
      </c>
      <c r="D81" s="58">
        <f ca="1">SUM(F81:BM81)</f>
        <v>5931.2432077648727</v>
      </c>
      <c r="E81" s="28"/>
      <c r="F81" s="42">
        <f t="shared" ref="F81:AK81" ca="1" si="46">MIN(F21,F80)</f>
        <v>68.290595695396206</v>
      </c>
      <c r="G81" s="42">
        <f t="shared" ca="1" si="46"/>
        <v>65.692994202387496</v>
      </c>
      <c r="H81" s="42">
        <f t="shared" ca="1" si="46"/>
        <v>72.268129370746678</v>
      </c>
      <c r="I81" s="42">
        <f t="shared" ca="1" si="46"/>
        <v>77.243553565078926</v>
      </c>
      <c r="J81" s="42">
        <f t="shared" ca="1" si="46"/>
        <v>79.213241678328799</v>
      </c>
      <c r="K81" s="42">
        <f t="shared" ca="1" si="46"/>
        <v>82.502535811334667</v>
      </c>
      <c r="L81" s="42">
        <f t="shared" ca="1" si="46"/>
        <v>86.295048308163743</v>
      </c>
      <c r="M81" s="42">
        <f t="shared" ca="1" si="46"/>
        <v>77.379524838997042</v>
      </c>
      <c r="N81" s="42">
        <f t="shared" ca="1" si="46"/>
        <v>74.586918691012855</v>
      </c>
      <c r="O81" s="42">
        <f t="shared" ca="1" si="46"/>
        <v>74.122158261100623</v>
      </c>
      <c r="P81" s="42">
        <f t="shared" ca="1" si="46"/>
        <v>72.883368998373925</v>
      </c>
      <c r="Q81" s="42">
        <f t="shared" ca="1" si="46"/>
        <v>67.808823720456559</v>
      </c>
      <c r="R81" s="42">
        <f t="shared" ca="1" si="46"/>
        <v>70.090750096157066</v>
      </c>
      <c r="S81" s="42">
        <f t="shared" ca="1" si="46"/>
        <v>73.703218832637063</v>
      </c>
      <c r="T81" s="42">
        <f t="shared" ca="1" si="46"/>
        <v>83.190572475925066</v>
      </c>
      <c r="U81" s="42">
        <f t="shared" ca="1" si="46"/>
        <v>87.799389012387152</v>
      </c>
      <c r="V81" s="42">
        <f t="shared" ca="1" si="46"/>
        <v>93.341994768783678</v>
      </c>
      <c r="W81" s="42">
        <f t="shared" ca="1" si="46"/>
        <v>101.96915921221226</v>
      </c>
      <c r="X81" s="42">
        <f t="shared" ca="1" si="46"/>
        <v>95.525169615811947</v>
      </c>
      <c r="Y81" s="42">
        <f t="shared" ca="1" si="46"/>
        <v>92.132471307568125</v>
      </c>
      <c r="Z81" s="42">
        <f t="shared" ca="1" si="46"/>
        <v>84.701241410756253</v>
      </c>
      <c r="AA81" s="42">
        <f t="shared" ca="1" si="46"/>
        <v>84.215057742283904</v>
      </c>
      <c r="AB81" s="42">
        <f t="shared" ca="1" si="46"/>
        <v>85.701900498015348</v>
      </c>
      <c r="AC81" s="42">
        <f t="shared" ca="1" si="46"/>
        <v>81.188184964910249</v>
      </c>
      <c r="AD81" s="42">
        <f t="shared" ca="1" si="46"/>
        <v>79.022903035896093</v>
      </c>
      <c r="AE81" s="42">
        <f t="shared" ca="1" si="46"/>
        <v>81.564072104782596</v>
      </c>
      <c r="AF81" s="42">
        <f t="shared" ca="1" si="46"/>
        <v>93.087743149450162</v>
      </c>
      <c r="AG81" s="42">
        <f t="shared" ca="1" si="46"/>
        <v>99.634277759496214</v>
      </c>
      <c r="AH81" s="42">
        <f t="shared" ca="1" si="46"/>
        <v>109.9354017809509</v>
      </c>
      <c r="AI81" s="42">
        <f t="shared" ca="1" si="46"/>
        <v>116.23354915143831</v>
      </c>
      <c r="AJ81" s="42">
        <f t="shared" ca="1" si="46"/>
        <v>116.5829292001078</v>
      </c>
      <c r="AK81" s="42">
        <f t="shared" ca="1" si="46"/>
        <v>109.81869557989556</v>
      </c>
      <c r="AL81" s="42">
        <f t="shared" ref="AL81:BQ81" ca="1" si="47">MIN(AL21,AL80)</f>
        <v>110.43468592201148</v>
      </c>
      <c r="AM81" s="42">
        <f t="shared" ca="1" si="47"/>
        <v>115.10578362875124</v>
      </c>
      <c r="AN81" s="42">
        <f t="shared" ca="1" si="47"/>
        <v>119.38839120792302</v>
      </c>
      <c r="AO81" s="42">
        <f t="shared" ca="1" si="47"/>
        <v>108.01233355948936</v>
      </c>
      <c r="AP81" s="42">
        <f t="shared" ca="1" si="47"/>
        <v>102.05684683282956</v>
      </c>
      <c r="AQ81" s="42">
        <f t="shared" ca="1" si="47"/>
        <v>107.24317430075111</v>
      </c>
      <c r="AR81" s="42">
        <f t="shared" ca="1" si="47"/>
        <v>116.35890432525927</v>
      </c>
      <c r="AS81" s="42">
        <f t="shared" ca="1" si="47"/>
        <v>111.60772434354759</v>
      </c>
      <c r="AT81" s="42">
        <f t="shared" ca="1" si="47"/>
        <v>120.54248407881994</v>
      </c>
      <c r="AU81" s="42">
        <f t="shared" ca="1" si="47"/>
        <v>120.30912341891496</v>
      </c>
      <c r="AV81" s="42">
        <f t="shared" ca="1" si="47"/>
        <v>117.39505273855872</v>
      </c>
      <c r="AW81" s="42">
        <f t="shared" ca="1" si="47"/>
        <v>120.21049664389174</v>
      </c>
      <c r="AX81" s="42">
        <f t="shared" ca="1" si="47"/>
        <v>118.51147723790157</v>
      </c>
      <c r="AY81" s="42">
        <f t="shared" ca="1" si="47"/>
        <v>113.59638791161413</v>
      </c>
      <c r="AZ81" s="42">
        <f t="shared" ca="1" si="47"/>
        <v>112.49190587209765</v>
      </c>
      <c r="BA81" s="42">
        <f t="shared" ca="1" si="47"/>
        <v>105.45899046558362</v>
      </c>
      <c r="BB81" s="42">
        <f t="shared" ca="1" si="47"/>
        <v>102.08492978650369</v>
      </c>
      <c r="BC81" s="42">
        <f t="shared" ca="1" si="47"/>
        <v>106.89130069684525</v>
      </c>
      <c r="BD81" s="42">
        <f t="shared" ca="1" si="47"/>
        <v>115.24559856178777</v>
      </c>
      <c r="BE81" s="42">
        <f t="shared" ca="1" si="47"/>
        <v>118.53243666269204</v>
      </c>
      <c r="BF81" s="42">
        <f t="shared" ca="1" si="47"/>
        <v>113.54082260069256</v>
      </c>
      <c r="BG81" s="42">
        <f t="shared" ca="1" si="47"/>
        <v>115.69331812179915</v>
      </c>
      <c r="BH81" s="42">
        <f t="shared" ca="1" si="47"/>
        <v>118.46646418530776</v>
      </c>
      <c r="BI81" s="42">
        <f t="shared" ca="1" si="47"/>
        <v>123.12308588083879</v>
      </c>
      <c r="BJ81" s="42">
        <f t="shared" ca="1" si="47"/>
        <v>119.98200571741467</v>
      </c>
      <c r="BK81" s="42">
        <f t="shared" ca="1" si="47"/>
        <v>110.10539468717532</v>
      </c>
      <c r="BL81" s="42">
        <f t="shared" ca="1" si="47"/>
        <v>118.82071827417666</v>
      </c>
      <c r="BM81" s="42">
        <f t="shared" ca="1" si="47"/>
        <v>112.30779526084964</v>
      </c>
    </row>
    <row r="82" spans="2:65" x14ac:dyDescent="0.45">
      <c r="B82" s="25" t="s">
        <v>233</v>
      </c>
      <c r="C82" s="26" t="s">
        <v>201</v>
      </c>
      <c r="D82" s="58">
        <f ca="1">SUM(F82:BM82)</f>
        <v>97.800761947723615</v>
      </c>
      <c r="E82" s="28"/>
      <c r="F82" s="42">
        <f t="shared" ref="F82:AK82" ca="1" si="48">F21-F81</f>
        <v>0</v>
      </c>
      <c r="G82" s="42">
        <f t="shared" ca="1" si="48"/>
        <v>0</v>
      </c>
      <c r="H82" s="42">
        <f t="shared" ca="1" si="48"/>
        <v>0</v>
      </c>
      <c r="I82" s="42">
        <f t="shared" ca="1" si="48"/>
        <v>0</v>
      </c>
      <c r="J82" s="42">
        <f t="shared" ca="1" si="48"/>
        <v>3.9552371576258309</v>
      </c>
      <c r="K82" s="42">
        <f t="shared" ca="1" si="48"/>
        <v>2.3603071170632006</v>
      </c>
      <c r="L82" s="42">
        <f t="shared" ca="1" si="48"/>
        <v>0</v>
      </c>
      <c r="M82" s="42">
        <f t="shared" ca="1" si="48"/>
        <v>0</v>
      </c>
      <c r="N82" s="42">
        <f t="shared" ca="1" si="48"/>
        <v>0</v>
      </c>
      <c r="O82" s="42">
        <f t="shared" ca="1" si="48"/>
        <v>0</v>
      </c>
      <c r="P82" s="42">
        <f t="shared" ca="1" si="48"/>
        <v>0</v>
      </c>
      <c r="Q82" s="42">
        <f t="shared" ca="1" si="48"/>
        <v>0</v>
      </c>
      <c r="R82" s="42">
        <f t="shared" ca="1" si="48"/>
        <v>0</v>
      </c>
      <c r="S82" s="42">
        <f t="shared" ca="1" si="48"/>
        <v>0</v>
      </c>
      <c r="T82" s="42">
        <f t="shared" ca="1" si="48"/>
        <v>0</v>
      </c>
      <c r="U82" s="42">
        <f t="shared" ca="1" si="48"/>
        <v>0</v>
      </c>
      <c r="V82" s="42">
        <f t="shared" ca="1" si="48"/>
        <v>0</v>
      </c>
      <c r="W82" s="42">
        <f t="shared" ca="1" si="48"/>
        <v>0</v>
      </c>
      <c r="X82" s="42">
        <f t="shared" ca="1" si="48"/>
        <v>0</v>
      </c>
      <c r="Y82" s="42">
        <f t="shared" ca="1" si="48"/>
        <v>0</v>
      </c>
      <c r="Z82" s="42">
        <f t="shared" ca="1" si="48"/>
        <v>0</v>
      </c>
      <c r="AA82" s="42">
        <f t="shared" ca="1" si="48"/>
        <v>0</v>
      </c>
      <c r="AB82" s="42">
        <f t="shared" ca="1" si="48"/>
        <v>0</v>
      </c>
      <c r="AC82" s="42">
        <f t="shared" ca="1" si="48"/>
        <v>0</v>
      </c>
      <c r="AD82" s="42">
        <f t="shared" ca="1" si="48"/>
        <v>0</v>
      </c>
      <c r="AE82" s="42">
        <f t="shared" ca="1" si="48"/>
        <v>0</v>
      </c>
      <c r="AF82" s="42">
        <f t="shared" ca="1" si="48"/>
        <v>0</v>
      </c>
      <c r="AG82" s="42">
        <f t="shared" ca="1" si="48"/>
        <v>0</v>
      </c>
      <c r="AH82" s="42">
        <f t="shared" ca="1" si="48"/>
        <v>0</v>
      </c>
      <c r="AI82" s="42">
        <f t="shared" ca="1" si="48"/>
        <v>0</v>
      </c>
      <c r="AJ82" s="42">
        <f t="shared" ca="1" si="48"/>
        <v>0</v>
      </c>
      <c r="AK82" s="42">
        <f t="shared" ca="1" si="48"/>
        <v>0</v>
      </c>
      <c r="AL82" s="42">
        <f t="shared" ref="AL82:BQ82" ca="1" si="49">AL21-AL81</f>
        <v>0</v>
      </c>
      <c r="AM82" s="42">
        <f t="shared" ca="1" si="49"/>
        <v>0</v>
      </c>
      <c r="AN82" s="42">
        <f t="shared" ca="1" si="49"/>
        <v>0</v>
      </c>
      <c r="AO82" s="42">
        <f t="shared" ca="1" si="49"/>
        <v>0</v>
      </c>
      <c r="AP82" s="42">
        <f t="shared" ca="1" si="49"/>
        <v>0</v>
      </c>
      <c r="AQ82" s="42">
        <f t="shared" ca="1" si="49"/>
        <v>0</v>
      </c>
      <c r="AR82" s="42">
        <f t="shared" ca="1" si="49"/>
        <v>0</v>
      </c>
      <c r="AS82" s="42">
        <f t="shared" ca="1" si="49"/>
        <v>10.823868487399622</v>
      </c>
      <c r="AT82" s="42">
        <f t="shared" ca="1" si="49"/>
        <v>0</v>
      </c>
      <c r="AU82" s="42">
        <f t="shared" ca="1" si="49"/>
        <v>0.47565135195293351</v>
      </c>
      <c r="AV82" s="42">
        <f t="shared" ca="1" si="49"/>
        <v>3.5448397090491284</v>
      </c>
      <c r="AW82" s="42">
        <f t="shared" ca="1" si="49"/>
        <v>0</v>
      </c>
      <c r="AX82" s="42">
        <f t="shared" ca="1" si="49"/>
        <v>0</v>
      </c>
      <c r="AY82" s="42">
        <f t="shared" ca="1" si="49"/>
        <v>0</v>
      </c>
      <c r="AZ82" s="42">
        <f t="shared" ca="1" si="49"/>
        <v>0.43851319137542077</v>
      </c>
      <c r="BA82" s="42">
        <f t="shared" ca="1" si="49"/>
        <v>0</v>
      </c>
      <c r="BB82" s="42">
        <f t="shared" ca="1" si="49"/>
        <v>0</v>
      </c>
      <c r="BC82" s="42">
        <f t="shared" ca="1" si="49"/>
        <v>0</v>
      </c>
      <c r="BD82" s="42">
        <f t="shared" ca="1" si="49"/>
        <v>0</v>
      </c>
      <c r="BE82" s="42">
        <f t="shared" ca="1" si="49"/>
        <v>0.52734407202727596</v>
      </c>
      <c r="BF82" s="42">
        <f t="shared" ca="1" si="49"/>
        <v>17.05707773282569</v>
      </c>
      <c r="BG82" s="42">
        <f t="shared" ca="1" si="49"/>
        <v>21.391579888993405</v>
      </c>
      <c r="BH82" s="42">
        <f t="shared" ca="1" si="49"/>
        <v>11.883410036003738</v>
      </c>
      <c r="BI82" s="42">
        <f t="shared" ca="1" si="49"/>
        <v>0.80677346974822228</v>
      </c>
      <c r="BJ82" s="42">
        <f t="shared" ca="1" si="49"/>
        <v>6.3666615083825349</v>
      </c>
      <c r="BK82" s="42">
        <f t="shared" ca="1" si="49"/>
        <v>13.173846993298298</v>
      </c>
      <c r="BL82" s="42">
        <f t="shared" ca="1" si="49"/>
        <v>4.9956512319783144</v>
      </c>
      <c r="BM82" s="42">
        <f t="shared" ca="1" si="49"/>
        <v>0</v>
      </c>
    </row>
    <row r="83" spans="2:65" x14ac:dyDescent="0.45">
      <c r="B83" s="25" t="s">
        <v>234</v>
      </c>
      <c r="C83" s="26" t="s">
        <v>201</v>
      </c>
      <c r="D83" s="58">
        <f ca="1">SUM(F83:BM83)</f>
        <v>80.075447256099949</v>
      </c>
      <c r="E83" s="28"/>
      <c r="F83" s="42">
        <f t="shared" ref="F83:AK83" ca="1" si="50">MIN(F82,OTMax*F80)</f>
        <v>0</v>
      </c>
      <c r="G83" s="42">
        <f t="shared" ca="1" si="50"/>
        <v>0</v>
      </c>
      <c r="H83" s="42">
        <f t="shared" ca="1" si="50"/>
        <v>0</v>
      </c>
      <c r="I83" s="42">
        <f t="shared" ca="1" si="50"/>
        <v>0</v>
      </c>
      <c r="J83" s="42">
        <f t="shared" ca="1" si="50"/>
        <v>3.9552371576258309</v>
      </c>
      <c r="K83" s="42">
        <f t="shared" ca="1" si="50"/>
        <v>2.3603071170632006</v>
      </c>
      <c r="L83" s="42">
        <f t="shared" ca="1" si="50"/>
        <v>0</v>
      </c>
      <c r="M83" s="42">
        <f t="shared" ca="1" si="50"/>
        <v>0</v>
      </c>
      <c r="N83" s="42">
        <f t="shared" ca="1" si="50"/>
        <v>0</v>
      </c>
      <c r="O83" s="42">
        <f t="shared" ca="1" si="50"/>
        <v>0</v>
      </c>
      <c r="P83" s="42">
        <f t="shared" ca="1" si="50"/>
        <v>0</v>
      </c>
      <c r="Q83" s="42">
        <f t="shared" ca="1" si="50"/>
        <v>0</v>
      </c>
      <c r="R83" s="42">
        <f t="shared" ca="1" si="50"/>
        <v>0</v>
      </c>
      <c r="S83" s="42">
        <f t="shared" ca="1" si="50"/>
        <v>0</v>
      </c>
      <c r="T83" s="42">
        <f t="shared" ca="1" si="50"/>
        <v>0</v>
      </c>
      <c r="U83" s="42">
        <f t="shared" ca="1" si="50"/>
        <v>0</v>
      </c>
      <c r="V83" s="42">
        <f t="shared" ca="1" si="50"/>
        <v>0</v>
      </c>
      <c r="W83" s="42">
        <f t="shared" ca="1" si="50"/>
        <v>0</v>
      </c>
      <c r="X83" s="42">
        <f t="shared" ca="1" si="50"/>
        <v>0</v>
      </c>
      <c r="Y83" s="42">
        <f t="shared" ca="1" si="50"/>
        <v>0</v>
      </c>
      <c r="Z83" s="42">
        <f t="shared" ca="1" si="50"/>
        <v>0</v>
      </c>
      <c r="AA83" s="42">
        <f t="shared" ca="1" si="50"/>
        <v>0</v>
      </c>
      <c r="AB83" s="42">
        <f t="shared" ca="1" si="50"/>
        <v>0</v>
      </c>
      <c r="AC83" s="42">
        <f t="shared" ca="1" si="50"/>
        <v>0</v>
      </c>
      <c r="AD83" s="42">
        <f t="shared" ca="1" si="50"/>
        <v>0</v>
      </c>
      <c r="AE83" s="42">
        <f t="shared" ca="1" si="50"/>
        <v>0</v>
      </c>
      <c r="AF83" s="42">
        <f t="shared" ca="1" si="50"/>
        <v>0</v>
      </c>
      <c r="AG83" s="42">
        <f t="shared" ca="1" si="50"/>
        <v>0</v>
      </c>
      <c r="AH83" s="42">
        <f t="shared" ca="1" si="50"/>
        <v>0</v>
      </c>
      <c r="AI83" s="42">
        <f t="shared" ca="1" si="50"/>
        <v>0</v>
      </c>
      <c r="AJ83" s="42">
        <f t="shared" ca="1" si="50"/>
        <v>0</v>
      </c>
      <c r="AK83" s="42">
        <f t="shared" ca="1" si="50"/>
        <v>0</v>
      </c>
      <c r="AL83" s="42">
        <f t="shared" ref="AL83:BQ83" ca="1" si="51">MIN(AL82,OTMax*AL80)</f>
        <v>0</v>
      </c>
      <c r="AM83" s="42">
        <f t="shared" ca="1" si="51"/>
        <v>0</v>
      </c>
      <c r="AN83" s="42">
        <f t="shared" ca="1" si="51"/>
        <v>0</v>
      </c>
      <c r="AO83" s="42">
        <f t="shared" ca="1" si="51"/>
        <v>0</v>
      </c>
      <c r="AP83" s="42">
        <f t="shared" ca="1" si="51"/>
        <v>0</v>
      </c>
      <c r="AQ83" s="42">
        <f t="shared" ca="1" si="51"/>
        <v>0</v>
      </c>
      <c r="AR83" s="42">
        <f t="shared" ca="1" si="51"/>
        <v>0</v>
      </c>
      <c r="AS83" s="42">
        <f t="shared" ca="1" si="51"/>
        <v>10.823868487399622</v>
      </c>
      <c r="AT83" s="42">
        <f t="shared" ca="1" si="51"/>
        <v>0</v>
      </c>
      <c r="AU83" s="42">
        <f t="shared" ca="1" si="51"/>
        <v>0.47565135195293351</v>
      </c>
      <c r="AV83" s="42">
        <f t="shared" ca="1" si="51"/>
        <v>3.5448397090491284</v>
      </c>
      <c r="AW83" s="42">
        <f t="shared" ca="1" si="51"/>
        <v>0</v>
      </c>
      <c r="AX83" s="42">
        <f t="shared" ca="1" si="51"/>
        <v>0</v>
      </c>
      <c r="AY83" s="42">
        <f t="shared" ca="1" si="51"/>
        <v>0</v>
      </c>
      <c r="AZ83" s="42">
        <f t="shared" ca="1" si="51"/>
        <v>0.43851319137542077</v>
      </c>
      <c r="BA83" s="42">
        <f t="shared" ca="1" si="51"/>
        <v>0</v>
      </c>
      <c r="BB83" s="42">
        <f t="shared" ca="1" si="51"/>
        <v>0</v>
      </c>
      <c r="BC83" s="42">
        <f t="shared" ca="1" si="51"/>
        <v>0</v>
      </c>
      <c r="BD83" s="42">
        <f t="shared" ca="1" si="51"/>
        <v>0</v>
      </c>
      <c r="BE83" s="42">
        <f t="shared" ca="1" si="51"/>
        <v>0.52734407202727596</v>
      </c>
      <c r="BF83" s="42">
        <f t="shared" ca="1" si="51"/>
        <v>11.354082260069257</v>
      </c>
      <c r="BG83" s="42">
        <f t="shared" ca="1" si="51"/>
        <v>11.569331812179916</v>
      </c>
      <c r="BH83" s="42">
        <f t="shared" ca="1" si="51"/>
        <v>11.846646418530776</v>
      </c>
      <c r="BI83" s="42">
        <f t="shared" ca="1" si="51"/>
        <v>0.80677346974822228</v>
      </c>
      <c r="BJ83" s="42">
        <f t="shared" ca="1" si="51"/>
        <v>6.3666615083825349</v>
      </c>
      <c r="BK83" s="42">
        <f t="shared" ca="1" si="51"/>
        <v>11.010539468717532</v>
      </c>
      <c r="BL83" s="42">
        <f t="shared" ca="1" si="51"/>
        <v>4.9956512319783144</v>
      </c>
      <c r="BM83" s="42">
        <f t="shared" ca="1" si="51"/>
        <v>0</v>
      </c>
    </row>
    <row r="84" spans="2:65" x14ac:dyDescent="0.45">
      <c r="B84" s="25" t="s">
        <v>235</v>
      </c>
      <c r="C84" s="26" t="s">
        <v>201</v>
      </c>
      <c r="D84" s="58">
        <f ca="1">SUM(F84:BM84)</f>
        <v>17.725314691623652</v>
      </c>
      <c r="E84" s="28"/>
      <c r="F84" s="42">
        <f t="shared" ref="F84:AK84" ca="1" si="52">MIN(F82-F83,SubMax)</f>
        <v>0</v>
      </c>
      <c r="G84" s="42">
        <f t="shared" ca="1" si="52"/>
        <v>0</v>
      </c>
      <c r="H84" s="42">
        <f t="shared" ca="1" si="52"/>
        <v>0</v>
      </c>
      <c r="I84" s="42">
        <f t="shared" ca="1" si="52"/>
        <v>0</v>
      </c>
      <c r="J84" s="42">
        <f t="shared" ca="1" si="52"/>
        <v>0</v>
      </c>
      <c r="K84" s="42">
        <f t="shared" ca="1" si="52"/>
        <v>0</v>
      </c>
      <c r="L84" s="42">
        <f t="shared" ca="1" si="52"/>
        <v>0</v>
      </c>
      <c r="M84" s="42">
        <f t="shared" ca="1" si="52"/>
        <v>0</v>
      </c>
      <c r="N84" s="42">
        <f t="shared" ca="1" si="52"/>
        <v>0</v>
      </c>
      <c r="O84" s="42">
        <f t="shared" ca="1" si="52"/>
        <v>0</v>
      </c>
      <c r="P84" s="42">
        <f t="shared" ca="1" si="52"/>
        <v>0</v>
      </c>
      <c r="Q84" s="42">
        <f t="shared" ca="1" si="52"/>
        <v>0</v>
      </c>
      <c r="R84" s="42">
        <f t="shared" ca="1" si="52"/>
        <v>0</v>
      </c>
      <c r="S84" s="42">
        <f t="shared" ca="1" si="52"/>
        <v>0</v>
      </c>
      <c r="T84" s="42">
        <f t="shared" ca="1" si="52"/>
        <v>0</v>
      </c>
      <c r="U84" s="42">
        <f t="shared" ca="1" si="52"/>
        <v>0</v>
      </c>
      <c r="V84" s="42">
        <f t="shared" ca="1" si="52"/>
        <v>0</v>
      </c>
      <c r="W84" s="42">
        <f t="shared" ca="1" si="52"/>
        <v>0</v>
      </c>
      <c r="X84" s="42">
        <f t="shared" ca="1" si="52"/>
        <v>0</v>
      </c>
      <c r="Y84" s="42">
        <f t="shared" ca="1" si="52"/>
        <v>0</v>
      </c>
      <c r="Z84" s="42">
        <f t="shared" ca="1" si="52"/>
        <v>0</v>
      </c>
      <c r="AA84" s="42">
        <f t="shared" ca="1" si="52"/>
        <v>0</v>
      </c>
      <c r="AB84" s="42">
        <f t="shared" ca="1" si="52"/>
        <v>0</v>
      </c>
      <c r="AC84" s="42">
        <f t="shared" ca="1" si="52"/>
        <v>0</v>
      </c>
      <c r="AD84" s="42">
        <f t="shared" ca="1" si="52"/>
        <v>0</v>
      </c>
      <c r="AE84" s="42">
        <f t="shared" ca="1" si="52"/>
        <v>0</v>
      </c>
      <c r="AF84" s="42">
        <f t="shared" ca="1" si="52"/>
        <v>0</v>
      </c>
      <c r="AG84" s="42">
        <f t="shared" ca="1" si="52"/>
        <v>0</v>
      </c>
      <c r="AH84" s="42">
        <f t="shared" ca="1" si="52"/>
        <v>0</v>
      </c>
      <c r="AI84" s="42">
        <f t="shared" ca="1" si="52"/>
        <v>0</v>
      </c>
      <c r="AJ84" s="42">
        <f t="shared" ca="1" si="52"/>
        <v>0</v>
      </c>
      <c r="AK84" s="42">
        <f t="shared" ca="1" si="52"/>
        <v>0</v>
      </c>
      <c r="AL84" s="42">
        <f t="shared" ref="AL84:BQ84" ca="1" si="53">MIN(AL82-AL83,SubMax)</f>
        <v>0</v>
      </c>
      <c r="AM84" s="42">
        <f t="shared" ca="1" si="53"/>
        <v>0</v>
      </c>
      <c r="AN84" s="42">
        <f t="shared" ca="1" si="53"/>
        <v>0</v>
      </c>
      <c r="AO84" s="42">
        <f t="shared" ca="1" si="53"/>
        <v>0</v>
      </c>
      <c r="AP84" s="42">
        <f t="shared" ca="1" si="53"/>
        <v>0</v>
      </c>
      <c r="AQ84" s="42">
        <f t="shared" ca="1" si="53"/>
        <v>0</v>
      </c>
      <c r="AR84" s="42">
        <f t="shared" ca="1" si="53"/>
        <v>0</v>
      </c>
      <c r="AS84" s="42">
        <f t="shared" ca="1" si="53"/>
        <v>0</v>
      </c>
      <c r="AT84" s="42">
        <f t="shared" ca="1" si="53"/>
        <v>0</v>
      </c>
      <c r="AU84" s="42">
        <f t="shared" ca="1" si="53"/>
        <v>0</v>
      </c>
      <c r="AV84" s="42">
        <f t="shared" ca="1" si="53"/>
        <v>0</v>
      </c>
      <c r="AW84" s="42">
        <f t="shared" ca="1" si="53"/>
        <v>0</v>
      </c>
      <c r="AX84" s="42">
        <f t="shared" ca="1" si="53"/>
        <v>0</v>
      </c>
      <c r="AY84" s="42">
        <f t="shared" ca="1" si="53"/>
        <v>0</v>
      </c>
      <c r="AZ84" s="42">
        <f t="shared" ca="1" si="53"/>
        <v>0</v>
      </c>
      <c r="BA84" s="42">
        <f t="shared" ca="1" si="53"/>
        <v>0</v>
      </c>
      <c r="BB84" s="42">
        <f t="shared" ca="1" si="53"/>
        <v>0</v>
      </c>
      <c r="BC84" s="42">
        <f t="shared" ca="1" si="53"/>
        <v>0</v>
      </c>
      <c r="BD84" s="42">
        <f t="shared" ca="1" si="53"/>
        <v>0</v>
      </c>
      <c r="BE84" s="42">
        <f t="shared" ca="1" si="53"/>
        <v>0</v>
      </c>
      <c r="BF84" s="42">
        <f t="shared" ca="1" si="53"/>
        <v>5.7029954727564327</v>
      </c>
      <c r="BG84" s="42">
        <f t="shared" ca="1" si="53"/>
        <v>9.822248076813489</v>
      </c>
      <c r="BH84" s="42">
        <f t="shared" ca="1" si="53"/>
        <v>3.6763617472962196E-2</v>
      </c>
      <c r="BI84" s="42">
        <f t="shared" ca="1" si="53"/>
        <v>0</v>
      </c>
      <c r="BJ84" s="42">
        <f t="shared" ca="1" si="53"/>
        <v>0</v>
      </c>
      <c r="BK84" s="42">
        <f t="shared" ca="1" si="53"/>
        <v>2.163307524580766</v>
      </c>
      <c r="BL84" s="42">
        <f t="shared" ca="1" si="53"/>
        <v>0</v>
      </c>
      <c r="BM84" s="42">
        <f t="shared" ca="1" si="53"/>
        <v>0</v>
      </c>
    </row>
    <row r="85" spans="2:65" x14ac:dyDescent="0.45">
      <c r="B85" s="25" t="s">
        <v>236</v>
      </c>
      <c r="C85" s="26" t="s">
        <v>201</v>
      </c>
      <c r="D85" s="58">
        <f ca="1">SUM(F85:BM85)</f>
        <v>0</v>
      </c>
      <c r="E85" s="28"/>
      <c r="F85" s="42">
        <f t="shared" ref="F85:AK85" ca="1" si="54">F82-F83-F84</f>
        <v>0</v>
      </c>
      <c r="G85" s="42">
        <f t="shared" ca="1" si="54"/>
        <v>0</v>
      </c>
      <c r="H85" s="42">
        <f t="shared" ca="1" si="54"/>
        <v>0</v>
      </c>
      <c r="I85" s="42">
        <f t="shared" ca="1" si="54"/>
        <v>0</v>
      </c>
      <c r="J85" s="42">
        <f t="shared" ca="1" si="54"/>
        <v>0</v>
      </c>
      <c r="K85" s="42">
        <f t="shared" ca="1" si="54"/>
        <v>0</v>
      </c>
      <c r="L85" s="42">
        <f t="shared" ca="1" si="54"/>
        <v>0</v>
      </c>
      <c r="M85" s="42">
        <f t="shared" ca="1" si="54"/>
        <v>0</v>
      </c>
      <c r="N85" s="42">
        <f t="shared" ca="1" si="54"/>
        <v>0</v>
      </c>
      <c r="O85" s="42">
        <f t="shared" ca="1" si="54"/>
        <v>0</v>
      </c>
      <c r="P85" s="42">
        <f t="shared" ca="1" si="54"/>
        <v>0</v>
      </c>
      <c r="Q85" s="42">
        <f t="shared" ca="1" si="54"/>
        <v>0</v>
      </c>
      <c r="R85" s="42">
        <f t="shared" ca="1" si="54"/>
        <v>0</v>
      </c>
      <c r="S85" s="42">
        <f t="shared" ca="1" si="54"/>
        <v>0</v>
      </c>
      <c r="T85" s="42">
        <f t="shared" ca="1" si="54"/>
        <v>0</v>
      </c>
      <c r="U85" s="42">
        <f t="shared" ca="1" si="54"/>
        <v>0</v>
      </c>
      <c r="V85" s="42">
        <f t="shared" ca="1" si="54"/>
        <v>0</v>
      </c>
      <c r="W85" s="42">
        <f t="shared" ca="1" si="54"/>
        <v>0</v>
      </c>
      <c r="X85" s="42">
        <f t="shared" ca="1" si="54"/>
        <v>0</v>
      </c>
      <c r="Y85" s="42">
        <f t="shared" ca="1" si="54"/>
        <v>0</v>
      </c>
      <c r="Z85" s="42">
        <f t="shared" ca="1" si="54"/>
        <v>0</v>
      </c>
      <c r="AA85" s="42">
        <f t="shared" ca="1" si="54"/>
        <v>0</v>
      </c>
      <c r="AB85" s="42">
        <f t="shared" ca="1" si="54"/>
        <v>0</v>
      </c>
      <c r="AC85" s="42">
        <f t="shared" ca="1" si="54"/>
        <v>0</v>
      </c>
      <c r="AD85" s="42">
        <f t="shared" ca="1" si="54"/>
        <v>0</v>
      </c>
      <c r="AE85" s="42">
        <f t="shared" ca="1" si="54"/>
        <v>0</v>
      </c>
      <c r="AF85" s="42">
        <f t="shared" ca="1" si="54"/>
        <v>0</v>
      </c>
      <c r="AG85" s="42">
        <f t="shared" ca="1" si="54"/>
        <v>0</v>
      </c>
      <c r="AH85" s="42">
        <f t="shared" ca="1" si="54"/>
        <v>0</v>
      </c>
      <c r="AI85" s="42">
        <f t="shared" ca="1" si="54"/>
        <v>0</v>
      </c>
      <c r="AJ85" s="42">
        <f t="shared" ca="1" si="54"/>
        <v>0</v>
      </c>
      <c r="AK85" s="42">
        <f t="shared" ca="1" si="54"/>
        <v>0</v>
      </c>
      <c r="AL85" s="42">
        <f t="shared" ref="AL85:BQ85" ca="1" si="55">AL82-AL83-AL84</f>
        <v>0</v>
      </c>
      <c r="AM85" s="42">
        <f t="shared" ca="1" si="55"/>
        <v>0</v>
      </c>
      <c r="AN85" s="42">
        <f t="shared" ca="1" si="55"/>
        <v>0</v>
      </c>
      <c r="AO85" s="42">
        <f t="shared" ca="1" si="55"/>
        <v>0</v>
      </c>
      <c r="AP85" s="42">
        <f t="shared" ca="1" si="55"/>
        <v>0</v>
      </c>
      <c r="AQ85" s="42">
        <f t="shared" ca="1" si="55"/>
        <v>0</v>
      </c>
      <c r="AR85" s="42">
        <f t="shared" ca="1" si="55"/>
        <v>0</v>
      </c>
      <c r="AS85" s="42">
        <f t="shared" ca="1" si="55"/>
        <v>0</v>
      </c>
      <c r="AT85" s="42">
        <f t="shared" ca="1" si="55"/>
        <v>0</v>
      </c>
      <c r="AU85" s="42">
        <f t="shared" ca="1" si="55"/>
        <v>0</v>
      </c>
      <c r="AV85" s="42">
        <f t="shared" ca="1" si="55"/>
        <v>0</v>
      </c>
      <c r="AW85" s="42">
        <f t="shared" ca="1" si="55"/>
        <v>0</v>
      </c>
      <c r="AX85" s="42">
        <f t="shared" ca="1" si="55"/>
        <v>0</v>
      </c>
      <c r="AY85" s="42">
        <f t="shared" ca="1" si="55"/>
        <v>0</v>
      </c>
      <c r="AZ85" s="42">
        <f t="shared" ca="1" si="55"/>
        <v>0</v>
      </c>
      <c r="BA85" s="42">
        <f t="shared" ca="1" si="55"/>
        <v>0</v>
      </c>
      <c r="BB85" s="42">
        <f t="shared" ca="1" si="55"/>
        <v>0</v>
      </c>
      <c r="BC85" s="42">
        <f t="shared" ca="1" si="55"/>
        <v>0</v>
      </c>
      <c r="BD85" s="42">
        <f t="shared" ca="1" si="55"/>
        <v>0</v>
      </c>
      <c r="BE85" s="42">
        <f t="shared" ca="1" si="55"/>
        <v>0</v>
      </c>
      <c r="BF85" s="42">
        <f t="shared" ca="1" si="55"/>
        <v>0</v>
      </c>
      <c r="BG85" s="42">
        <f t="shared" ca="1" si="55"/>
        <v>0</v>
      </c>
      <c r="BH85" s="42">
        <f t="shared" ca="1" si="55"/>
        <v>0</v>
      </c>
      <c r="BI85" s="42">
        <f t="shared" ca="1" si="55"/>
        <v>0</v>
      </c>
      <c r="BJ85" s="42">
        <f t="shared" ca="1" si="55"/>
        <v>0</v>
      </c>
      <c r="BK85" s="42">
        <f t="shared" ca="1" si="55"/>
        <v>0</v>
      </c>
      <c r="BL85" s="42">
        <f t="shared" ca="1" si="55"/>
        <v>0</v>
      </c>
      <c r="BM85" s="42">
        <f t="shared" ca="1" si="55"/>
        <v>0</v>
      </c>
    </row>
    <row r="86" spans="2:65" x14ac:dyDescent="0.45">
      <c r="B86" s="25" t="s">
        <v>237</v>
      </c>
      <c r="C86" s="26" t="s">
        <v>170</v>
      </c>
      <c r="D86" s="42">
        <f>New_2*NetCapex</f>
        <v>527.76672118649878</v>
      </c>
      <c r="E86" s="28"/>
      <c r="F86" s="26" t="s">
        <v>238</v>
      </c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</row>
    <row r="87" spans="2:65" x14ac:dyDescent="0.45">
      <c r="B87" s="25" t="s">
        <v>239</v>
      </c>
      <c r="C87" s="26" t="s">
        <v>170</v>
      </c>
      <c r="D87" s="55" cm="1">
        <f t="array" aca="1" ref="D87" ca="1">_xll.VoseOutput("Постоянные затраты, два новых пресса","тыс. долл.")+PressFixed*SUMPRODUCT(F78:BM78,F26:BM26)</f>
        <v>350.22186318673829</v>
      </c>
      <c r="E87" s="28"/>
      <c r="F87" s="26" t="s">
        <v>240</v>
      </c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</row>
    <row r="88" spans="2:65" x14ac:dyDescent="0.45">
      <c r="B88" s="25" t="s">
        <v>241</v>
      </c>
      <c r="C88" s="26" t="s">
        <v>170</v>
      </c>
      <c r="D88" s="55" cm="1">
        <f t="array" aca="1" ref="D88" ca="1">_xll.VoseOutput("Надбавка за сверхурочную работу, два новых пресса","тыс. долл.")+OTCost*SUMPRODUCT(F83:BM83,F26:BM26)</f>
        <v>17.64462642898847</v>
      </c>
      <c r="E88" s="28"/>
      <c r="F88" s="26" t="s">
        <v>242</v>
      </c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</row>
    <row r="89" spans="2:65" x14ac:dyDescent="0.45">
      <c r="B89" s="25" t="s">
        <v>243</v>
      </c>
      <c r="C89" s="26" t="s">
        <v>170</v>
      </c>
      <c r="D89" s="55" cm="1">
        <f t="array" aca="1" ref="D89" ca="1">_xll.VoseOutput("Надбавка за субподряд, два новых пресса","тыс. долл.")+SubCost*SUMPRODUCT(F84:BM84,F26:BM26)</f>
        <v>10.019075075892566</v>
      </c>
      <c r="E89" s="28"/>
      <c r="F89" s="26" t="s">
        <v>244</v>
      </c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</row>
    <row r="90" spans="2:65" x14ac:dyDescent="0.45">
      <c r="B90" s="25" t="s">
        <v>245</v>
      </c>
      <c r="C90" s="26" t="s">
        <v>170</v>
      </c>
      <c r="D90" s="55" cm="1">
        <f t="array" aca="1" ref="D90" ca="1">_xll.VoseOutput("Потерянный маржинальный доход, два новых пресса","тыс. долл.")+LostCost*SUMPRODUCT(F85:BM85,F26:BM26)</f>
        <v>0</v>
      </c>
      <c r="E90" s="28"/>
      <c r="F90" s="26" t="s">
        <v>246</v>
      </c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</row>
    <row r="91" spans="2:65" x14ac:dyDescent="0.45">
      <c r="B91" s="59" t="s">
        <v>63</v>
      </c>
      <c r="C91" s="26" t="s">
        <v>170</v>
      </c>
      <c r="D91" s="58">
        <f ca="1">SUM(D86:D90)</f>
        <v>905.65228587811805</v>
      </c>
      <c r="E91" s="28"/>
      <c r="F91" s="26" t="s">
        <v>247</v>
      </c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</row>
    <row r="92" spans="2:65" ht="8" customHeight="1" x14ac:dyDescent="0.45"/>
    <row r="93" spans="2:65" ht="22.05" customHeight="1" x14ac:dyDescent="0.5">
      <c r="B93" s="7" t="s">
        <v>252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</row>
    <row r="94" spans="2:65" ht="18" customHeight="1" x14ac:dyDescent="0.45">
      <c r="B94" s="13" t="s">
        <v>253</v>
      </c>
    </row>
    <row r="95" spans="2:65" x14ac:dyDescent="0.45">
      <c r="B95" s="25" t="s">
        <v>227</v>
      </c>
      <c r="C95" s="26" t="s">
        <v>143</v>
      </c>
      <c r="D95" s="52">
        <v>3</v>
      </c>
      <c r="E95" s="28"/>
      <c r="F95" s="26" t="s">
        <v>228</v>
      </c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</row>
    <row r="96" spans="2:65" x14ac:dyDescent="0.45">
      <c r="B96" s="25" t="s">
        <v>229</v>
      </c>
      <c r="C96" s="26" t="s">
        <v>143</v>
      </c>
      <c r="D96" s="28"/>
      <c r="E96" s="28"/>
      <c r="F96" s="52">
        <f t="shared" ref="F96:AK96" ca="1" si="56">IF(F$6&gt;LeadM,New_3,0)</f>
        <v>0</v>
      </c>
      <c r="G96" s="52">
        <f t="shared" ca="1" si="56"/>
        <v>0</v>
      </c>
      <c r="H96" s="52">
        <f t="shared" ca="1" si="56"/>
        <v>0</v>
      </c>
      <c r="I96" s="52">
        <f t="shared" ca="1" si="56"/>
        <v>0</v>
      </c>
      <c r="J96" s="52">
        <f t="shared" ca="1" si="56"/>
        <v>0</v>
      </c>
      <c r="K96" s="52">
        <f t="shared" ca="1" si="56"/>
        <v>0</v>
      </c>
      <c r="L96" s="52">
        <f t="shared" ca="1" si="56"/>
        <v>3</v>
      </c>
      <c r="M96" s="52">
        <f t="shared" ca="1" si="56"/>
        <v>3</v>
      </c>
      <c r="N96" s="52">
        <f t="shared" ca="1" si="56"/>
        <v>3</v>
      </c>
      <c r="O96" s="52">
        <f t="shared" ca="1" si="56"/>
        <v>3</v>
      </c>
      <c r="P96" s="52">
        <f t="shared" ca="1" si="56"/>
        <v>3</v>
      </c>
      <c r="Q96" s="52">
        <f t="shared" ca="1" si="56"/>
        <v>3</v>
      </c>
      <c r="R96" s="52">
        <f t="shared" ca="1" si="56"/>
        <v>3</v>
      </c>
      <c r="S96" s="52">
        <f t="shared" ca="1" si="56"/>
        <v>3</v>
      </c>
      <c r="T96" s="52">
        <f t="shared" ca="1" si="56"/>
        <v>3</v>
      </c>
      <c r="U96" s="52">
        <f t="shared" ca="1" si="56"/>
        <v>3</v>
      </c>
      <c r="V96" s="52">
        <f t="shared" ca="1" si="56"/>
        <v>3</v>
      </c>
      <c r="W96" s="52">
        <f t="shared" ca="1" si="56"/>
        <v>3</v>
      </c>
      <c r="X96" s="52">
        <f t="shared" ca="1" si="56"/>
        <v>3</v>
      </c>
      <c r="Y96" s="52">
        <f t="shared" ca="1" si="56"/>
        <v>3</v>
      </c>
      <c r="Z96" s="52">
        <f t="shared" ca="1" si="56"/>
        <v>3</v>
      </c>
      <c r="AA96" s="52">
        <f t="shared" ca="1" si="56"/>
        <v>3</v>
      </c>
      <c r="AB96" s="52">
        <f t="shared" ca="1" si="56"/>
        <v>3</v>
      </c>
      <c r="AC96" s="52">
        <f t="shared" ca="1" si="56"/>
        <v>3</v>
      </c>
      <c r="AD96" s="52">
        <f t="shared" ca="1" si="56"/>
        <v>3</v>
      </c>
      <c r="AE96" s="52">
        <f t="shared" ca="1" si="56"/>
        <v>3</v>
      </c>
      <c r="AF96" s="52">
        <f t="shared" ca="1" si="56"/>
        <v>3</v>
      </c>
      <c r="AG96" s="52">
        <f t="shared" ca="1" si="56"/>
        <v>3</v>
      </c>
      <c r="AH96" s="52">
        <f t="shared" ca="1" si="56"/>
        <v>3</v>
      </c>
      <c r="AI96" s="52">
        <f t="shared" ca="1" si="56"/>
        <v>3</v>
      </c>
      <c r="AJ96" s="52">
        <f t="shared" ca="1" si="56"/>
        <v>3</v>
      </c>
      <c r="AK96" s="52">
        <f t="shared" ca="1" si="56"/>
        <v>3</v>
      </c>
      <c r="AL96" s="52">
        <f t="shared" ref="AL96:BM96" ca="1" si="57">IF(AL$6&gt;LeadM,New_3,0)</f>
        <v>3</v>
      </c>
      <c r="AM96" s="52">
        <f t="shared" ca="1" si="57"/>
        <v>3</v>
      </c>
      <c r="AN96" s="52">
        <f t="shared" ca="1" si="57"/>
        <v>3</v>
      </c>
      <c r="AO96" s="52">
        <f t="shared" ca="1" si="57"/>
        <v>3</v>
      </c>
      <c r="AP96" s="52">
        <f t="shared" ca="1" si="57"/>
        <v>3</v>
      </c>
      <c r="AQ96" s="52">
        <f t="shared" ca="1" si="57"/>
        <v>3</v>
      </c>
      <c r="AR96" s="52">
        <f t="shared" ca="1" si="57"/>
        <v>3</v>
      </c>
      <c r="AS96" s="52">
        <f t="shared" ca="1" si="57"/>
        <v>3</v>
      </c>
      <c r="AT96" s="52">
        <f t="shared" ca="1" si="57"/>
        <v>3</v>
      </c>
      <c r="AU96" s="52">
        <f t="shared" ca="1" si="57"/>
        <v>3</v>
      </c>
      <c r="AV96" s="52">
        <f t="shared" ca="1" si="57"/>
        <v>3</v>
      </c>
      <c r="AW96" s="52">
        <f t="shared" ca="1" si="57"/>
        <v>3</v>
      </c>
      <c r="AX96" s="52">
        <f t="shared" ca="1" si="57"/>
        <v>3</v>
      </c>
      <c r="AY96" s="52">
        <f t="shared" ca="1" si="57"/>
        <v>3</v>
      </c>
      <c r="AZ96" s="52">
        <f t="shared" ca="1" si="57"/>
        <v>3</v>
      </c>
      <c r="BA96" s="52">
        <f t="shared" ca="1" si="57"/>
        <v>3</v>
      </c>
      <c r="BB96" s="52">
        <f t="shared" ca="1" si="57"/>
        <v>3</v>
      </c>
      <c r="BC96" s="52">
        <f t="shared" ca="1" si="57"/>
        <v>3</v>
      </c>
      <c r="BD96" s="52">
        <f t="shared" ca="1" si="57"/>
        <v>3</v>
      </c>
      <c r="BE96" s="52">
        <f t="shared" ca="1" si="57"/>
        <v>3</v>
      </c>
      <c r="BF96" s="52">
        <f t="shared" ca="1" si="57"/>
        <v>3</v>
      </c>
      <c r="BG96" s="52">
        <f t="shared" ca="1" si="57"/>
        <v>3</v>
      </c>
      <c r="BH96" s="52">
        <f t="shared" ca="1" si="57"/>
        <v>3</v>
      </c>
      <c r="BI96" s="52">
        <f t="shared" ca="1" si="57"/>
        <v>3</v>
      </c>
      <c r="BJ96" s="52">
        <f t="shared" ca="1" si="57"/>
        <v>3</v>
      </c>
      <c r="BK96" s="52">
        <f t="shared" ca="1" si="57"/>
        <v>3</v>
      </c>
      <c r="BL96" s="52">
        <f t="shared" ca="1" si="57"/>
        <v>3</v>
      </c>
      <c r="BM96" s="52">
        <f t="shared" ca="1" si="57"/>
        <v>3</v>
      </c>
    </row>
    <row r="97" spans="2:65" x14ac:dyDescent="0.45">
      <c r="B97" s="25" t="s">
        <v>230</v>
      </c>
      <c r="C97" s="26" t="s">
        <v>143</v>
      </c>
      <c r="D97" s="28"/>
      <c r="E97" s="28"/>
      <c r="F97" s="52">
        <f t="shared" ref="F97:AK97" ca="1" si="58">Presses+F96</f>
        <v>4</v>
      </c>
      <c r="G97" s="52">
        <f t="shared" ca="1" si="58"/>
        <v>4</v>
      </c>
      <c r="H97" s="52">
        <f t="shared" ca="1" si="58"/>
        <v>4</v>
      </c>
      <c r="I97" s="52">
        <f t="shared" ca="1" si="58"/>
        <v>4</v>
      </c>
      <c r="J97" s="52">
        <f t="shared" ca="1" si="58"/>
        <v>4</v>
      </c>
      <c r="K97" s="52">
        <f t="shared" ca="1" si="58"/>
        <v>4</v>
      </c>
      <c r="L97" s="52">
        <f t="shared" ca="1" si="58"/>
        <v>7</v>
      </c>
      <c r="M97" s="52">
        <f t="shared" ca="1" si="58"/>
        <v>7</v>
      </c>
      <c r="N97" s="52">
        <f t="shared" ca="1" si="58"/>
        <v>7</v>
      </c>
      <c r="O97" s="52">
        <f t="shared" ca="1" si="58"/>
        <v>7</v>
      </c>
      <c r="P97" s="52">
        <f t="shared" ca="1" si="58"/>
        <v>7</v>
      </c>
      <c r="Q97" s="52">
        <f t="shared" ca="1" si="58"/>
        <v>7</v>
      </c>
      <c r="R97" s="52">
        <f t="shared" ca="1" si="58"/>
        <v>7</v>
      </c>
      <c r="S97" s="52">
        <f t="shared" ca="1" si="58"/>
        <v>7</v>
      </c>
      <c r="T97" s="52">
        <f t="shared" ca="1" si="58"/>
        <v>7</v>
      </c>
      <c r="U97" s="52">
        <f t="shared" ca="1" si="58"/>
        <v>7</v>
      </c>
      <c r="V97" s="52">
        <f t="shared" ca="1" si="58"/>
        <v>7</v>
      </c>
      <c r="W97" s="52">
        <f t="shared" ca="1" si="58"/>
        <v>7</v>
      </c>
      <c r="X97" s="52">
        <f t="shared" ca="1" si="58"/>
        <v>7</v>
      </c>
      <c r="Y97" s="52">
        <f t="shared" ca="1" si="58"/>
        <v>7</v>
      </c>
      <c r="Z97" s="52">
        <f t="shared" ca="1" si="58"/>
        <v>7</v>
      </c>
      <c r="AA97" s="52">
        <f t="shared" ca="1" si="58"/>
        <v>7</v>
      </c>
      <c r="AB97" s="52">
        <f t="shared" ca="1" si="58"/>
        <v>7</v>
      </c>
      <c r="AC97" s="52">
        <f t="shared" ca="1" si="58"/>
        <v>7</v>
      </c>
      <c r="AD97" s="52">
        <f t="shared" ca="1" si="58"/>
        <v>7</v>
      </c>
      <c r="AE97" s="52">
        <f t="shared" ca="1" si="58"/>
        <v>7</v>
      </c>
      <c r="AF97" s="52">
        <f t="shared" ca="1" si="58"/>
        <v>7</v>
      </c>
      <c r="AG97" s="52">
        <f t="shared" ca="1" si="58"/>
        <v>7</v>
      </c>
      <c r="AH97" s="52">
        <f t="shared" ca="1" si="58"/>
        <v>7</v>
      </c>
      <c r="AI97" s="52">
        <f t="shared" ca="1" si="58"/>
        <v>7</v>
      </c>
      <c r="AJ97" s="52">
        <f t="shared" ca="1" si="58"/>
        <v>7</v>
      </c>
      <c r="AK97" s="52">
        <f t="shared" ca="1" si="58"/>
        <v>7</v>
      </c>
      <c r="AL97" s="52">
        <f t="shared" ref="AL97:BQ97" ca="1" si="59">Presses+AL96</f>
        <v>7</v>
      </c>
      <c r="AM97" s="52">
        <f t="shared" ca="1" si="59"/>
        <v>7</v>
      </c>
      <c r="AN97" s="52">
        <f t="shared" ca="1" si="59"/>
        <v>7</v>
      </c>
      <c r="AO97" s="52">
        <f t="shared" ca="1" si="59"/>
        <v>7</v>
      </c>
      <c r="AP97" s="52">
        <f t="shared" ca="1" si="59"/>
        <v>7</v>
      </c>
      <c r="AQ97" s="52">
        <f t="shared" ca="1" si="59"/>
        <v>7</v>
      </c>
      <c r="AR97" s="52">
        <f t="shared" ca="1" si="59"/>
        <v>7</v>
      </c>
      <c r="AS97" s="52">
        <f t="shared" ca="1" si="59"/>
        <v>7</v>
      </c>
      <c r="AT97" s="52">
        <f t="shared" ca="1" si="59"/>
        <v>7</v>
      </c>
      <c r="AU97" s="52">
        <f t="shared" ca="1" si="59"/>
        <v>7</v>
      </c>
      <c r="AV97" s="52">
        <f t="shared" ca="1" si="59"/>
        <v>7</v>
      </c>
      <c r="AW97" s="52">
        <f t="shared" ca="1" si="59"/>
        <v>7</v>
      </c>
      <c r="AX97" s="52">
        <f t="shared" ca="1" si="59"/>
        <v>7</v>
      </c>
      <c r="AY97" s="52">
        <f t="shared" ca="1" si="59"/>
        <v>7</v>
      </c>
      <c r="AZ97" s="52">
        <f t="shared" ca="1" si="59"/>
        <v>7</v>
      </c>
      <c r="BA97" s="52">
        <f t="shared" ca="1" si="59"/>
        <v>7</v>
      </c>
      <c r="BB97" s="52">
        <f t="shared" ca="1" si="59"/>
        <v>7</v>
      </c>
      <c r="BC97" s="52">
        <f t="shared" ca="1" si="59"/>
        <v>7</v>
      </c>
      <c r="BD97" s="52">
        <f t="shared" ca="1" si="59"/>
        <v>7</v>
      </c>
      <c r="BE97" s="52">
        <f t="shared" ca="1" si="59"/>
        <v>7</v>
      </c>
      <c r="BF97" s="52">
        <f t="shared" ca="1" si="59"/>
        <v>7</v>
      </c>
      <c r="BG97" s="52">
        <f t="shared" ca="1" si="59"/>
        <v>7</v>
      </c>
      <c r="BH97" s="52">
        <f t="shared" ca="1" si="59"/>
        <v>7</v>
      </c>
      <c r="BI97" s="52">
        <f t="shared" ca="1" si="59"/>
        <v>7</v>
      </c>
      <c r="BJ97" s="52">
        <f t="shared" ca="1" si="59"/>
        <v>7</v>
      </c>
      <c r="BK97" s="52">
        <f t="shared" ca="1" si="59"/>
        <v>7</v>
      </c>
      <c r="BL97" s="52">
        <f t="shared" ca="1" si="59"/>
        <v>7</v>
      </c>
      <c r="BM97" s="52">
        <f t="shared" ca="1" si="59"/>
        <v>7</v>
      </c>
    </row>
    <row r="98" spans="2:65" x14ac:dyDescent="0.45">
      <c r="B98" s="25" t="s">
        <v>231</v>
      </c>
      <c r="C98" s="26" t="s">
        <v>201</v>
      </c>
      <c r="D98" s="28"/>
      <c r="E98" s="28"/>
      <c r="F98" s="42">
        <f t="shared" ref="F98:AK98" ca="1" si="60">F97*PressRate*F25</f>
        <v>80.124886694610183</v>
      </c>
      <c r="G98" s="42">
        <f t="shared" ca="1" si="60"/>
        <v>79.14931051550758</v>
      </c>
      <c r="H98" s="42">
        <f t="shared" ca="1" si="60"/>
        <v>84.200681683981671</v>
      </c>
      <c r="I98" s="42">
        <f t="shared" ca="1" si="60"/>
        <v>80.737153669729338</v>
      </c>
      <c r="J98" s="42">
        <f t="shared" ca="1" si="60"/>
        <v>79.213241678328799</v>
      </c>
      <c r="K98" s="42">
        <f t="shared" ca="1" si="60"/>
        <v>82.502535811334667</v>
      </c>
      <c r="L98" s="42">
        <f t="shared" ca="1" si="60"/>
        <v>141.75151590710476</v>
      </c>
      <c r="M98" s="42">
        <f t="shared" ca="1" si="60"/>
        <v>147.23590283817754</v>
      </c>
      <c r="N98" s="42">
        <f t="shared" ca="1" si="60"/>
        <v>142.85831727460058</v>
      </c>
      <c r="O98" s="42">
        <f t="shared" ca="1" si="60"/>
        <v>136.1266764942774</v>
      </c>
      <c r="P98" s="42">
        <f t="shared" ca="1" si="60"/>
        <v>139.20578249172871</v>
      </c>
      <c r="Q98" s="42">
        <f t="shared" ca="1" si="60"/>
        <v>141.18063831343144</v>
      </c>
      <c r="R98" s="42">
        <f t="shared" ca="1" si="60"/>
        <v>130.76911412378414</v>
      </c>
      <c r="S98" s="42">
        <f t="shared" ca="1" si="60"/>
        <v>145.10467591418106</v>
      </c>
      <c r="T98" s="42">
        <f t="shared" ca="1" si="60"/>
        <v>139.06533885666985</v>
      </c>
      <c r="U98" s="42">
        <f t="shared" ca="1" si="60"/>
        <v>135.04410278718336</v>
      </c>
      <c r="V98" s="42">
        <f t="shared" ca="1" si="60"/>
        <v>133.01477083467176</v>
      </c>
      <c r="W98" s="42">
        <f t="shared" ca="1" si="60"/>
        <v>139.96050198555179</v>
      </c>
      <c r="X98" s="42">
        <f t="shared" ca="1" si="60"/>
        <v>143.19514421013204</v>
      </c>
      <c r="Y98" s="42">
        <f t="shared" ca="1" si="60"/>
        <v>142.70720014936663</v>
      </c>
      <c r="Z98" s="42">
        <f t="shared" ca="1" si="60"/>
        <v>139.41699665215054</v>
      </c>
      <c r="AA98" s="42">
        <f t="shared" ca="1" si="60"/>
        <v>139.14044477731156</v>
      </c>
      <c r="AB98" s="42">
        <f t="shared" ca="1" si="60"/>
        <v>146.8853294069697</v>
      </c>
      <c r="AC98" s="42">
        <f t="shared" ca="1" si="60"/>
        <v>138.28343640781901</v>
      </c>
      <c r="AD98" s="42">
        <f t="shared" ca="1" si="60"/>
        <v>145.19019623363025</v>
      </c>
      <c r="AE98" s="42">
        <f t="shared" ca="1" si="60"/>
        <v>137.68542477745694</v>
      </c>
      <c r="AF98" s="42">
        <f t="shared" ca="1" si="60"/>
        <v>135.6267446184664</v>
      </c>
      <c r="AG98" s="42">
        <f t="shared" ca="1" si="60"/>
        <v>142.37670052449897</v>
      </c>
      <c r="AH98" s="42">
        <f t="shared" ca="1" si="60"/>
        <v>146.68086523828975</v>
      </c>
      <c r="AI98" s="42">
        <f t="shared" ca="1" si="60"/>
        <v>137.58132852065634</v>
      </c>
      <c r="AJ98" s="42">
        <f t="shared" ca="1" si="60"/>
        <v>137.24728642516726</v>
      </c>
      <c r="AK98" s="42">
        <f t="shared" ca="1" si="60"/>
        <v>142.73521995206053</v>
      </c>
      <c r="AL98" s="42">
        <f t="shared" ref="AL98:BQ98" ca="1" si="61">AL97*PressRate*AL25</f>
        <v>141.49939518708408</v>
      </c>
      <c r="AM98" s="42">
        <f t="shared" ca="1" si="61"/>
        <v>144.46164612881194</v>
      </c>
      <c r="AN98" s="42">
        <f t="shared" ca="1" si="61"/>
        <v>145.14505622867324</v>
      </c>
      <c r="AO98" s="42">
        <f t="shared" ca="1" si="61"/>
        <v>143.47274037879376</v>
      </c>
      <c r="AP98" s="42">
        <f t="shared" ca="1" si="61"/>
        <v>140.33543354106175</v>
      </c>
      <c r="AQ98" s="42">
        <f t="shared" ca="1" si="61"/>
        <v>135.64395434641406</v>
      </c>
      <c r="AR98" s="42">
        <f t="shared" ca="1" si="61"/>
        <v>140.25201439503999</v>
      </c>
      <c r="AS98" s="42">
        <f t="shared" ca="1" si="61"/>
        <v>130.20901173413884</v>
      </c>
      <c r="AT98" s="42">
        <f t="shared" ca="1" si="61"/>
        <v>146.35070490019928</v>
      </c>
      <c r="AU98" s="42">
        <f t="shared" ca="1" si="61"/>
        <v>140.36064398873413</v>
      </c>
      <c r="AV98" s="42">
        <f t="shared" ca="1" si="61"/>
        <v>136.96089486165184</v>
      </c>
      <c r="AW98" s="42">
        <f t="shared" ca="1" si="61"/>
        <v>144.08889910649611</v>
      </c>
      <c r="AX98" s="42">
        <f t="shared" ca="1" si="61"/>
        <v>142.77908101012298</v>
      </c>
      <c r="AY98" s="42">
        <f t="shared" ca="1" si="61"/>
        <v>140.43046097832786</v>
      </c>
      <c r="AZ98" s="42">
        <f t="shared" ca="1" si="61"/>
        <v>131.24055685078059</v>
      </c>
      <c r="BA98" s="42">
        <f t="shared" ca="1" si="61"/>
        <v>137.21065092916032</v>
      </c>
      <c r="BB98" s="42">
        <f t="shared" ca="1" si="61"/>
        <v>134.59408544851405</v>
      </c>
      <c r="BC98" s="42">
        <f t="shared" ca="1" si="61"/>
        <v>141.84232684312983</v>
      </c>
      <c r="BD98" s="42">
        <f t="shared" ca="1" si="61"/>
        <v>140.27366914496224</v>
      </c>
      <c r="BE98" s="42">
        <f t="shared" ca="1" si="61"/>
        <v>138.28784277314071</v>
      </c>
      <c r="BF98" s="42">
        <f t="shared" ca="1" si="61"/>
        <v>132.46429303414132</v>
      </c>
      <c r="BG98" s="42">
        <f t="shared" ca="1" si="61"/>
        <v>134.97553780876569</v>
      </c>
      <c r="BH98" s="42">
        <f t="shared" ca="1" si="61"/>
        <v>138.21087488285906</v>
      </c>
      <c r="BI98" s="42">
        <f t="shared" ca="1" si="61"/>
        <v>143.64360019431192</v>
      </c>
      <c r="BJ98" s="42">
        <f t="shared" ca="1" si="61"/>
        <v>139.97900667031712</v>
      </c>
      <c r="BK98" s="42">
        <f t="shared" ca="1" si="61"/>
        <v>128.45629380170453</v>
      </c>
      <c r="BL98" s="42">
        <f t="shared" ca="1" si="61"/>
        <v>138.62417131987277</v>
      </c>
      <c r="BM98" s="42">
        <f t="shared" ca="1" si="61"/>
        <v>140.32961655814458</v>
      </c>
    </row>
    <row r="99" spans="2:65" x14ac:dyDescent="0.45">
      <c r="B99" s="25" t="s">
        <v>232</v>
      </c>
      <c r="C99" s="26" t="s">
        <v>201</v>
      </c>
      <c r="D99" s="58">
        <f ca="1">SUM(F99:BM99)</f>
        <v>6020.6190652358791</v>
      </c>
      <c r="E99" s="28"/>
      <c r="F99" s="42">
        <f t="shared" ref="F99:AK99" ca="1" si="62">MIN(F21,F98)</f>
        <v>68.290595695396206</v>
      </c>
      <c r="G99" s="42">
        <f t="shared" ca="1" si="62"/>
        <v>65.692994202387496</v>
      </c>
      <c r="H99" s="42">
        <f t="shared" ca="1" si="62"/>
        <v>72.268129370746678</v>
      </c>
      <c r="I99" s="42">
        <f t="shared" ca="1" si="62"/>
        <v>77.243553565078926</v>
      </c>
      <c r="J99" s="42">
        <f t="shared" ca="1" si="62"/>
        <v>79.213241678328799</v>
      </c>
      <c r="K99" s="42">
        <f t="shared" ca="1" si="62"/>
        <v>82.502535811334667</v>
      </c>
      <c r="L99" s="42">
        <f t="shared" ca="1" si="62"/>
        <v>86.295048308163743</v>
      </c>
      <c r="M99" s="42">
        <f t="shared" ca="1" si="62"/>
        <v>77.379524838997042</v>
      </c>
      <c r="N99" s="42">
        <f t="shared" ca="1" si="62"/>
        <v>74.586918691012855</v>
      </c>
      <c r="O99" s="42">
        <f t="shared" ca="1" si="62"/>
        <v>74.122158261100623</v>
      </c>
      <c r="P99" s="42">
        <f t="shared" ca="1" si="62"/>
        <v>72.883368998373925</v>
      </c>
      <c r="Q99" s="42">
        <f t="shared" ca="1" si="62"/>
        <v>67.808823720456559</v>
      </c>
      <c r="R99" s="42">
        <f t="shared" ca="1" si="62"/>
        <v>70.090750096157066</v>
      </c>
      <c r="S99" s="42">
        <f t="shared" ca="1" si="62"/>
        <v>73.703218832637063</v>
      </c>
      <c r="T99" s="42">
        <f t="shared" ca="1" si="62"/>
        <v>83.190572475925066</v>
      </c>
      <c r="U99" s="42">
        <f t="shared" ca="1" si="62"/>
        <v>87.799389012387152</v>
      </c>
      <c r="V99" s="42">
        <f t="shared" ca="1" si="62"/>
        <v>93.341994768783678</v>
      </c>
      <c r="W99" s="42">
        <f t="shared" ca="1" si="62"/>
        <v>101.96915921221226</v>
      </c>
      <c r="X99" s="42">
        <f t="shared" ca="1" si="62"/>
        <v>95.525169615811947</v>
      </c>
      <c r="Y99" s="42">
        <f t="shared" ca="1" si="62"/>
        <v>92.132471307568125</v>
      </c>
      <c r="Z99" s="42">
        <f t="shared" ca="1" si="62"/>
        <v>84.701241410756253</v>
      </c>
      <c r="AA99" s="42">
        <f t="shared" ca="1" si="62"/>
        <v>84.215057742283904</v>
      </c>
      <c r="AB99" s="42">
        <f t="shared" ca="1" si="62"/>
        <v>85.701900498015348</v>
      </c>
      <c r="AC99" s="42">
        <f t="shared" ca="1" si="62"/>
        <v>81.188184964910249</v>
      </c>
      <c r="AD99" s="42">
        <f t="shared" ca="1" si="62"/>
        <v>79.022903035896093</v>
      </c>
      <c r="AE99" s="42">
        <f t="shared" ca="1" si="62"/>
        <v>81.564072104782596</v>
      </c>
      <c r="AF99" s="42">
        <f t="shared" ca="1" si="62"/>
        <v>93.087743149450162</v>
      </c>
      <c r="AG99" s="42">
        <f t="shared" ca="1" si="62"/>
        <v>99.634277759496214</v>
      </c>
      <c r="AH99" s="42">
        <f t="shared" ca="1" si="62"/>
        <v>109.9354017809509</v>
      </c>
      <c r="AI99" s="42">
        <f t="shared" ca="1" si="62"/>
        <v>116.23354915143831</v>
      </c>
      <c r="AJ99" s="42">
        <f t="shared" ca="1" si="62"/>
        <v>116.5829292001078</v>
      </c>
      <c r="AK99" s="42">
        <f t="shared" ca="1" si="62"/>
        <v>109.81869557989556</v>
      </c>
      <c r="AL99" s="42">
        <f t="shared" ref="AL99:BQ99" ca="1" si="63">MIN(AL21,AL98)</f>
        <v>110.43468592201148</v>
      </c>
      <c r="AM99" s="42">
        <f t="shared" ca="1" si="63"/>
        <v>115.10578362875124</v>
      </c>
      <c r="AN99" s="42">
        <f t="shared" ca="1" si="63"/>
        <v>119.38839120792302</v>
      </c>
      <c r="AO99" s="42">
        <f t="shared" ca="1" si="63"/>
        <v>108.01233355948936</v>
      </c>
      <c r="AP99" s="42">
        <f t="shared" ca="1" si="63"/>
        <v>102.05684683282956</v>
      </c>
      <c r="AQ99" s="42">
        <f t="shared" ca="1" si="63"/>
        <v>107.24317430075111</v>
      </c>
      <c r="AR99" s="42">
        <f t="shared" ca="1" si="63"/>
        <v>116.35890432525927</v>
      </c>
      <c r="AS99" s="42">
        <f t="shared" ca="1" si="63"/>
        <v>122.43159283094721</v>
      </c>
      <c r="AT99" s="42">
        <f t="shared" ca="1" si="63"/>
        <v>120.54248407881994</v>
      </c>
      <c r="AU99" s="42">
        <f t="shared" ca="1" si="63"/>
        <v>120.7847747708679</v>
      </c>
      <c r="AV99" s="42">
        <f t="shared" ca="1" si="63"/>
        <v>120.93989244760785</v>
      </c>
      <c r="AW99" s="42">
        <f t="shared" ca="1" si="63"/>
        <v>120.21049664389174</v>
      </c>
      <c r="AX99" s="42">
        <f t="shared" ca="1" si="63"/>
        <v>118.51147723790157</v>
      </c>
      <c r="AY99" s="42">
        <f t="shared" ca="1" si="63"/>
        <v>113.59638791161413</v>
      </c>
      <c r="AZ99" s="42">
        <f t="shared" ca="1" si="63"/>
        <v>112.93041906347307</v>
      </c>
      <c r="BA99" s="42">
        <f t="shared" ca="1" si="63"/>
        <v>105.45899046558362</v>
      </c>
      <c r="BB99" s="42">
        <f t="shared" ca="1" si="63"/>
        <v>102.08492978650369</v>
      </c>
      <c r="BC99" s="42">
        <f t="shared" ca="1" si="63"/>
        <v>106.89130069684525</v>
      </c>
      <c r="BD99" s="42">
        <f t="shared" ca="1" si="63"/>
        <v>115.24559856178777</v>
      </c>
      <c r="BE99" s="42">
        <f t="shared" ca="1" si="63"/>
        <v>119.05978073471931</v>
      </c>
      <c r="BF99" s="42">
        <f t="shared" ca="1" si="63"/>
        <v>130.59790033351825</v>
      </c>
      <c r="BG99" s="42">
        <f t="shared" ca="1" si="63"/>
        <v>134.97553780876569</v>
      </c>
      <c r="BH99" s="42">
        <f t="shared" ca="1" si="63"/>
        <v>130.3498742213115</v>
      </c>
      <c r="BI99" s="42">
        <f t="shared" ca="1" si="63"/>
        <v>123.92985935058701</v>
      </c>
      <c r="BJ99" s="42">
        <f t="shared" ca="1" si="63"/>
        <v>126.3486672257972</v>
      </c>
      <c r="BK99" s="42">
        <f t="shared" ca="1" si="63"/>
        <v>123.27924168047362</v>
      </c>
      <c r="BL99" s="42">
        <f t="shared" ca="1" si="63"/>
        <v>123.81636950615497</v>
      </c>
      <c r="BM99" s="42">
        <f t="shared" ca="1" si="63"/>
        <v>112.30779526084964</v>
      </c>
    </row>
    <row r="100" spans="2:65" x14ac:dyDescent="0.45">
      <c r="B100" s="25" t="s">
        <v>233</v>
      </c>
      <c r="C100" s="26" t="s">
        <v>201</v>
      </c>
      <c r="D100" s="58">
        <f ca="1">SUM(F100:BM100)</f>
        <v>8.4249044767158949</v>
      </c>
      <c r="E100" s="28"/>
      <c r="F100" s="42">
        <f t="shared" ref="F100:AK100" ca="1" si="64">F21-F99</f>
        <v>0</v>
      </c>
      <c r="G100" s="42">
        <f t="shared" ca="1" si="64"/>
        <v>0</v>
      </c>
      <c r="H100" s="42">
        <f t="shared" ca="1" si="64"/>
        <v>0</v>
      </c>
      <c r="I100" s="42">
        <f t="shared" ca="1" si="64"/>
        <v>0</v>
      </c>
      <c r="J100" s="42">
        <f t="shared" ca="1" si="64"/>
        <v>3.9552371576258309</v>
      </c>
      <c r="K100" s="42">
        <f t="shared" ca="1" si="64"/>
        <v>2.3603071170632006</v>
      </c>
      <c r="L100" s="42">
        <f t="shared" ca="1" si="64"/>
        <v>0</v>
      </c>
      <c r="M100" s="42">
        <f t="shared" ca="1" si="64"/>
        <v>0</v>
      </c>
      <c r="N100" s="42">
        <f t="shared" ca="1" si="64"/>
        <v>0</v>
      </c>
      <c r="O100" s="42">
        <f t="shared" ca="1" si="64"/>
        <v>0</v>
      </c>
      <c r="P100" s="42">
        <f t="shared" ca="1" si="64"/>
        <v>0</v>
      </c>
      <c r="Q100" s="42">
        <f t="shared" ca="1" si="64"/>
        <v>0</v>
      </c>
      <c r="R100" s="42">
        <f t="shared" ca="1" si="64"/>
        <v>0</v>
      </c>
      <c r="S100" s="42">
        <f t="shared" ca="1" si="64"/>
        <v>0</v>
      </c>
      <c r="T100" s="42">
        <f t="shared" ca="1" si="64"/>
        <v>0</v>
      </c>
      <c r="U100" s="42">
        <f t="shared" ca="1" si="64"/>
        <v>0</v>
      </c>
      <c r="V100" s="42">
        <f t="shared" ca="1" si="64"/>
        <v>0</v>
      </c>
      <c r="W100" s="42">
        <f t="shared" ca="1" si="64"/>
        <v>0</v>
      </c>
      <c r="X100" s="42">
        <f t="shared" ca="1" si="64"/>
        <v>0</v>
      </c>
      <c r="Y100" s="42">
        <f t="shared" ca="1" si="64"/>
        <v>0</v>
      </c>
      <c r="Z100" s="42">
        <f t="shared" ca="1" si="64"/>
        <v>0</v>
      </c>
      <c r="AA100" s="42">
        <f t="shared" ca="1" si="64"/>
        <v>0</v>
      </c>
      <c r="AB100" s="42">
        <f t="shared" ca="1" si="64"/>
        <v>0</v>
      </c>
      <c r="AC100" s="42">
        <f t="shared" ca="1" si="64"/>
        <v>0</v>
      </c>
      <c r="AD100" s="42">
        <f t="shared" ca="1" si="64"/>
        <v>0</v>
      </c>
      <c r="AE100" s="42">
        <f t="shared" ca="1" si="64"/>
        <v>0</v>
      </c>
      <c r="AF100" s="42">
        <f t="shared" ca="1" si="64"/>
        <v>0</v>
      </c>
      <c r="AG100" s="42">
        <f t="shared" ca="1" si="64"/>
        <v>0</v>
      </c>
      <c r="AH100" s="42">
        <f t="shared" ca="1" si="64"/>
        <v>0</v>
      </c>
      <c r="AI100" s="42">
        <f t="shared" ca="1" si="64"/>
        <v>0</v>
      </c>
      <c r="AJ100" s="42">
        <f t="shared" ca="1" si="64"/>
        <v>0</v>
      </c>
      <c r="AK100" s="42">
        <f t="shared" ca="1" si="64"/>
        <v>0</v>
      </c>
      <c r="AL100" s="42">
        <f t="shared" ref="AL100:BQ100" ca="1" si="65">AL21-AL99</f>
        <v>0</v>
      </c>
      <c r="AM100" s="42">
        <f t="shared" ca="1" si="65"/>
        <v>0</v>
      </c>
      <c r="AN100" s="42">
        <f t="shared" ca="1" si="65"/>
        <v>0</v>
      </c>
      <c r="AO100" s="42">
        <f t="shared" ca="1" si="65"/>
        <v>0</v>
      </c>
      <c r="AP100" s="42">
        <f t="shared" ca="1" si="65"/>
        <v>0</v>
      </c>
      <c r="AQ100" s="42">
        <f t="shared" ca="1" si="65"/>
        <v>0</v>
      </c>
      <c r="AR100" s="42">
        <f t="shared" ca="1" si="65"/>
        <v>0</v>
      </c>
      <c r="AS100" s="42">
        <f t="shared" ca="1" si="65"/>
        <v>0</v>
      </c>
      <c r="AT100" s="42">
        <f t="shared" ca="1" si="65"/>
        <v>0</v>
      </c>
      <c r="AU100" s="42">
        <f t="shared" ca="1" si="65"/>
        <v>0</v>
      </c>
      <c r="AV100" s="42">
        <f t="shared" ca="1" si="65"/>
        <v>0</v>
      </c>
      <c r="AW100" s="42">
        <f t="shared" ca="1" si="65"/>
        <v>0</v>
      </c>
      <c r="AX100" s="42">
        <f t="shared" ca="1" si="65"/>
        <v>0</v>
      </c>
      <c r="AY100" s="42">
        <f t="shared" ca="1" si="65"/>
        <v>0</v>
      </c>
      <c r="AZ100" s="42">
        <f t="shared" ca="1" si="65"/>
        <v>0</v>
      </c>
      <c r="BA100" s="42">
        <f t="shared" ca="1" si="65"/>
        <v>0</v>
      </c>
      <c r="BB100" s="42">
        <f t="shared" ca="1" si="65"/>
        <v>0</v>
      </c>
      <c r="BC100" s="42">
        <f t="shared" ca="1" si="65"/>
        <v>0</v>
      </c>
      <c r="BD100" s="42">
        <f t="shared" ca="1" si="65"/>
        <v>0</v>
      </c>
      <c r="BE100" s="42">
        <f t="shared" ca="1" si="65"/>
        <v>0</v>
      </c>
      <c r="BF100" s="42">
        <f t="shared" ca="1" si="65"/>
        <v>0</v>
      </c>
      <c r="BG100" s="42">
        <f t="shared" ca="1" si="65"/>
        <v>2.1093602020268634</v>
      </c>
      <c r="BH100" s="42">
        <f t="shared" ca="1" si="65"/>
        <v>0</v>
      </c>
      <c r="BI100" s="42">
        <f t="shared" ca="1" si="65"/>
        <v>0</v>
      </c>
      <c r="BJ100" s="42">
        <f t="shared" ca="1" si="65"/>
        <v>0</v>
      </c>
      <c r="BK100" s="42">
        <f t="shared" ca="1" si="65"/>
        <v>0</v>
      </c>
      <c r="BL100" s="42">
        <f t="shared" ca="1" si="65"/>
        <v>0</v>
      </c>
      <c r="BM100" s="42">
        <f t="shared" ca="1" si="65"/>
        <v>0</v>
      </c>
    </row>
    <row r="101" spans="2:65" x14ac:dyDescent="0.45">
      <c r="B101" s="25" t="s">
        <v>234</v>
      </c>
      <c r="C101" s="26" t="s">
        <v>201</v>
      </c>
      <c r="D101" s="58">
        <f ca="1">SUM(F101:BM101)</f>
        <v>8.4249044767158949</v>
      </c>
      <c r="E101" s="28"/>
      <c r="F101" s="42">
        <f t="shared" ref="F101:AK101" ca="1" si="66">MIN(F100,OTMax*F98)</f>
        <v>0</v>
      </c>
      <c r="G101" s="42">
        <f t="shared" ca="1" si="66"/>
        <v>0</v>
      </c>
      <c r="H101" s="42">
        <f t="shared" ca="1" si="66"/>
        <v>0</v>
      </c>
      <c r="I101" s="42">
        <f t="shared" ca="1" si="66"/>
        <v>0</v>
      </c>
      <c r="J101" s="42">
        <f t="shared" ca="1" si="66"/>
        <v>3.9552371576258309</v>
      </c>
      <c r="K101" s="42">
        <f t="shared" ca="1" si="66"/>
        <v>2.3603071170632006</v>
      </c>
      <c r="L101" s="42">
        <f t="shared" ca="1" si="66"/>
        <v>0</v>
      </c>
      <c r="M101" s="42">
        <f t="shared" ca="1" si="66"/>
        <v>0</v>
      </c>
      <c r="N101" s="42">
        <f t="shared" ca="1" si="66"/>
        <v>0</v>
      </c>
      <c r="O101" s="42">
        <f t="shared" ca="1" si="66"/>
        <v>0</v>
      </c>
      <c r="P101" s="42">
        <f t="shared" ca="1" si="66"/>
        <v>0</v>
      </c>
      <c r="Q101" s="42">
        <f t="shared" ca="1" si="66"/>
        <v>0</v>
      </c>
      <c r="R101" s="42">
        <f t="shared" ca="1" si="66"/>
        <v>0</v>
      </c>
      <c r="S101" s="42">
        <f t="shared" ca="1" si="66"/>
        <v>0</v>
      </c>
      <c r="T101" s="42">
        <f t="shared" ca="1" si="66"/>
        <v>0</v>
      </c>
      <c r="U101" s="42">
        <f t="shared" ca="1" si="66"/>
        <v>0</v>
      </c>
      <c r="V101" s="42">
        <f t="shared" ca="1" si="66"/>
        <v>0</v>
      </c>
      <c r="W101" s="42">
        <f t="shared" ca="1" si="66"/>
        <v>0</v>
      </c>
      <c r="X101" s="42">
        <f t="shared" ca="1" si="66"/>
        <v>0</v>
      </c>
      <c r="Y101" s="42">
        <f t="shared" ca="1" si="66"/>
        <v>0</v>
      </c>
      <c r="Z101" s="42">
        <f t="shared" ca="1" si="66"/>
        <v>0</v>
      </c>
      <c r="AA101" s="42">
        <f t="shared" ca="1" si="66"/>
        <v>0</v>
      </c>
      <c r="AB101" s="42">
        <f t="shared" ca="1" si="66"/>
        <v>0</v>
      </c>
      <c r="AC101" s="42">
        <f t="shared" ca="1" si="66"/>
        <v>0</v>
      </c>
      <c r="AD101" s="42">
        <f t="shared" ca="1" si="66"/>
        <v>0</v>
      </c>
      <c r="AE101" s="42">
        <f t="shared" ca="1" si="66"/>
        <v>0</v>
      </c>
      <c r="AF101" s="42">
        <f t="shared" ca="1" si="66"/>
        <v>0</v>
      </c>
      <c r="AG101" s="42">
        <f t="shared" ca="1" si="66"/>
        <v>0</v>
      </c>
      <c r="AH101" s="42">
        <f t="shared" ca="1" si="66"/>
        <v>0</v>
      </c>
      <c r="AI101" s="42">
        <f t="shared" ca="1" si="66"/>
        <v>0</v>
      </c>
      <c r="AJ101" s="42">
        <f t="shared" ca="1" si="66"/>
        <v>0</v>
      </c>
      <c r="AK101" s="42">
        <f t="shared" ca="1" si="66"/>
        <v>0</v>
      </c>
      <c r="AL101" s="42">
        <f t="shared" ref="AL101:BQ101" ca="1" si="67">MIN(AL100,OTMax*AL98)</f>
        <v>0</v>
      </c>
      <c r="AM101" s="42">
        <f t="shared" ca="1" si="67"/>
        <v>0</v>
      </c>
      <c r="AN101" s="42">
        <f t="shared" ca="1" si="67"/>
        <v>0</v>
      </c>
      <c r="AO101" s="42">
        <f t="shared" ca="1" si="67"/>
        <v>0</v>
      </c>
      <c r="AP101" s="42">
        <f t="shared" ca="1" si="67"/>
        <v>0</v>
      </c>
      <c r="AQ101" s="42">
        <f t="shared" ca="1" si="67"/>
        <v>0</v>
      </c>
      <c r="AR101" s="42">
        <f t="shared" ca="1" si="67"/>
        <v>0</v>
      </c>
      <c r="AS101" s="42">
        <f t="shared" ca="1" si="67"/>
        <v>0</v>
      </c>
      <c r="AT101" s="42">
        <f t="shared" ca="1" si="67"/>
        <v>0</v>
      </c>
      <c r="AU101" s="42">
        <f t="shared" ca="1" si="67"/>
        <v>0</v>
      </c>
      <c r="AV101" s="42">
        <f t="shared" ca="1" si="67"/>
        <v>0</v>
      </c>
      <c r="AW101" s="42">
        <f t="shared" ca="1" si="67"/>
        <v>0</v>
      </c>
      <c r="AX101" s="42">
        <f t="shared" ca="1" si="67"/>
        <v>0</v>
      </c>
      <c r="AY101" s="42">
        <f t="shared" ca="1" si="67"/>
        <v>0</v>
      </c>
      <c r="AZ101" s="42">
        <f t="shared" ca="1" si="67"/>
        <v>0</v>
      </c>
      <c r="BA101" s="42">
        <f t="shared" ca="1" si="67"/>
        <v>0</v>
      </c>
      <c r="BB101" s="42">
        <f t="shared" ca="1" si="67"/>
        <v>0</v>
      </c>
      <c r="BC101" s="42">
        <f t="shared" ca="1" si="67"/>
        <v>0</v>
      </c>
      <c r="BD101" s="42">
        <f t="shared" ca="1" si="67"/>
        <v>0</v>
      </c>
      <c r="BE101" s="42">
        <f t="shared" ca="1" si="67"/>
        <v>0</v>
      </c>
      <c r="BF101" s="42">
        <f t="shared" ca="1" si="67"/>
        <v>0</v>
      </c>
      <c r="BG101" s="42">
        <f t="shared" ca="1" si="67"/>
        <v>2.1093602020268634</v>
      </c>
      <c r="BH101" s="42">
        <f t="shared" ca="1" si="67"/>
        <v>0</v>
      </c>
      <c r="BI101" s="42">
        <f t="shared" ca="1" si="67"/>
        <v>0</v>
      </c>
      <c r="BJ101" s="42">
        <f t="shared" ca="1" si="67"/>
        <v>0</v>
      </c>
      <c r="BK101" s="42">
        <f t="shared" ca="1" si="67"/>
        <v>0</v>
      </c>
      <c r="BL101" s="42">
        <f t="shared" ca="1" si="67"/>
        <v>0</v>
      </c>
      <c r="BM101" s="42">
        <f t="shared" ca="1" si="67"/>
        <v>0</v>
      </c>
    </row>
    <row r="102" spans="2:65" x14ac:dyDescent="0.45">
      <c r="B102" s="25" t="s">
        <v>235</v>
      </c>
      <c r="C102" s="26" t="s">
        <v>201</v>
      </c>
      <c r="D102" s="58">
        <f ca="1">SUM(F102:BM102)</f>
        <v>0</v>
      </c>
      <c r="E102" s="28"/>
      <c r="F102" s="42">
        <f t="shared" ref="F102:AK102" ca="1" si="68">MIN(F100-F101,SubMax)</f>
        <v>0</v>
      </c>
      <c r="G102" s="42">
        <f t="shared" ca="1" si="68"/>
        <v>0</v>
      </c>
      <c r="H102" s="42">
        <f t="shared" ca="1" si="68"/>
        <v>0</v>
      </c>
      <c r="I102" s="42">
        <f t="shared" ca="1" si="68"/>
        <v>0</v>
      </c>
      <c r="J102" s="42">
        <f t="shared" ca="1" si="68"/>
        <v>0</v>
      </c>
      <c r="K102" s="42">
        <f t="shared" ca="1" si="68"/>
        <v>0</v>
      </c>
      <c r="L102" s="42">
        <f t="shared" ca="1" si="68"/>
        <v>0</v>
      </c>
      <c r="M102" s="42">
        <f t="shared" ca="1" si="68"/>
        <v>0</v>
      </c>
      <c r="N102" s="42">
        <f t="shared" ca="1" si="68"/>
        <v>0</v>
      </c>
      <c r="O102" s="42">
        <f t="shared" ca="1" si="68"/>
        <v>0</v>
      </c>
      <c r="P102" s="42">
        <f t="shared" ca="1" si="68"/>
        <v>0</v>
      </c>
      <c r="Q102" s="42">
        <f t="shared" ca="1" si="68"/>
        <v>0</v>
      </c>
      <c r="R102" s="42">
        <f t="shared" ca="1" si="68"/>
        <v>0</v>
      </c>
      <c r="S102" s="42">
        <f t="shared" ca="1" si="68"/>
        <v>0</v>
      </c>
      <c r="T102" s="42">
        <f t="shared" ca="1" si="68"/>
        <v>0</v>
      </c>
      <c r="U102" s="42">
        <f t="shared" ca="1" si="68"/>
        <v>0</v>
      </c>
      <c r="V102" s="42">
        <f t="shared" ca="1" si="68"/>
        <v>0</v>
      </c>
      <c r="W102" s="42">
        <f t="shared" ca="1" si="68"/>
        <v>0</v>
      </c>
      <c r="X102" s="42">
        <f t="shared" ca="1" si="68"/>
        <v>0</v>
      </c>
      <c r="Y102" s="42">
        <f t="shared" ca="1" si="68"/>
        <v>0</v>
      </c>
      <c r="Z102" s="42">
        <f t="shared" ca="1" si="68"/>
        <v>0</v>
      </c>
      <c r="AA102" s="42">
        <f t="shared" ca="1" si="68"/>
        <v>0</v>
      </c>
      <c r="AB102" s="42">
        <f t="shared" ca="1" si="68"/>
        <v>0</v>
      </c>
      <c r="AC102" s="42">
        <f t="shared" ca="1" si="68"/>
        <v>0</v>
      </c>
      <c r="AD102" s="42">
        <f t="shared" ca="1" si="68"/>
        <v>0</v>
      </c>
      <c r="AE102" s="42">
        <f t="shared" ca="1" si="68"/>
        <v>0</v>
      </c>
      <c r="AF102" s="42">
        <f t="shared" ca="1" si="68"/>
        <v>0</v>
      </c>
      <c r="AG102" s="42">
        <f t="shared" ca="1" si="68"/>
        <v>0</v>
      </c>
      <c r="AH102" s="42">
        <f t="shared" ca="1" si="68"/>
        <v>0</v>
      </c>
      <c r="AI102" s="42">
        <f t="shared" ca="1" si="68"/>
        <v>0</v>
      </c>
      <c r="AJ102" s="42">
        <f t="shared" ca="1" si="68"/>
        <v>0</v>
      </c>
      <c r="AK102" s="42">
        <f t="shared" ca="1" si="68"/>
        <v>0</v>
      </c>
      <c r="AL102" s="42">
        <f t="shared" ref="AL102:BQ102" ca="1" si="69">MIN(AL100-AL101,SubMax)</f>
        <v>0</v>
      </c>
      <c r="AM102" s="42">
        <f t="shared" ca="1" si="69"/>
        <v>0</v>
      </c>
      <c r="AN102" s="42">
        <f t="shared" ca="1" si="69"/>
        <v>0</v>
      </c>
      <c r="AO102" s="42">
        <f t="shared" ca="1" si="69"/>
        <v>0</v>
      </c>
      <c r="AP102" s="42">
        <f t="shared" ca="1" si="69"/>
        <v>0</v>
      </c>
      <c r="AQ102" s="42">
        <f t="shared" ca="1" si="69"/>
        <v>0</v>
      </c>
      <c r="AR102" s="42">
        <f t="shared" ca="1" si="69"/>
        <v>0</v>
      </c>
      <c r="AS102" s="42">
        <f t="shared" ca="1" si="69"/>
        <v>0</v>
      </c>
      <c r="AT102" s="42">
        <f t="shared" ca="1" si="69"/>
        <v>0</v>
      </c>
      <c r="AU102" s="42">
        <f t="shared" ca="1" si="69"/>
        <v>0</v>
      </c>
      <c r="AV102" s="42">
        <f t="shared" ca="1" si="69"/>
        <v>0</v>
      </c>
      <c r="AW102" s="42">
        <f t="shared" ca="1" si="69"/>
        <v>0</v>
      </c>
      <c r="AX102" s="42">
        <f t="shared" ca="1" si="69"/>
        <v>0</v>
      </c>
      <c r="AY102" s="42">
        <f t="shared" ca="1" si="69"/>
        <v>0</v>
      </c>
      <c r="AZ102" s="42">
        <f t="shared" ca="1" si="69"/>
        <v>0</v>
      </c>
      <c r="BA102" s="42">
        <f t="shared" ca="1" si="69"/>
        <v>0</v>
      </c>
      <c r="BB102" s="42">
        <f t="shared" ca="1" si="69"/>
        <v>0</v>
      </c>
      <c r="BC102" s="42">
        <f t="shared" ca="1" si="69"/>
        <v>0</v>
      </c>
      <c r="BD102" s="42">
        <f t="shared" ca="1" si="69"/>
        <v>0</v>
      </c>
      <c r="BE102" s="42">
        <f t="shared" ca="1" si="69"/>
        <v>0</v>
      </c>
      <c r="BF102" s="42">
        <f t="shared" ca="1" si="69"/>
        <v>0</v>
      </c>
      <c r="BG102" s="42">
        <f t="shared" ca="1" si="69"/>
        <v>0</v>
      </c>
      <c r="BH102" s="42">
        <f t="shared" ca="1" si="69"/>
        <v>0</v>
      </c>
      <c r="BI102" s="42">
        <f t="shared" ca="1" si="69"/>
        <v>0</v>
      </c>
      <c r="BJ102" s="42">
        <f t="shared" ca="1" si="69"/>
        <v>0</v>
      </c>
      <c r="BK102" s="42">
        <f t="shared" ca="1" si="69"/>
        <v>0</v>
      </c>
      <c r="BL102" s="42">
        <f t="shared" ca="1" si="69"/>
        <v>0</v>
      </c>
      <c r="BM102" s="42">
        <f t="shared" ca="1" si="69"/>
        <v>0</v>
      </c>
    </row>
    <row r="103" spans="2:65" x14ac:dyDescent="0.45">
      <c r="B103" s="25" t="s">
        <v>236</v>
      </c>
      <c r="C103" s="26" t="s">
        <v>201</v>
      </c>
      <c r="D103" s="58">
        <f ca="1">SUM(F103:BM103)</f>
        <v>0</v>
      </c>
      <c r="E103" s="28"/>
      <c r="F103" s="42">
        <f t="shared" ref="F103:AK103" ca="1" si="70">F100-F101-F102</f>
        <v>0</v>
      </c>
      <c r="G103" s="42">
        <f t="shared" ca="1" si="70"/>
        <v>0</v>
      </c>
      <c r="H103" s="42">
        <f t="shared" ca="1" si="70"/>
        <v>0</v>
      </c>
      <c r="I103" s="42">
        <f t="shared" ca="1" si="70"/>
        <v>0</v>
      </c>
      <c r="J103" s="42">
        <f t="shared" ca="1" si="70"/>
        <v>0</v>
      </c>
      <c r="K103" s="42">
        <f t="shared" ca="1" si="70"/>
        <v>0</v>
      </c>
      <c r="L103" s="42">
        <f t="shared" ca="1" si="70"/>
        <v>0</v>
      </c>
      <c r="M103" s="42">
        <f t="shared" ca="1" si="70"/>
        <v>0</v>
      </c>
      <c r="N103" s="42">
        <f t="shared" ca="1" si="70"/>
        <v>0</v>
      </c>
      <c r="O103" s="42">
        <f t="shared" ca="1" si="70"/>
        <v>0</v>
      </c>
      <c r="P103" s="42">
        <f t="shared" ca="1" si="70"/>
        <v>0</v>
      </c>
      <c r="Q103" s="42">
        <f t="shared" ca="1" si="70"/>
        <v>0</v>
      </c>
      <c r="R103" s="42">
        <f t="shared" ca="1" si="70"/>
        <v>0</v>
      </c>
      <c r="S103" s="42">
        <f t="shared" ca="1" si="70"/>
        <v>0</v>
      </c>
      <c r="T103" s="42">
        <f t="shared" ca="1" si="70"/>
        <v>0</v>
      </c>
      <c r="U103" s="42">
        <f t="shared" ca="1" si="70"/>
        <v>0</v>
      </c>
      <c r="V103" s="42">
        <f t="shared" ca="1" si="70"/>
        <v>0</v>
      </c>
      <c r="W103" s="42">
        <f t="shared" ca="1" si="70"/>
        <v>0</v>
      </c>
      <c r="X103" s="42">
        <f t="shared" ca="1" si="70"/>
        <v>0</v>
      </c>
      <c r="Y103" s="42">
        <f t="shared" ca="1" si="70"/>
        <v>0</v>
      </c>
      <c r="Z103" s="42">
        <f t="shared" ca="1" si="70"/>
        <v>0</v>
      </c>
      <c r="AA103" s="42">
        <f t="shared" ca="1" si="70"/>
        <v>0</v>
      </c>
      <c r="AB103" s="42">
        <f t="shared" ca="1" si="70"/>
        <v>0</v>
      </c>
      <c r="AC103" s="42">
        <f t="shared" ca="1" si="70"/>
        <v>0</v>
      </c>
      <c r="AD103" s="42">
        <f t="shared" ca="1" si="70"/>
        <v>0</v>
      </c>
      <c r="AE103" s="42">
        <f t="shared" ca="1" si="70"/>
        <v>0</v>
      </c>
      <c r="AF103" s="42">
        <f t="shared" ca="1" si="70"/>
        <v>0</v>
      </c>
      <c r="AG103" s="42">
        <f t="shared" ca="1" si="70"/>
        <v>0</v>
      </c>
      <c r="AH103" s="42">
        <f t="shared" ca="1" si="70"/>
        <v>0</v>
      </c>
      <c r="AI103" s="42">
        <f t="shared" ca="1" si="70"/>
        <v>0</v>
      </c>
      <c r="AJ103" s="42">
        <f t="shared" ca="1" si="70"/>
        <v>0</v>
      </c>
      <c r="AK103" s="42">
        <f t="shared" ca="1" si="70"/>
        <v>0</v>
      </c>
      <c r="AL103" s="42">
        <f t="shared" ref="AL103:BQ103" ca="1" si="71">AL100-AL101-AL102</f>
        <v>0</v>
      </c>
      <c r="AM103" s="42">
        <f t="shared" ca="1" si="71"/>
        <v>0</v>
      </c>
      <c r="AN103" s="42">
        <f t="shared" ca="1" si="71"/>
        <v>0</v>
      </c>
      <c r="AO103" s="42">
        <f t="shared" ca="1" si="71"/>
        <v>0</v>
      </c>
      <c r="AP103" s="42">
        <f t="shared" ca="1" si="71"/>
        <v>0</v>
      </c>
      <c r="AQ103" s="42">
        <f t="shared" ca="1" si="71"/>
        <v>0</v>
      </c>
      <c r="AR103" s="42">
        <f t="shared" ca="1" si="71"/>
        <v>0</v>
      </c>
      <c r="AS103" s="42">
        <f t="shared" ca="1" si="71"/>
        <v>0</v>
      </c>
      <c r="AT103" s="42">
        <f t="shared" ca="1" si="71"/>
        <v>0</v>
      </c>
      <c r="AU103" s="42">
        <f t="shared" ca="1" si="71"/>
        <v>0</v>
      </c>
      <c r="AV103" s="42">
        <f t="shared" ca="1" si="71"/>
        <v>0</v>
      </c>
      <c r="AW103" s="42">
        <f t="shared" ca="1" si="71"/>
        <v>0</v>
      </c>
      <c r="AX103" s="42">
        <f t="shared" ca="1" si="71"/>
        <v>0</v>
      </c>
      <c r="AY103" s="42">
        <f t="shared" ca="1" si="71"/>
        <v>0</v>
      </c>
      <c r="AZ103" s="42">
        <f t="shared" ca="1" si="71"/>
        <v>0</v>
      </c>
      <c r="BA103" s="42">
        <f t="shared" ca="1" si="71"/>
        <v>0</v>
      </c>
      <c r="BB103" s="42">
        <f t="shared" ca="1" si="71"/>
        <v>0</v>
      </c>
      <c r="BC103" s="42">
        <f t="shared" ca="1" si="71"/>
        <v>0</v>
      </c>
      <c r="BD103" s="42">
        <f t="shared" ca="1" si="71"/>
        <v>0</v>
      </c>
      <c r="BE103" s="42">
        <f t="shared" ca="1" si="71"/>
        <v>0</v>
      </c>
      <c r="BF103" s="42">
        <f t="shared" ca="1" si="71"/>
        <v>0</v>
      </c>
      <c r="BG103" s="42">
        <f t="shared" ca="1" si="71"/>
        <v>0</v>
      </c>
      <c r="BH103" s="42">
        <f t="shared" ca="1" si="71"/>
        <v>0</v>
      </c>
      <c r="BI103" s="42">
        <f t="shared" ca="1" si="71"/>
        <v>0</v>
      </c>
      <c r="BJ103" s="42">
        <f t="shared" ca="1" si="71"/>
        <v>0</v>
      </c>
      <c r="BK103" s="42">
        <f t="shared" ca="1" si="71"/>
        <v>0</v>
      </c>
      <c r="BL103" s="42">
        <f t="shared" ca="1" si="71"/>
        <v>0</v>
      </c>
      <c r="BM103" s="42">
        <f t="shared" ca="1" si="71"/>
        <v>0</v>
      </c>
    </row>
    <row r="104" spans="2:65" x14ac:dyDescent="0.45">
      <c r="B104" s="25" t="s">
        <v>237</v>
      </c>
      <c r="C104" s="26" t="s">
        <v>170</v>
      </c>
      <c r="D104" s="42">
        <f>New_3*NetCapex</f>
        <v>791.65008177974823</v>
      </c>
      <c r="E104" s="28"/>
      <c r="F104" s="26" t="s">
        <v>238</v>
      </c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</row>
    <row r="105" spans="2:65" x14ac:dyDescent="0.45">
      <c r="B105" s="25" t="s">
        <v>239</v>
      </c>
      <c r="C105" s="26" t="s">
        <v>170</v>
      </c>
      <c r="D105" s="55" cm="1">
        <f t="array" aca="1" ref="D105" ca="1">_xll.VoseOutput("Постоянные затраты, три новых пресса","тыс. долл.")+PressFixed*SUMPRODUCT(F96:BM96,F26:BM26)</f>
        <v>525.33279478010741</v>
      </c>
      <c r="E105" s="28"/>
      <c r="F105" s="26" t="s">
        <v>240</v>
      </c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</row>
    <row r="106" spans="2:65" x14ac:dyDescent="0.45">
      <c r="B106" s="25" t="s">
        <v>241</v>
      </c>
      <c r="C106" s="26" t="s">
        <v>170</v>
      </c>
      <c r="D106" s="55" cm="1">
        <f t="array" aca="1" ref="D106" ca="1">_xll.VoseOutput("Надбавка за сверхурочную работу, три новых пресса","тыс. долл.")+OTCost*SUMPRODUCT(F101:BM101,F26:BM26)</f>
        <v>2.2780610920762756</v>
      </c>
      <c r="E106" s="28"/>
      <c r="F106" s="26" t="s">
        <v>242</v>
      </c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</row>
    <row r="107" spans="2:65" x14ac:dyDescent="0.45">
      <c r="B107" s="25" t="s">
        <v>243</v>
      </c>
      <c r="C107" s="26" t="s">
        <v>170</v>
      </c>
      <c r="D107" s="55" cm="1">
        <f t="array" aca="1" ref="D107" ca="1">_xll.VoseOutput("Надбавка за субподряд, три новых пресса","тыс. долл.")+SubCost*SUMPRODUCT(F102:BM102,F26:BM26)</f>
        <v>0</v>
      </c>
      <c r="E107" s="28"/>
      <c r="F107" s="26" t="s">
        <v>244</v>
      </c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</row>
    <row r="108" spans="2:65" x14ac:dyDescent="0.45">
      <c r="B108" s="25" t="s">
        <v>245</v>
      </c>
      <c r="C108" s="26" t="s">
        <v>170</v>
      </c>
      <c r="D108" s="55" cm="1">
        <f t="array" aca="1" ref="D108" ca="1">_xll.VoseOutput("Потерянный маржинальный доход, три новых пресса","тыс. долл.")+LostCost*SUMPRODUCT(F103:BM103,F26:BM26)</f>
        <v>0</v>
      </c>
      <c r="E108" s="28"/>
      <c r="F108" s="26" t="s">
        <v>246</v>
      </c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</row>
    <row r="109" spans="2:65" x14ac:dyDescent="0.45">
      <c r="B109" s="59" t="s">
        <v>63</v>
      </c>
      <c r="C109" s="26" t="s">
        <v>170</v>
      </c>
      <c r="D109" s="58">
        <f ca="1">SUM(D104:D108)</f>
        <v>1319.260937651932</v>
      </c>
      <c r="E109" s="28"/>
      <c r="F109" s="26" t="s">
        <v>247</v>
      </c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</row>
    <row r="110" spans="2:65" ht="8" customHeight="1" x14ac:dyDescent="0.45"/>
    <row r="111" spans="2:65" ht="22.05" customHeight="1" x14ac:dyDescent="0.5">
      <c r="B111" s="7" t="s">
        <v>254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</row>
    <row r="112" spans="2:65" ht="18" customHeight="1" x14ac:dyDescent="0.45">
      <c r="B112" s="13" t="s">
        <v>255</v>
      </c>
    </row>
    <row r="113" spans="2:65" x14ac:dyDescent="0.45">
      <c r="B113" s="60" t="s">
        <v>256</v>
      </c>
    </row>
    <row r="114" spans="2:65" x14ac:dyDescent="0.45">
      <c r="B114" s="25" t="s">
        <v>229</v>
      </c>
      <c r="C114" s="26" t="s">
        <v>143</v>
      </c>
      <c r="D114" s="28"/>
      <c r="E114" s="28"/>
      <c r="F114" s="52">
        <f t="shared" ref="F114:AK114" si="72">IF(F$6&gt;LeadPlan,New_0,0)</f>
        <v>0</v>
      </c>
      <c r="G114" s="52">
        <f t="shared" si="72"/>
        <v>0</v>
      </c>
      <c r="H114" s="52">
        <f t="shared" si="72"/>
        <v>0</v>
      </c>
      <c r="I114" s="52">
        <f t="shared" si="72"/>
        <v>0</v>
      </c>
      <c r="J114" s="52">
        <f t="shared" si="72"/>
        <v>0</v>
      </c>
      <c r="K114" s="52">
        <f t="shared" si="72"/>
        <v>0</v>
      </c>
      <c r="L114" s="52">
        <f t="shared" si="72"/>
        <v>0</v>
      </c>
      <c r="M114" s="52">
        <f t="shared" si="72"/>
        <v>0</v>
      </c>
      <c r="N114" s="52">
        <f t="shared" si="72"/>
        <v>0</v>
      </c>
      <c r="O114" s="52">
        <f t="shared" si="72"/>
        <v>0</v>
      </c>
      <c r="P114" s="52">
        <f t="shared" si="72"/>
        <v>0</v>
      </c>
      <c r="Q114" s="52">
        <f t="shared" si="72"/>
        <v>0</v>
      </c>
      <c r="R114" s="52">
        <f t="shared" si="72"/>
        <v>0</v>
      </c>
      <c r="S114" s="52">
        <f t="shared" si="72"/>
        <v>0</v>
      </c>
      <c r="T114" s="52">
        <f t="shared" si="72"/>
        <v>0</v>
      </c>
      <c r="U114" s="52">
        <f t="shared" si="72"/>
        <v>0</v>
      </c>
      <c r="V114" s="52">
        <f t="shared" si="72"/>
        <v>0</v>
      </c>
      <c r="W114" s="52">
        <f t="shared" si="72"/>
        <v>0</v>
      </c>
      <c r="X114" s="52">
        <f t="shared" si="72"/>
        <v>0</v>
      </c>
      <c r="Y114" s="52">
        <f t="shared" si="72"/>
        <v>0</v>
      </c>
      <c r="Z114" s="52">
        <f t="shared" si="72"/>
        <v>0</v>
      </c>
      <c r="AA114" s="52">
        <f t="shared" si="72"/>
        <v>0</v>
      </c>
      <c r="AB114" s="52">
        <f t="shared" si="72"/>
        <v>0</v>
      </c>
      <c r="AC114" s="52">
        <f t="shared" si="72"/>
        <v>0</v>
      </c>
      <c r="AD114" s="52">
        <f t="shared" si="72"/>
        <v>0</v>
      </c>
      <c r="AE114" s="52">
        <f t="shared" si="72"/>
        <v>0</v>
      </c>
      <c r="AF114" s="52">
        <f t="shared" si="72"/>
        <v>0</v>
      </c>
      <c r="AG114" s="52">
        <f t="shared" si="72"/>
        <v>0</v>
      </c>
      <c r="AH114" s="52">
        <f t="shared" si="72"/>
        <v>0</v>
      </c>
      <c r="AI114" s="52">
        <f t="shared" si="72"/>
        <v>0</v>
      </c>
      <c r="AJ114" s="52">
        <f t="shared" si="72"/>
        <v>0</v>
      </c>
      <c r="AK114" s="52">
        <f t="shared" si="72"/>
        <v>0</v>
      </c>
      <c r="AL114" s="52">
        <f t="shared" ref="AL114:BM114" si="73">IF(AL$6&gt;LeadPlan,New_0,0)</f>
        <v>0</v>
      </c>
      <c r="AM114" s="52">
        <f t="shared" si="73"/>
        <v>0</v>
      </c>
      <c r="AN114" s="52">
        <f t="shared" si="73"/>
        <v>0</v>
      </c>
      <c r="AO114" s="52">
        <f t="shared" si="73"/>
        <v>0</v>
      </c>
      <c r="AP114" s="52">
        <f t="shared" si="73"/>
        <v>0</v>
      </c>
      <c r="AQ114" s="52">
        <f t="shared" si="73"/>
        <v>0</v>
      </c>
      <c r="AR114" s="52">
        <f t="shared" si="73"/>
        <v>0</v>
      </c>
      <c r="AS114" s="52">
        <f t="shared" si="73"/>
        <v>0</v>
      </c>
      <c r="AT114" s="52">
        <f t="shared" si="73"/>
        <v>0</v>
      </c>
      <c r="AU114" s="52">
        <f t="shared" si="73"/>
        <v>0</v>
      </c>
      <c r="AV114" s="52">
        <f t="shared" si="73"/>
        <v>0</v>
      </c>
      <c r="AW114" s="52">
        <f t="shared" si="73"/>
        <v>0</v>
      </c>
      <c r="AX114" s="52">
        <f t="shared" si="73"/>
        <v>0</v>
      </c>
      <c r="AY114" s="52">
        <f t="shared" si="73"/>
        <v>0</v>
      </c>
      <c r="AZ114" s="52">
        <f t="shared" si="73"/>
        <v>0</v>
      </c>
      <c r="BA114" s="52">
        <f t="shared" si="73"/>
        <v>0</v>
      </c>
      <c r="BB114" s="52">
        <f t="shared" si="73"/>
        <v>0</v>
      </c>
      <c r="BC114" s="52">
        <f t="shared" si="73"/>
        <v>0</v>
      </c>
      <c r="BD114" s="52">
        <f t="shared" si="73"/>
        <v>0</v>
      </c>
      <c r="BE114" s="52">
        <f t="shared" si="73"/>
        <v>0</v>
      </c>
      <c r="BF114" s="52">
        <f t="shared" si="73"/>
        <v>0</v>
      </c>
      <c r="BG114" s="52">
        <f t="shared" si="73"/>
        <v>0</v>
      </c>
      <c r="BH114" s="52">
        <f t="shared" si="73"/>
        <v>0</v>
      </c>
      <c r="BI114" s="52">
        <f t="shared" si="73"/>
        <v>0</v>
      </c>
      <c r="BJ114" s="52">
        <f t="shared" si="73"/>
        <v>0</v>
      </c>
      <c r="BK114" s="52">
        <f t="shared" si="73"/>
        <v>0</v>
      </c>
      <c r="BL114" s="52">
        <f t="shared" si="73"/>
        <v>0</v>
      </c>
      <c r="BM114" s="52">
        <f t="shared" si="73"/>
        <v>0</v>
      </c>
    </row>
    <row r="115" spans="2:65" x14ac:dyDescent="0.45">
      <c r="B115" s="25" t="s">
        <v>230</v>
      </c>
      <c r="C115" s="26" t="s">
        <v>143</v>
      </c>
      <c r="D115" s="28"/>
      <c r="E115" s="28"/>
      <c r="F115" s="52">
        <f t="shared" ref="F115:AK115" si="74">Presses+F114</f>
        <v>4</v>
      </c>
      <c r="G115" s="52">
        <f t="shared" si="74"/>
        <v>4</v>
      </c>
      <c r="H115" s="52">
        <f t="shared" si="74"/>
        <v>4</v>
      </c>
      <c r="I115" s="52">
        <f t="shared" si="74"/>
        <v>4</v>
      </c>
      <c r="J115" s="52">
        <f t="shared" si="74"/>
        <v>4</v>
      </c>
      <c r="K115" s="52">
        <f t="shared" si="74"/>
        <v>4</v>
      </c>
      <c r="L115" s="52">
        <f t="shared" si="74"/>
        <v>4</v>
      </c>
      <c r="M115" s="52">
        <f t="shared" si="74"/>
        <v>4</v>
      </c>
      <c r="N115" s="52">
        <f t="shared" si="74"/>
        <v>4</v>
      </c>
      <c r="O115" s="52">
        <f t="shared" si="74"/>
        <v>4</v>
      </c>
      <c r="P115" s="52">
        <f t="shared" si="74"/>
        <v>4</v>
      </c>
      <c r="Q115" s="52">
        <f t="shared" si="74"/>
        <v>4</v>
      </c>
      <c r="R115" s="52">
        <f t="shared" si="74"/>
        <v>4</v>
      </c>
      <c r="S115" s="52">
        <f t="shared" si="74"/>
        <v>4</v>
      </c>
      <c r="T115" s="52">
        <f t="shared" si="74"/>
        <v>4</v>
      </c>
      <c r="U115" s="52">
        <f t="shared" si="74"/>
        <v>4</v>
      </c>
      <c r="V115" s="52">
        <f t="shared" si="74"/>
        <v>4</v>
      </c>
      <c r="W115" s="52">
        <f t="shared" si="74"/>
        <v>4</v>
      </c>
      <c r="X115" s="52">
        <f t="shared" si="74"/>
        <v>4</v>
      </c>
      <c r="Y115" s="52">
        <f t="shared" si="74"/>
        <v>4</v>
      </c>
      <c r="Z115" s="52">
        <f t="shared" si="74"/>
        <v>4</v>
      </c>
      <c r="AA115" s="52">
        <f t="shared" si="74"/>
        <v>4</v>
      </c>
      <c r="AB115" s="52">
        <f t="shared" si="74"/>
        <v>4</v>
      </c>
      <c r="AC115" s="52">
        <f t="shared" si="74"/>
        <v>4</v>
      </c>
      <c r="AD115" s="52">
        <f t="shared" si="74"/>
        <v>4</v>
      </c>
      <c r="AE115" s="52">
        <f t="shared" si="74"/>
        <v>4</v>
      </c>
      <c r="AF115" s="52">
        <f t="shared" si="74"/>
        <v>4</v>
      </c>
      <c r="AG115" s="52">
        <f t="shared" si="74"/>
        <v>4</v>
      </c>
      <c r="AH115" s="52">
        <f t="shared" si="74"/>
        <v>4</v>
      </c>
      <c r="AI115" s="52">
        <f t="shared" si="74"/>
        <v>4</v>
      </c>
      <c r="AJ115" s="52">
        <f t="shared" si="74"/>
        <v>4</v>
      </c>
      <c r="AK115" s="52">
        <f t="shared" si="74"/>
        <v>4</v>
      </c>
      <c r="AL115" s="52">
        <f t="shared" ref="AL115:BQ115" si="75">Presses+AL114</f>
        <v>4</v>
      </c>
      <c r="AM115" s="52">
        <f t="shared" si="75"/>
        <v>4</v>
      </c>
      <c r="AN115" s="52">
        <f t="shared" si="75"/>
        <v>4</v>
      </c>
      <c r="AO115" s="52">
        <f t="shared" si="75"/>
        <v>4</v>
      </c>
      <c r="AP115" s="52">
        <f t="shared" si="75"/>
        <v>4</v>
      </c>
      <c r="AQ115" s="52">
        <f t="shared" si="75"/>
        <v>4</v>
      </c>
      <c r="AR115" s="52">
        <f t="shared" si="75"/>
        <v>4</v>
      </c>
      <c r="AS115" s="52">
        <f t="shared" si="75"/>
        <v>4</v>
      </c>
      <c r="AT115" s="52">
        <f t="shared" si="75"/>
        <v>4</v>
      </c>
      <c r="AU115" s="52">
        <f t="shared" si="75"/>
        <v>4</v>
      </c>
      <c r="AV115" s="52">
        <f t="shared" si="75"/>
        <v>4</v>
      </c>
      <c r="AW115" s="52">
        <f t="shared" si="75"/>
        <v>4</v>
      </c>
      <c r="AX115" s="52">
        <f t="shared" si="75"/>
        <v>4</v>
      </c>
      <c r="AY115" s="52">
        <f t="shared" si="75"/>
        <v>4</v>
      </c>
      <c r="AZ115" s="52">
        <f t="shared" si="75"/>
        <v>4</v>
      </c>
      <c r="BA115" s="52">
        <f t="shared" si="75"/>
        <v>4</v>
      </c>
      <c r="BB115" s="52">
        <f t="shared" si="75"/>
        <v>4</v>
      </c>
      <c r="BC115" s="52">
        <f t="shared" si="75"/>
        <v>4</v>
      </c>
      <c r="BD115" s="52">
        <f t="shared" si="75"/>
        <v>4</v>
      </c>
      <c r="BE115" s="52">
        <f t="shared" si="75"/>
        <v>4</v>
      </c>
      <c r="BF115" s="52">
        <f t="shared" si="75"/>
        <v>4</v>
      </c>
      <c r="BG115" s="52">
        <f t="shared" si="75"/>
        <v>4</v>
      </c>
      <c r="BH115" s="52">
        <f t="shared" si="75"/>
        <v>4</v>
      </c>
      <c r="BI115" s="52">
        <f t="shared" si="75"/>
        <v>4</v>
      </c>
      <c r="BJ115" s="52">
        <f t="shared" si="75"/>
        <v>4</v>
      </c>
      <c r="BK115" s="52">
        <f t="shared" si="75"/>
        <v>4</v>
      </c>
      <c r="BL115" s="52">
        <f t="shared" si="75"/>
        <v>4</v>
      </c>
      <c r="BM115" s="52">
        <f t="shared" si="75"/>
        <v>4</v>
      </c>
    </row>
    <row r="116" spans="2:65" x14ac:dyDescent="0.45">
      <c r="B116" s="25" t="s">
        <v>231</v>
      </c>
      <c r="C116" s="26" t="s">
        <v>201</v>
      </c>
      <c r="D116" s="28"/>
      <c r="E116" s="28"/>
      <c r="F116" s="42">
        <f t="shared" ref="F116:AK116" si="76">F115*PressRate*PlantOEE_ML</f>
        <v>80</v>
      </c>
      <c r="G116" s="42">
        <f t="shared" si="76"/>
        <v>80</v>
      </c>
      <c r="H116" s="42">
        <f t="shared" si="76"/>
        <v>80</v>
      </c>
      <c r="I116" s="42">
        <f t="shared" si="76"/>
        <v>80</v>
      </c>
      <c r="J116" s="42">
        <f t="shared" si="76"/>
        <v>80</v>
      </c>
      <c r="K116" s="42">
        <f t="shared" si="76"/>
        <v>80</v>
      </c>
      <c r="L116" s="42">
        <f t="shared" si="76"/>
        <v>80</v>
      </c>
      <c r="M116" s="42">
        <f t="shared" si="76"/>
        <v>80</v>
      </c>
      <c r="N116" s="42">
        <f t="shared" si="76"/>
        <v>80</v>
      </c>
      <c r="O116" s="42">
        <f t="shared" si="76"/>
        <v>80</v>
      </c>
      <c r="P116" s="42">
        <f t="shared" si="76"/>
        <v>80</v>
      </c>
      <c r="Q116" s="42">
        <f t="shared" si="76"/>
        <v>80</v>
      </c>
      <c r="R116" s="42">
        <f t="shared" si="76"/>
        <v>80</v>
      </c>
      <c r="S116" s="42">
        <f t="shared" si="76"/>
        <v>80</v>
      </c>
      <c r="T116" s="42">
        <f t="shared" si="76"/>
        <v>80</v>
      </c>
      <c r="U116" s="42">
        <f t="shared" si="76"/>
        <v>80</v>
      </c>
      <c r="V116" s="42">
        <f t="shared" si="76"/>
        <v>80</v>
      </c>
      <c r="W116" s="42">
        <f t="shared" si="76"/>
        <v>80</v>
      </c>
      <c r="X116" s="42">
        <f t="shared" si="76"/>
        <v>80</v>
      </c>
      <c r="Y116" s="42">
        <f t="shared" si="76"/>
        <v>80</v>
      </c>
      <c r="Z116" s="42">
        <f t="shared" si="76"/>
        <v>80</v>
      </c>
      <c r="AA116" s="42">
        <f t="shared" si="76"/>
        <v>80</v>
      </c>
      <c r="AB116" s="42">
        <f t="shared" si="76"/>
        <v>80</v>
      </c>
      <c r="AC116" s="42">
        <f t="shared" si="76"/>
        <v>80</v>
      </c>
      <c r="AD116" s="42">
        <f t="shared" si="76"/>
        <v>80</v>
      </c>
      <c r="AE116" s="42">
        <f t="shared" si="76"/>
        <v>80</v>
      </c>
      <c r="AF116" s="42">
        <f t="shared" si="76"/>
        <v>80</v>
      </c>
      <c r="AG116" s="42">
        <f t="shared" si="76"/>
        <v>80</v>
      </c>
      <c r="AH116" s="42">
        <f t="shared" si="76"/>
        <v>80</v>
      </c>
      <c r="AI116" s="42">
        <f t="shared" si="76"/>
        <v>80</v>
      </c>
      <c r="AJ116" s="42">
        <f t="shared" si="76"/>
        <v>80</v>
      </c>
      <c r="AK116" s="42">
        <f t="shared" si="76"/>
        <v>80</v>
      </c>
      <c r="AL116" s="42">
        <f t="shared" ref="AL116:BQ116" si="77">AL115*PressRate*PlantOEE_ML</f>
        <v>80</v>
      </c>
      <c r="AM116" s="42">
        <f t="shared" si="77"/>
        <v>80</v>
      </c>
      <c r="AN116" s="42">
        <f t="shared" si="77"/>
        <v>80</v>
      </c>
      <c r="AO116" s="42">
        <f t="shared" si="77"/>
        <v>80</v>
      </c>
      <c r="AP116" s="42">
        <f t="shared" si="77"/>
        <v>80</v>
      </c>
      <c r="AQ116" s="42">
        <f t="shared" si="77"/>
        <v>80</v>
      </c>
      <c r="AR116" s="42">
        <f t="shared" si="77"/>
        <v>80</v>
      </c>
      <c r="AS116" s="42">
        <f t="shared" si="77"/>
        <v>80</v>
      </c>
      <c r="AT116" s="42">
        <f t="shared" si="77"/>
        <v>80</v>
      </c>
      <c r="AU116" s="42">
        <f t="shared" si="77"/>
        <v>80</v>
      </c>
      <c r="AV116" s="42">
        <f t="shared" si="77"/>
        <v>80</v>
      </c>
      <c r="AW116" s="42">
        <f t="shared" si="77"/>
        <v>80</v>
      </c>
      <c r="AX116" s="42">
        <f t="shared" si="77"/>
        <v>80</v>
      </c>
      <c r="AY116" s="42">
        <f t="shared" si="77"/>
        <v>80</v>
      </c>
      <c r="AZ116" s="42">
        <f t="shared" si="77"/>
        <v>80</v>
      </c>
      <c r="BA116" s="42">
        <f t="shared" si="77"/>
        <v>80</v>
      </c>
      <c r="BB116" s="42">
        <f t="shared" si="77"/>
        <v>80</v>
      </c>
      <c r="BC116" s="42">
        <f t="shared" si="77"/>
        <v>80</v>
      </c>
      <c r="BD116" s="42">
        <f t="shared" si="77"/>
        <v>80</v>
      </c>
      <c r="BE116" s="42">
        <f t="shared" si="77"/>
        <v>80</v>
      </c>
      <c r="BF116" s="42">
        <f t="shared" si="77"/>
        <v>80</v>
      </c>
      <c r="BG116" s="42">
        <f t="shared" si="77"/>
        <v>80</v>
      </c>
      <c r="BH116" s="42">
        <f t="shared" si="77"/>
        <v>80</v>
      </c>
      <c r="BI116" s="42">
        <f t="shared" si="77"/>
        <v>80</v>
      </c>
      <c r="BJ116" s="42">
        <f t="shared" si="77"/>
        <v>80</v>
      </c>
      <c r="BK116" s="42">
        <f t="shared" si="77"/>
        <v>80</v>
      </c>
      <c r="BL116" s="42">
        <f t="shared" si="77"/>
        <v>80</v>
      </c>
      <c r="BM116" s="42">
        <f t="shared" si="77"/>
        <v>80</v>
      </c>
    </row>
    <row r="117" spans="2:65" x14ac:dyDescent="0.45">
      <c r="B117" s="25" t="s">
        <v>232</v>
      </c>
      <c r="C117" s="26" t="s">
        <v>201</v>
      </c>
      <c r="D117" s="58">
        <f>SUM(F117:BM117)</f>
        <v>4737.7131271042263</v>
      </c>
      <c r="E117" s="28"/>
      <c r="F117" s="42">
        <f t="shared" ref="F117:AK117" si="78">MIN(F24,F116)</f>
        <v>66.622718602482252</v>
      </c>
      <c r="G117" s="42">
        <f t="shared" si="78"/>
        <v>69.30984363245976</v>
      </c>
      <c r="H117" s="42">
        <f t="shared" si="78"/>
        <v>77.561668801132313</v>
      </c>
      <c r="I117" s="42">
        <f t="shared" si="78"/>
        <v>80</v>
      </c>
      <c r="J117" s="42">
        <f t="shared" si="78"/>
        <v>80</v>
      </c>
      <c r="K117" s="42">
        <f t="shared" si="78"/>
        <v>80</v>
      </c>
      <c r="L117" s="42">
        <f t="shared" si="78"/>
        <v>80</v>
      </c>
      <c r="M117" s="42">
        <f t="shared" si="78"/>
        <v>80</v>
      </c>
      <c r="N117" s="42">
        <f t="shared" si="78"/>
        <v>80</v>
      </c>
      <c r="O117" s="42">
        <f t="shared" si="78"/>
        <v>80</v>
      </c>
      <c r="P117" s="42">
        <f t="shared" si="78"/>
        <v>78.165525352878248</v>
      </c>
      <c r="Q117" s="42">
        <f t="shared" si="78"/>
        <v>72.758400000000009</v>
      </c>
      <c r="R117" s="42">
        <f t="shared" si="78"/>
        <v>70.620081718631184</v>
      </c>
      <c r="S117" s="42">
        <f t="shared" si="78"/>
        <v>73.468434250407341</v>
      </c>
      <c r="T117" s="42">
        <f t="shared" si="78"/>
        <v>80</v>
      </c>
      <c r="U117" s="42">
        <f t="shared" si="78"/>
        <v>80</v>
      </c>
      <c r="V117" s="42">
        <f t="shared" si="78"/>
        <v>80</v>
      </c>
      <c r="W117" s="42">
        <f t="shared" si="78"/>
        <v>80</v>
      </c>
      <c r="X117" s="42">
        <f t="shared" si="78"/>
        <v>80</v>
      </c>
      <c r="Y117" s="42">
        <f t="shared" si="78"/>
        <v>80</v>
      </c>
      <c r="Z117" s="42">
        <f t="shared" si="78"/>
        <v>80</v>
      </c>
      <c r="AA117" s="42">
        <f t="shared" si="78"/>
        <v>80</v>
      </c>
      <c r="AB117" s="42">
        <f t="shared" si="78"/>
        <v>80</v>
      </c>
      <c r="AC117" s="42">
        <f t="shared" si="78"/>
        <v>77.12390400000001</v>
      </c>
      <c r="AD117" s="42">
        <f t="shared" si="78"/>
        <v>74.85728662174904</v>
      </c>
      <c r="AE117" s="42">
        <f t="shared" si="78"/>
        <v>77.876540305431789</v>
      </c>
      <c r="AF117" s="42">
        <f t="shared" si="78"/>
        <v>80</v>
      </c>
      <c r="AG117" s="42">
        <f t="shared" si="78"/>
        <v>80</v>
      </c>
      <c r="AH117" s="42">
        <f t="shared" si="78"/>
        <v>80</v>
      </c>
      <c r="AI117" s="42">
        <f t="shared" si="78"/>
        <v>80</v>
      </c>
      <c r="AJ117" s="42">
        <f t="shared" si="78"/>
        <v>80</v>
      </c>
      <c r="AK117" s="42">
        <f t="shared" si="78"/>
        <v>80</v>
      </c>
      <c r="AL117" s="42">
        <f t="shared" ref="AL117:BQ117" si="79">MIN(AL24,AL116)</f>
        <v>80</v>
      </c>
      <c r="AM117" s="42">
        <f t="shared" si="79"/>
        <v>80</v>
      </c>
      <c r="AN117" s="42">
        <f t="shared" si="79"/>
        <v>80</v>
      </c>
      <c r="AO117" s="42">
        <f t="shared" si="79"/>
        <v>80</v>
      </c>
      <c r="AP117" s="42">
        <f t="shared" si="79"/>
        <v>79.348723819054001</v>
      </c>
      <c r="AQ117" s="42">
        <f t="shared" si="79"/>
        <v>80</v>
      </c>
      <c r="AR117" s="42">
        <f t="shared" si="79"/>
        <v>80</v>
      </c>
      <c r="AS117" s="42">
        <f t="shared" si="79"/>
        <v>80</v>
      </c>
      <c r="AT117" s="42">
        <f t="shared" si="79"/>
        <v>80</v>
      </c>
      <c r="AU117" s="42">
        <f t="shared" si="79"/>
        <v>80</v>
      </c>
      <c r="AV117" s="42">
        <f t="shared" si="79"/>
        <v>80</v>
      </c>
      <c r="AW117" s="42">
        <f t="shared" si="79"/>
        <v>80</v>
      </c>
      <c r="AX117" s="42">
        <f t="shared" si="79"/>
        <v>80</v>
      </c>
      <c r="AY117" s="42">
        <f t="shared" si="79"/>
        <v>80</v>
      </c>
      <c r="AZ117" s="42">
        <f t="shared" si="79"/>
        <v>80</v>
      </c>
      <c r="BA117" s="42">
        <f t="shared" si="79"/>
        <v>80</v>
      </c>
      <c r="BB117" s="42">
        <f t="shared" si="79"/>
        <v>80</v>
      </c>
      <c r="BC117" s="42">
        <f t="shared" si="79"/>
        <v>80</v>
      </c>
      <c r="BD117" s="42">
        <f t="shared" si="79"/>
        <v>80</v>
      </c>
      <c r="BE117" s="42">
        <f t="shared" si="79"/>
        <v>80</v>
      </c>
      <c r="BF117" s="42">
        <f t="shared" si="79"/>
        <v>80</v>
      </c>
      <c r="BG117" s="42">
        <f t="shared" si="79"/>
        <v>80</v>
      </c>
      <c r="BH117" s="42">
        <f t="shared" si="79"/>
        <v>80</v>
      </c>
      <c r="BI117" s="42">
        <f t="shared" si="79"/>
        <v>80</v>
      </c>
      <c r="BJ117" s="42">
        <f t="shared" si="79"/>
        <v>80</v>
      </c>
      <c r="BK117" s="42">
        <f t="shared" si="79"/>
        <v>80</v>
      </c>
      <c r="BL117" s="42">
        <f t="shared" si="79"/>
        <v>80</v>
      </c>
      <c r="BM117" s="42">
        <f t="shared" si="79"/>
        <v>80</v>
      </c>
    </row>
    <row r="118" spans="2:65" x14ac:dyDescent="0.45">
      <c r="B118" s="25" t="s">
        <v>233</v>
      </c>
      <c r="C118" s="26" t="s">
        <v>201</v>
      </c>
      <c r="D118" s="58">
        <f>SUM(F118:BM118)</f>
        <v>709.2485072840775</v>
      </c>
      <c r="E118" s="28"/>
      <c r="F118" s="42">
        <f t="shared" ref="F118:AK118" si="80">F24-F117</f>
        <v>0</v>
      </c>
      <c r="G118" s="42">
        <f t="shared" si="80"/>
        <v>0</v>
      </c>
      <c r="H118" s="42">
        <f t="shared" si="80"/>
        <v>0</v>
      </c>
      <c r="I118" s="42">
        <f t="shared" si="80"/>
        <v>2.7109921548901781</v>
      </c>
      <c r="J118" s="42">
        <f t="shared" si="80"/>
        <v>7.9086070198703879</v>
      </c>
      <c r="K118" s="42">
        <f t="shared" si="80"/>
        <v>12.351802364653381</v>
      </c>
      <c r="L118" s="42">
        <f t="shared" si="80"/>
        <v>10.380425186399648</v>
      </c>
      <c r="M118" s="42">
        <f t="shared" si="80"/>
        <v>5.1440841963546688</v>
      </c>
      <c r="N118" s="42">
        <f t="shared" si="80"/>
        <v>3.1139979791911117</v>
      </c>
      <c r="O118" s="42">
        <f t="shared" si="80"/>
        <v>0.24332193696251636</v>
      </c>
      <c r="P118" s="42">
        <f t="shared" si="80"/>
        <v>0</v>
      </c>
      <c r="Q118" s="42">
        <f t="shared" si="80"/>
        <v>0</v>
      </c>
      <c r="R118" s="42">
        <f t="shared" si="80"/>
        <v>0</v>
      </c>
      <c r="S118" s="42">
        <f t="shared" si="80"/>
        <v>0</v>
      </c>
      <c r="T118" s="42">
        <f t="shared" si="80"/>
        <v>2.2153689292002525</v>
      </c>
      <c r="U118" s="42">
        <f t="shared" si="80"/>
        <v>7.6736516841836107</v>
      </c>
      <c r="V118" s="42">
        <f t="shared" si="80"/>
        <v>13.183123441062605</v>
      </c>
      <c r="W118" s="42">
        <f t="shared" si="80"/>
        <v>17.892910506532601</v>
      </c>
      <c r="X118" s="42">
        <f t="shared" si="80"/>
        <v>15.803250697583636</v>
      </c>
      <c r="Y118" s="42">
        <f t="shared" si="80"/>
        <v>10.252729248135935</v>
      </c>
      <c r="Z118" s="42">
        <f t="shared" si="80"/>
        <v>8.1008378579425653</v>
      </c>
      <c r="AA118" s="42">
        <f t="shared" si="80"/>
        <v>5.0579212531802824</v>
      </c>
      <c r="AB118" s="42">
        <f t="shared" si="80"/>
        <v>2.855456874050958</v>
      </c>
      <c r="AC118" s="42">
        <f t="shared" si="80"/>
        <v>0</v>
      </c>
      <c r="AD118" s="42">
        <f t="shared" si="80"/>
        <v>0</v>
      </c>
      <c r="AE118" s="42">
        <f t="shared" si="80"/>
        <v>0</v>
      </c>
      <c r="AF118" s="42">
        <f t="shared" si="80"/>
        <v>7.1482910649522751</v>
      </c>
      <c r="AG118" s="42">
        <f t="shared" si="80"/>
        <v>12.934070785234624</v>
      </c>
      <c r="AH118" s="42">
        <f t="shared" si="80"/>
        <v>18.774110847526373</v>
      </c>
      <c r="AI118" s="42">
        <f t="shared" si="80"/>
        <v>23.766485136924558</v>
      </c>
      <c r="AJ118" s="42">
        <f t="shared" si="80"/>
        <v>21.551445739438648</v>
      </c>
      <c r="AK118" s="42">
        <f t="shared" si="80"/>
        <v>15.667893003024119</v>
      </c>
      <c r="AL118" s="42">
        <f t="shared" ref="AL118:BQ118" si="81">AL24-AL117</f>
        <v>13.386888129419134</v>
      </c>
      <c r="AM118" s="42">
        <f t="shared" si="81"/>
        <v>10.1613965283711</v>
      </c>
      <c r="AN118" s="42">
        <f t="shared" si="81"/>
        <v>7.8267842864940178</v>
      </c>
      <c r="AO118" s="42">
        <f t="shared" si="81"/>
        <v>1.7513382400000239</v>
      </c>
      <c r="AP118" s="42">
        <f t="shared" si="81"/>
        <v>0</v>
      </c>
      <c r="AQ118" s="42">
        <f t="shared" si="81"/>
        <v>2.549132723757694</v>
      </c>
      <c r="AR118" s="42">
        <f t="shared" si="81"/>
        <v>12.377188528849416</v>
      </c>
      <c r="AS118" s="42">
        <f t="shared" si="81"/>
        <v>18.510115032348708</v>
      </c>
      <c r="AT118" s="42">
        <f t="shared" si="81"/>
        <v>24.700557498377947</v>
      </c>
      <c r="AU118" s="42">
        <f t="shared" si="81"/>
        <v>29.992474245140031</v>
      </c>
      <c r="AV118" s="42">
        <f t="shared" si="81"/>
        <v>27.644532483804994</v>
      </c>
      <c r="AW118" s="42">
        <f t="shared" si="81"/>
        <v>21.407966583205564</v>
      </c>
      <c r="AX118" s="42">
        <f t="shared" si="81"/>
        <v>18.990101417184292</v>
      </c>
      <c r="AY118" s="42">
        <f t="shared" si="81"/>
        <v>15.571080320073378</v>
      </c>
      <c r="AZ118" s="42">
        <f t="shared" si="81"/>
        <v>13.096391343683663</v>
      </c>
      <c r="BA118" s="42">
        <f t="shared" si="81"/>
        <v>6.6564185344000322</v>
      </c>
      <c r="BB118" s="42">
        <f t="shared" si="81"/>
        <v>4.1096472481972484</v>
      </c>
      <c r="BC118" s="42">
        <f t="shared" si="81"/>
        <v>7.5020806871831809</v>
      </c>
      <c r="BD118" s="42">
        <f t="shared" si="81"/>
        <v>17.919819840580402</v>
      </c>
      <c r="BE118" s="42">
        <f t="shared" si="81"/>
        <v>24.420721934289645</v>
      </c>
      <c r="BF118" s="42">
        <f t="shared" si="81"/>
        <v>30.982590948280631</v>
      </c>
      <c r="BG118" s="42">
        <f t="shared" si="81"/>
        <v>36.592022699848442</v>
      </c>
      <c r="BH118" s="42">
        <f t="shared" si="81"/>
        <v>34.10320443283328</v>
      </c>
      <c r="BI118" s="42">
        <f t="shared" si="81"/>
        <v>27.492444578197919</v>
      </c>
      <c r="BJ118" s="42">
        <f t="shared" si="81"/>
        <v>24.929507502215344</v>
      </c>
      <c r="BK118" s="42">
        <f t="shared" si="81"/>
        <v>21.305345139277776</v>
      </c>
      <c r="BL118" s="42">
        <f t="shared" si="81"/>
        <v>18.68217482430471</v>
      </c>
      <c r="BM118" s="42">
        <f t="shared" si="81"/>
        <v>11.85580364646404</v>
      </c>
    </row>
    <row r="119" spans="2:65" x14ac:dyDescent="0.45">
      <c r="B119" s="25" t="s">
        <v>234</v>
      </c>
      <c r="C119" s="26" t="s">
        <v>201</v>
      </c>
      <c r="D119" s="58">
        <f>SUM(F119:BM119)</f>
        <v>338.46709481286842</v>
      </c>
      <c r="E119" s="28"/>
      <c r="F119" s="42">
        <f t="shared" ref="F119:AK119" si="82">MIN(F118,OTMax*F116)</f>
        <v>0</v>
      </c>
      <c r="G119" s="42">
        <f t="shared" si="82"/>
        <v>0</v>
      </c>
      <c r="H119" s="42">
        <f t="shared" si="82"/>
        <v>0</v>
      </c>
      <c r="I119" s="42">
        <f t="shared" si="82"/>
        <v>2.7109921548901781</v>
      </c>
      <c r="J119" s="42">
        <f t="shared" si="82"/>
        <v>7.9086070198703879</v>
      </c>
      <c r="K119" s="42">
        <f t="shared" si="82"/>
        <v>8</v>
      </c>
      <c r="L119" s="42">
        <f t="shared" si="82"/>
        <v>8</v>
      </c>
      <c r="M119" s="42">
        <f t="shared" si="82"/>
        <v>5.1440841963546688</v>
      </c>
      <c r="N119" s="42">
        <f t="shared" si="82"/>
        <v>3.1139979791911117</v>
      </c>
      <c r="O119" s="42">
        <f t="shared" si="82"/>
        <v>0.24332193696251636</v>
      </c>
      <c r="P119" s="42">
        <f t="shared" si="82"/>
        <v>0</v>
      </c>
      <c r="Q119" s="42">
        <f t="shared" si="82"/>
        <v>0</v>
      </c>
      <c r="R119" s="42">
        <f t="shared" si="82"/>
        <v>0</v>
      </c>
      <c r="S119" s="42">
        <f t="shared" si="82"/>
        <v>0</v>
      </c>
      <c r="T119" s="42">
        <f t="shared" si="82"/>
        <v>2.2153689292002525</v>
      </c>
      <c r="U119" s="42">
        <f t="shared" si="82"/>
        <v>7.6736516841836107</v>
      </c>
      <c r="V119" s="42">
        <f t="shared" si="82"/>
        <v>8</v>
      </c>
      <c r="W119" s="42">
        <f t="shared" si="82"/>
        <v>8</v>
      </c>
      <c r="X119" s="42">
        <f t="shared" si="82"/>
        <v>8</v>
      </c>
      <c r="Y119" s="42">
        <f t="shared" si="82"/>
        <v>8</v>
      </c>
      <c r="Z119" s="42">
        <f t="shared" si="82"/>
        <v>8</v>
      </c>
      <c r="AA119" s="42">
        <f t="shared" si="82"/>
        <v>5.0579212531802824</v>
      </c>
      <c r="AB119" s="42">
        <f t="shared" si="82"/>
        <v>2.855456874050958</v>
      </c>
      <c r="AC119" s="42">
        <f t="shared" si="82"/>
        <v>0</v>
      </c>
      <c r="AD119" s="42">
        <f t="shared" si="82"/>
        <v>0</v>
      </c>
      <c r="AE119" s="42">
        <f t="shared" si="82"/>
        <v>0</v>
      </c>
      <c r="AF119" s="42">
        <f t="shared" si="82"/>
        <v>7.1482910649522751</v>
      </c>
      <c r="AG119" s="42">
        <f t="shared" si="82"/>
        <v>8</v>
      </c>
      <c r="AH119" s="42">
        <f t="shared" si="82"/>
        <v>8</v>
      </c>
      <c r="AI119" s="42">
        <f t="shared" si="82"/>
        <v>8</v>
      </c>
      <c r="AJ119" s="42">
        <f t="shared" si="82"/>
        <v>8</v>
      </c>
      <c r="AK119" s="42">
        <f t="shared" si="82"/>
        <v>8</v>
      </c>
      <c r="AL119" s="42">
        <f t="shared" ref="AL119:BQ119" si="83">MIN(AL118,OTMax*AL116)</f>
        <v>8</v>
      </c>
      <c r="AM119" s="42">
        <f t="shared" si="83"/>
        <v>8</v>
      </c>
      <c r="AN119" s="42">
        <f t="shared" si="83"/>
        <v>7.8267842864940178</v>
      </c>
      <c r="AO119" s="42">
        <f t="shared" si="83"/>
        <v>1.7513382400000239</v>
      </c>
      <c r="AP119" s="42">
        <f t="shared" si="83"/>
        <v>0</v>
      </c>
      <c r="AQ119" s="42">
        <f t="shared" si="83"/>
        <v>2.549132723757694</v>
      </c>
      <c r="AR119" s="42">
        <f t="shared" si="83"/>
        <v>8</v>
      </c>
      <c r="AS119" s="42">
        <f t="shared" si="83"/>
        <v>8</v>
      </c>
      <c r="AT119" s="42">
        <f t="shared" si="83"/>
        <v>8</v>
      </c>
      <c r="AU119" s="42">
        <f t="shared" si="83"/>
        <v>8</v>
      </c>
      <c r="AV119" s="42">
        <f t="shared" si="83"/>
        <v>8</v>
      </c>
      <c r="AW119" s="42">
        <f t="shared" si="83"/>
        <v>8</v>
      </c>
      <c r="AX119" s="42">
        <f t="shared" si="83"/>
        <v>8</v>
      </c>
      <c r="AY119" s="42">
        <f t="shared" si="83"/>
        <v>8</v>
      </c>
      <c r="AZ119" s="42">
        <f t="shared" si="83"/>
        <v>8</v>
      </c>
      <c r="BA119" s="42">
        <f t="shared" si="83"/>
        <v>6.6564185344000322</v>
      </c>
      <c r="BB119" s="42">
        <f t="shared" si="83"/>
        <v>4.1096472481972484</v>
      </c>
      <c r="BC119" s="42">
        <f t="shared" si="83"/>
        <v>7.5020806871831809</v>
      </c>
      <c r="BD119" s="42">
        <f t="shared" si="83"/>
        <v>8</v>
      </c>
      <c r="BE119" s="42">
        <f t="shared" si="83"/>
        <v>8</v>
      </c>
      <c r="BF119" s="42">
        <f t="shared" si="83"/>
        <v>8</v>
      </c>
      <c r="BG119" s="42">
        <f t="shared" si="83"/>
        <v>8</v>
      </c>
      <c r="BH119" s="42">
        <f t="shared" si="83"/>
        <v>8</v>
      </c>
      <c r="BI119" s="42">
        <f t="shared" si="83"/>
        <v>8</v>
      </c>
      <c r="BJ119" s="42">
        <f t="shared" si="83"/>
        <v>8</v>
      </c>
      <c r="BK119" s="42">
        <f t="shared" si="83"/>
        <v>8</v>
      </c>
      <c r="BL119" s="42">
        <f t="shared" si="83"/>
        <v>8</v>
      </c>
      <c r="BM119" s="42">
        <f t="shared" si="83"/>
        <v>8</v>
      </c>
    </row>
    <row r="120" spans="2:65" x14ac:dyDescent="0.45">
      <c r="B120" s="25" t="s">
        <v>235</v>
      </c>
      <c r="C120" s="26" t="s">
        <v>201</v>
      </c>
      <c r="D120" s="58">
        <f>SUM(F120:BM120)</f>
        <v>252.93561142801028</v>
      </c>
      <c r="E120" s="28"/>
      <c r="F120" s="42">
        <f t="shared" ref="F120:AK120" si="84">MIN(F118-F119,SubMax)</f>
        <v>0</v>
      </c>
      <c r="G120" s="42">
        <f t="shared" si="84"/>
        <v>0</v>
      </c>
      <c r="H120" s="42">
        <f t="shared" si="84"/>
        <v>0</v>
      </c>
      <c r="I120" s="42">
        <f t="shared" si="84"/>
        <v>0</v>
      </c>
      <c r="J120" s="42">
        <f t="shared" si="84"/>
        <v>0</v>
      </c>
      <c r="K120" s="42">
        <f t="shared" si="84"/>
        <v>4.3518023646533806</v>
      </c>
      <c r="L120" s="42">
        <f t="shared" si="84"/>
        <v>2.3804251863996484</v>
      </c>
      <c r="M120" s="42">
        <f t="shared" si="84"/>
        <v>0</v>
      </c>
      <c r="N120" s="42">
        <f t="shared" si="84"/>
        <v>0</v>
      </c>
      <c r="O120" s="42">
        <f t="shared" si="84"/>
        <v>0</v>
      </c>
      <c r="P120" s="42">
        <f t="shared" si="84"/>
        <v>0</v>
      </c>
      <c r="Q120" s="42">
        <f t="shared" si="84"/>
        <v>0</v>
      </c>
      <c r="R120" s="42">
        <f t="shared" si="84"/>
        <v>0</v>
      </c>
      <c r="S120" s="42">
        <f t="shared" si="84"/>
        <v>0</v>
      </c>
      <c r="T120" s="42">
        <f t="shared" si="84"/>
        <v>0</v>
      </c>
      <c r="U120" s="42">
        <f t="shared" si="84"/>
        <v>0</v>
      </c>
      <c r="V120" s="42">
        <f t="shared" si="84"/>
        <v>5.1831234410626053</v>
      </c>
      <c r="W120" s="42">
        <f t="shared" si="84"/>
        <v>9.8929105065326013</v>
      </c>
      <c r="X120" s="42">
        <f t="shared" si="84"/>
        <v>7.8032506975836355</v>
      </c>
      <c r="Y120" s="42">
        <f t="shared" si="84"/>
        <v>2.2527292481359353</v>
      </c>
      <c r="Z120" s="42">
        <f t="shared" si="84"/>
        <v>0.10083785794256528</v>
      </c>
      <c r="AA120" s="42">
        <f t="shared" si="84"/>
        <v>0</v>
      </c>
      <c r="AB120" s="42">
        <f t="shared" si="84"/>
        <v>0</v>
      </c>
      <c r="AC120" s="42">
        <f t="shared" si="84"/>
        <v>0</v>
      </c>
      <c r="AD120" s="42">
        <f t="shared" si="84"/>
        <v>0</v>
      </c>
      <c r="AE120" s="42">
        <f t="shared" si="84"/>
        <v>0</v>
      </c>
      <c r="AF120" s="42">
        <f t="shared" si="84"/>
        <v>0</v>
      </c>
      <c r="AG120" s="42">
        <f t="shared" si="84"/>
        <v>4.9340707852346242</v>
      </c>
      <c r="AH120" s="42">
        <f t="shared" si="84"/>
        <v>10</v>
      </c>
      <c r="AI120" s="42">
        <f t="shared" si="84"/>
        <v>10</v>
      </c>
      <c r="AJ120" s="42">
        <f t="shared" si="84"/>
        <v>10</v>
      </c>
      <c r="AK120" s="42">
        <f t="shared" si="84"/>
        <v>7.667893003024119</v>
      </c>
      <c r="AL120" s="42">
        <f t="shared" ref="AL120:BQ120" si="85">MIN(AL118-AL119,SubMax)</f>
        <v>5.386888129419134</v>
      </c>
      <c r="AM120" s="42">
        <f t="shared" si="85"/>
        <v>2.1613965283710996</v>
      </c>
      <c r="AN120" s="42">
        <f t="shared" si="85"/>
        <v>0</v>
      </c>
      <c r="AO120" s="42">
        <f t="shared" si="85"/>
        <v>0</v>
      </c>
      <c r="AP120" s="42">
        <f t="shared" si="85"/>
        <v>0</v>
      </c>
      <c r="AQ120" s="42">
        <f t="shared" si="85"/>
        <v>0</v>
      </c>
      <c r="AR120" s="42">
        <f t="shared" si="85"/>
        <v>4.3771885288494161</v>
      </c>
      <c r="AS120" s="42">
        <f t="shared" si="85"/>
        <v>10</v>
      </c>
      <c r="AT120" s="42">
        <f t="shared" si="85"/>
        <v>10</v>
      </c>
      <c r="AU120" s="42">
        <f t="shared" si="85"/>
        <v>10</v>
      </c>
      <c r="AV120" s="42">
        <f t="shared" si="85"/>
        <v>10</v>
      </c>
      <c r="AW120" s="42">
        <f t="shared" si="85"/>
        <v>10</v>
      </c>
      <c r="AX120" s="42">
        <f t="shared" si="85"/>
        <v>10</v>
      </c>
      <c r="AY120" s="42">
        <f t="shared" si="85"/>
        <v>7.5710803200733778</v>
      </c>
      <c r="AZ120" s="42">
        <f t="shared" si="85"/>
        <v>5.0963913436836634</v>
      </c>
      <c r="BA120" s="42">
        <f t="shared" si="85"/>
        <v>0</v>
      </c>
      <c r="BB120" s="42">
        <f t="shared" si="85"/>
        <v>0</v>
      </c>
      <c r="BC120" s="42">
        <f t="shared" si="85"/>
        <v>0</v>
      </c>
      <c r="BD120" s="42">
        <f t="shared" si="85"/>
        <v>9.9198198405804021</v>
      </c>
      <c r="BE120" s="42">
        <f t="shared" si="85"/>
        <v>10</v>
      </c>
      <c r="BF120" s="42">
        <f t="shared" si="85"/>
        <v>10</v>
      </c>
      <c r="BG120" s="42">
        <f t="shared" si="85"/>
        <v>10</v>
      </c>
      <c r="BH120" s="42">
        <f t="shared" si="85"/>
        <v>10</v>
      </c>
      <c r="BI120" s="42">
        <f t="shared" si="85"/>
        <v>10</v>
      </c>
      <c r="BJ120" s="42">
        <f t="shared" si="85"/>
        <v>10</v>
      </c>
      <c r="BK120" s="42">
        <f t="shared" si="85"/>
        <v>10</v>
      </c>
      <c r="BL120" s="42">
        <f t="shared" si="85"/>
        <v>10</v>
      </c>
      <c r="BM120" s="42">
        <f t="shared" si="85"/>
        <v>3.8558036464640395</v>
      </c>
    </row>
    <row r="121" spans="2:65" x14ac:dyDescent="0.45">
      <c r="B121" s="25" t="s">
        <v>236</v>
      </c>
      <c r="C121" s="26" t="s">
        <v>201</v>
      </c>
      <c r="D121" s="58">
        <f>SUM(F121:BM121)</f>
        <v>117.84580104319886</v>
      </c>
      <c r="E121" s="28"/>
      <c r="F121" s="42">
        <f t="shared" ref="F121:AK121" si="86">F118-F119-F120</f>
        <v>0</v>
      </c>
      <c r="G121" s="42">
        <f t="shared" si="86"/>
        <v>0</v>
      </c>
      <c r="H121" s="42">
        <f t="shared" si="86"/>
        <v>0</v>
      </c>
      <c r="I121" s="42">
        <f t="shared" si="86"/>
        <v>0</v>
      </c>
      <c r="J121" s="42">
        <f t="shared" si="86"/>
        <v>0</v>
      </c>
      <c r="K121" s="42">
        <f t="shared" si="86"/>
        <v>0</v>
      </c>
      <c r="L121" s="42">
        <f t="shared" si="86"/>
        <v>0</v>
      </c>
      <c r="M121" s="42">
        <f t="shared" si="86"/>
        <v>0</v>
      </c>
      <c r="N121" s="42">
        <f t="shared" si="86"/>
        <v>0</v>
      </c>
      <c r="O121" s="42">
        <f t="shared" si="86"/>
        <v>0</v>
      </c>
      <c r="P121" s="42">
        <f t="shared" si="86"/>
        <v>0</v>
      </c>
      <c r="Q121" s="42">
        <f t="shared" si="86"/>
        <v>0</v>
      </c>
      <c r="R121" s="42">
        <f t="shared" si="86"/>
        <v>0</v>
      </c>
      <c r="S121" s="42">
        <f t="shared" si="86"/>
        <v>0</v>
      </c>
      <c r="T121" s="42">
        <f t="shared" si="86"/>
        <v>0</v>
      </c>
      <c r="U121" s="42">
        <f t="shared" si="86"/>
        <v>0</v>
      </c>
      <c r="V121" s="42">
        <f t="shared" si="86"/>
        <v>0</v>
      </c>
      <c r="W121" s="42">
        <f t="shared" si="86"/>
        <v>0</v>
      </c>
      <c r="X121" s="42">
        <f t="shared" si="86"/>
        <v>0</v>
      </c>
      <c r="Y121" s="42">
        <f t="shared" si="86"/>
        <v>0</v>
      </c>
      <c r="Z121" s="42">
        <f t="shared" si="86"/>
        <v>0</v>
      </c>
      <c r="AA121" s="42">
        <f t="shared" si="86"/>
        <v>0</v>
      </c>
      <c r="AB121" s="42">
        <f t="shared" si="86"/>
        <v>0</v>
      </c>
      <c r="AC121" s="42">
        <f t="shared" si="86"/>
        <v>0</v>
      </c>
      <c r="AD121" s="42">
        <f t="shared" si="86"/>
        <v>0</v>
      </c>
      <c r="AE121" s="42">
        <f t="shared" si="86"/>
        <v>0</v>
      </c>
      <c r="AF121" s="42">
        <f t="shared" si="86"/>
        <v>0</v>
      </c>
      <c r="AG121" s="42">
        <f t="shared" si="86"/>
        <v>0</v>
      </c>
      <c r="AH121" s="42">
        <f t="shared" si="86"/>
        <v>0.77411084752637294</v>
      </c>
      <c r="AI121" s="42">
        <f t="shared" si="86"/>
        <v>5.7664851369245582</v>
      </c>
      <c r="AJ121" s="42">
        <f t="shared" si="86"/>
        <v>3.5514457394386483</v>
      </c>
      <c r="AK121" s="42">
        <f t="shared" si="86"/>
        <v>0</v>
      </c>
      <c r="AL121" s="42">
        <f t="shared" ref="AL121:BQ121" si="87">AL118-AL119-AL120</f>
        <v>0</v>
      </c>
      <c r="AM121" s="42">
        <f t="shared" si="87"/>
        <v>0</v>
      </c>
      <c r="AN121" s="42">
        <f t="shared" si="87"/>
        <v>0</v>
      </c>
      <c r="AO121" s="42">
        <f t="shared" si="87"/>
        <v>0</v>
      </c>
      <c r="AP121" s="42">
        <f t="shared" si="87"/>
        <v>0</v>
      </c>
      <c r="AQ121" s="42">
        <f t="shared" si="87"/>
        <v>0</v>
      </c>
      <c r="AR121" s="42">
        <f t="shared" si="87"/>
        <v>0</v>
      </c>
      <c r="AS121" s="42">
        <f t="shared" si="87"/>
        <v>0.51011503234870759</v>
      </c>
      <c r="AT121" s="42">
        <f t="shared" si="87"/>
        <v>6.7005574983779468</v>
      </c>
      <c r="AU121" s="42">
        <f t="shared" si="87"/>
        <v>11.992474245140031</v>
      </c>
      <c r="AV121" s="42">
        <f t="shared" si="87"/>
        <v>9.6445324838049942</v>
      </c>
      <c r="AW121" s="42">
        <f t="shared" si="87"/>
        <v>3.4079665832055639</v>
      </c>
      <c r="AX121" s="42">
        <f t="shared" si="87"/>
        <v>0.99010141718429168</v>
      </c>
      <c r="AY121" s="42">
        <f t="shared" si="87"/>
        <v>0</v>
      </c>
      <c r="AZ121" s="42">
        <f t="shared" si="87"/>
        <v>0</v>
      </c>
      <c r="BA121" s="42">
        <f t="shared" si="87"/>
        <v>0</v>
      </c>
      <c r="BB121" s="42">
        <f t="shared" si="87"/>
        <v>0</v>
      </c>
      <c r="BC121" s="42">
        <f t="shared" si="87"/>
        <v>0</v>
      </c>
      <c r="BD121" s="42">
        <f t="shared" si="87"/>
        <v>0</v>
      </c>
      <c r="BE121" s="42">
        <f t="shared" si="87"/>
        <v>6.4207219342896451</v>
      </c>
      <c r="BF121" s="42">
        <f t="shared" si="87"/>
        <v>12.982590948280631</v>
      </c>
      <c r="BG121" s="42">
        <f t="shared" si="87"/>
        <v>18.592022699848442</v>
      </c>
      <c r="BH121" s="42">
        <f t="shared" si="87"/>
        <v>16.10320443283328</v>
      </c>
      <c r="BI121" s="42">
        <f t="shared" si="87"/>
        <v>9.4924445781979188</v>
      </c>
      <c r="BJ121" s="42">
        <f t="shared" si="87"/>
        <v>6.9295075022153441</v>
      </c>
      <c r="BK121" s="42">
        <f t="shared" si="87"/>
        <v>3.305345139277776</v>
      </c>
      <c r="BL121" s="42">
        <f t="shared" si="87"/>
        <v>0.68217482430470966</v>
      </c>
      <c r="BM121" s="42">
        <f t="shared" si="87"/>
        <v>0</v>
      </c>
    </row>
    <row r="122" spans="2:65" x14ac:dyDescent="0.45">
      <c r="B122" s="25" t="s">
        <v>237</v>
      </c>
      <c r="C122" s="26" t="s">
        <v>170</v>
      </c>
      <c r="D122" s="42">
        <f>New_0*NetCapex</f>
        <v>0</v>
      </c>
      <c r="E122" s="28"/>
      <c r="F122" s="26" t="s">
        <v>238</v>
      </c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</row>
    <row r="123" spans="2:65" x14ac:dyDescent="0.45">
      <c r="B123" s="25" t="s">
        <v>239</v>
      </c>
      <c r="C123" s="26" t="s">
        <v>170</v>
      </c>
      <c r="D123" s="42">
        <f>PressFixed*SUMPRODUCT(F114:BM114,F26:BM26)</f>
        <v>0</v>
      </c>
      <c r="E123" s="28"/>
      <c r="F123" s="26" t="s">
        <v>240</v>
      </c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</row>
    <row r="124" spans="2:65" x14ac:dyDescent="0.45">
      <c r="B124" s="25" t="s">
        <v>241</v>
      </c>
      <c r="C124" s="26" t="s">
        <v>170</v>
      </c>
      <c r="D124" s="42">
        <f>OTCost*SUMPRODUCT(F119:BM119,F26:BM26)</f>
        <v>81.153376131902419</v>
      </c>
      <c r="E124" s="28"/>
      <c r="F124" s="26" t="s">
        <v>242</v>
      </c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</row>
    <row r="125" spans="2:65" x14ac:dyDescent="0.45">
      <c r="B125" s="25" t="s">
        <v>243</v>
      </c>
      <c r="C125" s="26" t="s">
        <v>170</v>
      </c>
      <c r="D125" s="42">
        <f>SubCost*SUMPRODUCT(F120:BM120,F26:BM26)</f>
        <v>155.55619770292921</v>
      </c>
      <c r="E125" s="28"/>
      <c r="F125" s="26" t="s">
        <v>244</v>
      </c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</row>
    <row r="126" spans="2:65" x14ac:dyDescent="0.45">
      <c r="B126" s="25" t="s">
        <v>245</v>
      </c>
      <c r="C126" s="26" t="s">
        <v>170</v>
      </c>
      <c r="D126" s="42">
        <f>LostCost*SUMPRODUCT(F121:BM121,F26:BM26)</f>
        <v>189.50653670205796</v>
      </c>
      <c r="E126" s="28"/>
      <c r="F126" s="26" t="s">
        <v>246</v>
      </c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</row>
    <row r="127" spans="2:65" x14ac:dyDescent="0.45">
      <c r="B127" s="59" t="s">
        <v>63</v>
      </c>
      <c r="C127" s="26" t="s">
        <v>170</v>
      </c>
      <c r="D127" s="58">
        <f>SUM(D122:D126)</f>
        <v>426.21611053688957</v>
      </c>
      <c r="E127" s="28"/>
      <c r="F127" s="26" t="s">
        <v>247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</row>
    <row r="128" spans="2:65" ht="8" customHeight="1" x14ac:dyDescent="0.45"/>
    <row r="129" spans="2:65" x14ac:dyDescent="0.45">
      <c r="B129" s="60" t="s">
        <v>257</v>
      </c>
    </row>
    <row r="130" spans="2:65" x14ac:dyDescent="0.45">
      <c r="B130" s="25" t="s">
        <v>229</v>
      </c>
      <c r="C130" s="26" t="s">
        <v>143</v>
      </c>
      <c r="D130" s="28"/>
      <c r="E130" s="28"/>
      <c r="F130" s="52">
        <f t="shared" ref="F130:AK130" si="88">IF(F$6&gt;LeadPlan,New_1,0)</f>
        <v>0</v>
      </c>
      <c r="G130" s="52">
        <f t="shared" si="88"/>
        <v>0</v>
      </c>
      <c r="H130" s="52">
        <f t="shared" si="88"/>
        <v>0</v>
      </c>
      <c r="I130" s="52">
        <f t="shared" si="88"/>
        <v>0</v>
      </c>
      <c r="J130" s="52">
        <f t="shared" si="88"/>
        <v>0</v>
      </c>
      <c r="K130" s="52">
        <f t="shared" si="88"/>
        <v>0</v>
      </c>
      <c r="L130" s="52">
        <f t="shared" si="88"/>
        <v>1</v>
      </c>
      <c r="M130" s="52">
        <f t="shared" si="88"/>
        <v>1</v>
      </c>
      <c r="N130" s="52">
        <f t="shared" si="88"/>
        <v>1</v>
      </c>
      <c r="O130" s="52">
        <f t="shared" si="88"/>
        <v>1</v>
      </c>
      <c r="P130" s="52">
        <f t="shared" si="88"/>
        <v>1</v>
      </c>
      <c r="Q130" s="52">
        <f t="shared" si="88"/>
        <v>1</v>
      </c>
      <c r="R130" s="52">
        <f t="shared" si="88"/>
        <v>1</v>
      </c>
      <c r="S130" s="52">
        <f t="shared" si="88"/>
        <v>1</v>
      </c>
      <c r="T130" s="52">
        <f t="shared" si="88"/>
        <v>1</v>
      </c>
      <c r="U130" s="52">
        <f t="shared" si="88"/>
        <v>1</v>
      </c>
      <c r="V130" s="52">
        <f t="shared" si="88"/>
        <v>1</v>
      </c>
      <c r="W130" s="52">
        <f t="shared" si="88"/>
        <v>1</v>
      </c>
      <c r="X130" s="52">
        <f t="shared" si="88"/>
        <v>1</v>
      </c>
      <c r="Y130" s="52">
        <f t="shared" si="88"/>
        <v>1</v>
      </c>
      <c r="Z130" s="52">
        <f t="shared" si="88"/>
        <v>1</v>
      </c>
      <c r="AA130" s="52">
        <f t="shared" si="88"/>
        <v>1</v>
      </c>
      <c r="AB130" s="52">
        <f t="shared" si="88"/>
        <v>1</v>
      </c>
      <c r="AC130" s="52">
        <f t="shared" si="88"/>
        <v>1</v>
      </c>
      <c r="AD130" s="52">
        <f t="shared" si="88"/>
        <v>1</v>
      </c>
      <c r="AE130" s="52">
        <f t="shared" si="88"/>
        <v>1</v>
      </c>
      <c r="AF130" s="52">
        <f t="shared" si="88"/>
        <v>1</v>
      </c>
      <c r="AG130" s="52">
        <f t="shared" si="88"/>
        <v>1</v>
      </c>
      <c r="AH130" s="52">
        <f t="shared" si="88"/>
        <v>1</v>
      </c>
      <c r="AI130" s="52">
        <f t="shared" si="88"/>
        <v>1</v>
      </c>
      <c r="AJ130" s="52">
        <f t="shared" si="88"/>
        <v>1</v>
      </c>
      <c r="AK130" s="52">
        <f t="shared" si="88"/>
        <v>1</v>
      </c>
      <c r="AL130" s="52">
        <f t="shared" ref="AL130:BM130" si="89">IF(AL$6&gt;LeadPlan,New_1,0)</f>
        <v>1</v>
      </c>
      <c r="AM130" s="52">
        <f t="shared" si="89"/>
        <v>1</v>
      </c>
      <c r="AN130" s="52">
        <f t="shared" si="89"/>
        <v>1</v>
      </c>
      <c r="AO130" s="52">
        <f t="shared" si="89"/>
        <v>1</v>
      </c>
      <c r="AP130" s="52">
        <f t="shared" si="89"/>
        <v>1</v>
      </c>
      <c r="AQ130" s="52">
        <f t="shared" si="89"/>
        <v>1</v>
      </c>
      <c r="AR130" s="52">
        <f t="shared" si="89"/>
        <v>1</v>
      </c>
      <c r="AS130" s="52">
        <f t="shared" si="89"/>
        <v>1</v>
      </c>
      <c r="AT130" s="52">
        <f t="shared" si="89"/>
        <v>1</v>
      </c>
      <c r="AU130" s="52">
        <f t="shared" si="89"/>
        <v>1</v>
      </c>
      <c r="AV130" s="52">
        <f t="shared" si="89"/>
        <v>1</v>
      </c>
      <c r="AW130" s="52">
        <f t="shared" si="89"/>
        <v>1</v>
      </c>
      <c r="AX130" s="52">
        <f t="shared" si="89"/>
        <v>1</v>
      </c>
      <c r="AY130" s="52">
        <f t="shared" si="89"/>
        <v>1</v>
      </c>
      <c r="AZ130" s="52">
        <f t="shared" si="89"/>
        <v>1</v>
      </c>
      <c r="BA130" s="52">
        <f t="shared" si="89"/>
        <v>1</v>
      </c>
      <c r="BB130" s="52">
        <f t="shared" si="89"/>
        <v>1</v>
      </c>
      <c r="BC130" s="52">
        <f t="shared" si="89"/>
        <v>1</v>
      </c>
      <c r="BD130" s="52">
        <f t="shared" si="89"/>
        <v>1</v>
      </c>
      <c r="BE130" s="52">
        <f t="shared" si="89"/>
        <v>1</v>
      </c>
      <c r="BF130" s="52">
        <f t="shared" si="89"/>
        <v>1</v>
      </c>
      <c r="BG130" s="52">
        <f t="shared" si="89"/>
        <v>1</v>
      </c>
      <c r="BH130" s="52">
        <f t="shared" si="89"/>
        <v>1</v>
      </c>
      <c r="BI130" s="52">
        <f t="shared" si="89"/>
        <v>1</v>
      </c>
      <c r="BJ130" s="52">
        <f t="shared" si="89"/>
        <v>1</v>
      </c>
      <c r="BK130" s="52">
        <f t="shared" si="89"/>
        <v>1</v>
      </c>
      <c r="BL130" s="52">
        <f t="shared" si="89"/>
        <v>1</v>
      </c>
      <c r="BM130" s="52">
        <f t="shared" si="89"/>
        <v>1</v>
      </c>
    </row>
    <row r="131" spans="2:65" x14ac:dyDescent="0.45">
      <c r="B131" s="25" t="s">
        <v>230</v>
      </c>
      <c r="C131" s="26" t="s">
        <v>143</v>
      </c>
      <c r="D131" s="28"/>
      <c r="E131" s="28"/>
      <c r="F131" s="52">
        <f t="shared" ref="F131:AK131" si="90">Presses+F130</f>
        <v>4</v>
      </c>
      <c r="G131" s="52">
        <f t="shared" si="90"/>
        <v>4</v>
      </c>
      <c r="H131" s="52">
        <f t="shared" si="90"/>
        <v>4</v>
      </c>
      <c r="I131" s="52">
        <f t="shared" si="90"/>
        <v>4</v>
      </c>
      <c r="J131" s="52">
        <f t="shared" si="90"/>
        <v>4</v>
      </c>
      <c r="K131" s="52">
        <f t="shared" si="90"/>
        <v>4</v>
      </c>
      <c r="L131" s="52">
        <f t="shared" si="90"/>
        <v>5</v>
      </c>
      <c r="M131" s="52">
        <f t="shared" si="90"/>
        <v>5</v>
      </c>
      <c r="N131" s="52">
        <f t="shared" si="90"/>
        <v>5</v>
      </c>
      <c r="O131" s="52">
        <f t="shared" si="90"/>
        <v>5</v>
      </c>
      <c r="P131" s="52">
        <f t="shared" si="90"/>
        <v>5</v>
      </c>
      <c r="Q131" s="52">
        <f t="shared" si="90"/>
        <v>5</v>
      </c>
      <c r="R131" s="52">
        <f t="shared" si="90"/>
        <v>5</v>
      </c>
      <c r="S131" s="52">
        <f t="shared" si="90"/>
        <v>5</v>
      </c>
      <c r="T131" s="52">
        <f t="shared" si="90"/>
        <v>5</v>
      </c>
      <c r="U131" s="52">
        <f t="shared" si="90"/>
        <v>5</v>
      </c>
      <c r="V131" s="52">
        <f t="shared" si="90"/>
        <v>5</v>
      </c>
      <c r="W131" s="52">
        <f t="shared" si="90"/>
        <v>5</v>
      </c>
      <c r="X131" s="52">
        <f t="shared" si="90"/>
        <v>5</v>
      </c>
      <c r="Y131" s="52">
        <f t="shared" si="90"/>
        <v>5</v>
      </c>
      <c r="Z131" s="52">
        <f t="shared" si="90"/>
        <v>5</v>
      </c>
      <c r="AA131" s="52">
        <f t="shared" si="90"/>
        <v>5</v>
      </c>
      <c r="AB131" s="52">
        <f t="shared" si="90"/>
        <v>5</v>
      </c>
      <c r="AC131" s="52">
        <f t="shared" si="90"/>
        <v>5</v>
      </c>
      <c r="AD131" s="52">
        <f t="shared" si="90"/>
        <v>5</v>
      </c>
      <c r="AE131" s="52">
        <f t="shared" si="90"/>
        <v>5</v>
      </c>
      <c r="AF131" s="52">
        <f t="shared" si="90"/>
        <v>5</v>
      </c>
      <c r="AG131" s="52">
        <f t="shared" si="90"/>
        <v>5</v>
      </c>
      <c r="AH131" s="52">
        <f t="shared" si="90"/>
        <v>5</v>
      </c>
      <c r="AI131" s="52">
        <f t="shared" si="90"/>
        <v>5</v>
      </c>
      <c r="AJ131" s="52">
        <f t="shared" si="90"/>
        <v>5</v>
      </c>
      <c r="AK131" s="52">
        <f t="shared" si="90"/>
        <v>5</v>
      </c>
      <c r="AL131" s="52">
        <f t="shared" ref="AL131:BQ131" si="91">Presses+AL130</f>
        <v>5</v>
      </c>
      <c r="AM131" s="52">
        <f t="shared" si="91"/>
        <v>5</v>
      </c>
      <c r="AN131" s="52">
        <f t="shared" si="91"/>
        <v>5</v>
      </c>
      <c r="AO131" s="52">
        <f t="shared" si="91"/>
        <v>5</v>
      </c>
      <c r="AP131" s="52">
        <f t="shared" si="91"/>
        <v>5</v>
      </c>
      <c r="AQ131" s="52">
        <f t="shared" si="91"/>
        <v>5</v>
      </c>
      <c r="AR131" s="52">
        <f t="shared" si="91"/>
        <v>5</v>
      </c>
      <c r="AS131" s="52">
        <f t="shared" si="91"/>
        <v>5</v>
      </c>
      <c r="AT131" s="52">
        <f t="shared" si="91"/>
        <v>5</v>
      </c>
      <c r="AU131" s="52">
        <f t="shared" si="91"/>
        <v>5</v>
      </c>
      <c r="AV131" s="52">
        <f t="shared" si="91"/>
        <v>5</v>
      </c>
      <c r="AW131" s="52">
        <f t="shared" si="91"/>
        <v>5</v>
      </c>
      <c r="AX131" s="52">
        <f t="shared" si="91"/>
        <v>5</v>
      </c>
      <c r="AY131" s="52">
        <f t="shared" si="91"/>
        <v>5</v>
      </c>
      <c r="AZ131" s="52">
        <f t="shared" si="91"/>
        <v>5</v>
      </c>
      <c r="BA131" s="52">
        <f t="shared" si="91"/>
        <v>5</v>
      </c>
      <c r="BB131" s="52">
        <f t="shared" si="91"/>
        <v>5</v>
      </c>
      <c r="BC131" s="52">
        <f t="shared" si="91"/>
        <v>5</v>
      </c>
      <c r="BD131" s="52">
        <f t="shared" si="91"/>
        <v>5</v>
      </c>
      <c r="BE131" s="52">
        <f t="shared" si="91"/>
        <v>5</v>
      </c>
      <c r="BF131" s="52">
        <f t="shared" si="91"/>
        <v>5</v>
      </c>
      <c r="BG131" s="52">
        <f t="shared" si="91"/>
        <v>5</v>
      </c>
      <c r="BH131" s="52">
        <f t="shared" si="91"/>
        <v>5</v>
      </c>
      <c r="BI131" s="52">
        <f t="shared" si="91"/>
        <v>5</v>
      </c>
      <c r="BJ131" s="52">
        <f t="shared" si="91"/>
        <v>5</v>
      </c>
      <c r="BK131" s="52">
        <f t="shared" si="91"/>
        <v>5</v>
      </c>
      <c r="BL131" s="52">
        <f t="shared" si="91"/>
        <v>5</v>
      </c>
      <c r="BM131" s="52">
        <f t="shared" si="91"/>
        <v>5</v>
      </c>
    </row>
    <row r="132" spans="2:65" x14ac:dyDescent="0.45">
      <c r="B132" s="25" t="s">
        <v>231</v>
      </c>
      <c r="C132" s="26" t="s">
        <v>201</v>
      </c>
      <c r="D132" s="28"/>
      <c r="E132" s="28"/>
      <c r="F132" s="42">
        <f t="shared" ref="F132:AK132" si="92">F131*PressRate*PlantOEE_ML</f>
        <v>80</v>
      </c>
      <c r="G132" s="42">
        <f t="shared" si="92"/>
        <v>80</v>
      </c>
      <c r="H132" s="42">
        <f t="shared" si="92"/>
        <v>80</v>
      </c>
      <c r="I132" s="42">
        <f t="shared" si="92"/>
        <v>80</v>
      </c>
      <c r="J132" s="42">
        <f t="shared" si="92"/>
        <v>80</v>
      </c>
      <c r="K132" s="42">
        <f t="shared" si="92"/>
        <v>80</v>
      </c>
      <c r="L132" s="42">
        <f t="shared" si="92"/>
        <v>100</v>
      </c>
      <c r="M132" s="42">
        <f t="shared" si="92"/>
        <v>100</v>
      </c>
      <c r="N132" s="42">
        <f t="shared" si="92"/>
        <v>100</v>
      </c>
      <c r="O132" s="42">
        <f t="shared" si="92"/>
        <v>100</v>
      </c>
      <c r="P132" s="42">
        <f t="shared" si="92"/>
        <v>100</v>
      </c>
      <c r="Q132" s="42">
        <f t="shared" si="92"/>
        <v>100</v>
      </c>
      <c r="R132" s="42">
        <f t="shared" si="92"/>
        <v>100</v>
      </c>
      <c r="S132" s="42">
        <f t="shared" si="92"/>
        <v>100</v>
      </c>
      <c r="T132" s="42">
        <f t="shared" si="92"/>
        <v>100</v>
      </c>
      <c r="U132" s="42">
        <f t="shared" si="92"/>
        <v>100</v>
      </c>
      <c r="V132" s="42">
        <f t="shared" si="92"/>
        <v>100</v>
      </c>
      <c r="W132" s="42">
        <f t="shared" si="92"/>
        <v>100</v>
      </c>
      <c r="X132" s="42">
        <f t="shared" si="92"/>
        <v>100</v>
      </c>
      <c r="Y132" s="42">
        <f t="shared" si="92"/>
        <v>100</v>
      </c>
      <c r="Z132" s="42">
        <f t="shared" si="92"/>
        <v>100</v>
      </c>
      <c r="AA132" s="42">
        <f t="shared" si="92"/>
        <v>100</v>
      </c>
      <c r="AB132" s="42">
        <f t="shared" si="92"/>
        <v>100</v>
      </c>
      <c r="AC132" s="42">
        <f t="shared" si="92"/>
        <v>100</v>
      </c>
      <c r="AD132" s="42">
        <f t="shared" si="92"/>
        <v>100</v>
      </c>
      <c r="AE132" s="42">
        <f t="shared" si="92"/>
        <v>100</v>
      </c>
      <c r="AF132" s="42">
        <f t="shared" si="92"/>
        <v>100</v>
      </c>
      <c r="AG132" s="42">
        <f t="shared" si="92"/>
        <v>100</v>
      </c>
      <c r="AH132" s="42">
        <f t="shared" si="92"/>
        <v>100</v>
      </c>
      <c r="AI132" s="42">
        <f t="shared" si="92"/>
        <v>100</v>
      </c>
      <c r="AJ132" s="42">
        <f t="shared" si="92"/>
        <v>100</v>
      </c>
      <c r="AK132" s="42">
        <f t="shared" si="92"/>
        <v>100</v>
      </c>
      <c r="AL132" s="42">
        <f t="shared" ref="AL132:BQ132" si="93">AL131*PressRate*PlantOEE_ML</f>
        <v>100</v>
      </c>
      <c r="AM132" s="42">
        <f t="shared" si="93"/>
        <v>100</v>
      </c>
      <c r="AN132" s="42">
        <f t="shared" si="93"/>
        <v>100</v>
      </c>
      <c r="AO132" s="42">
        <f t="shared" si="93"/>
        <v>100</v>
      </c>
      <c r="AP132" s="42">
        <f t="shared" si="93"/>
        <v>100</v>
      </c>
      <c r="AQ132" s="42">
        <f t="shared" si="93"/>
        <v>100</v>
      </c>
      <c r="AR132" s="42">
        <f t="shared" si="93"/>
        <v>100</v>
      </c>
      <c r="AS132" s="42">
        <f t="shared" si="93"/>
        <v>100</v>
      </c>
      <c r="AT132" s="42">
        <f t="shared" si="93"/>
        <v>100</v>
      </c>
      <c r="AU132" s="42">
        <f t="shared" si="93"/>
        <v>100</v>
      </c>
      <c r="AV132" s="42">
        <f t="shared" si="93"/>
        <v>100</v>
      </c>
      <c r="AW132" s="42">
        <f t="shared" si="93"/>
        <v>100</v>
      </c>
      <c r="AX132" s="42">
        <f t="shared" si="93"/>
        <v>100</v>
      </c>
      <c r="AY132" s="42">
        <f t="shared" si="93"/>
        <v>100</v>
      </c>
      <c r="AZ132" s="42">
        <f t="shared" si="93"/>
        <v>100</v>
      </c>
      <c r="BA132" s="42">
        <f t="shared" si="93"/>
        <v>100</v>
      </c>
      <c r="BB132" s="42">
        <f t="shared" si="93"/>
        <v>100</v>
      </c>
      <c r="BC132" s="42">
        <f t="shared" si="93"/>
        <v>100</v>
      </c>
      <c r="BD132" s="42">
        <f t="shared" si="93"/>
        <v>100</v>
      </c>
      <c r="BE132" s="42">
        <f t="shared" si="93"/>
        <v>100</v>
      </c>
      <c r="BF132" s="42">
        <f t="shared" si="93"/>
        <v>100</v>
      </c>
      <c r="BG132" s="42">
        <f t="shared" si="93"/>
        <v>100</v>
      </c>
      <c r="BH132" s="42">
        <f t="shared" si="93"/>
        <v>100</v>
      </c>
      <c r="BI132" s="42">
        <f t="shared" si="93"/>
        <v>100</v>
      </c>
      <c r="BJ132" s="42">
        <f t="shared" si="93"/>
        <v>100</v>
      </c>
      <c r="BK132" s="42">
        <f t="shared" si="93"/>
        <v>100</v>
      </c>
      <c r="BL132" s="42">
        <f t="shared" si="93"/>
        <v>100</v>
      </c>
      <c r="BM132" s="42">
        <f t="shared" si="93"/>
        <v>100</v>
      </c>
    </row>
    <row r="133" spans="2:65" x14ac:dyDescent="0.45">
      <c r="B133" s="25" t="s">
        <v>232</v>
      </c>
      <c r="C133" s="26" t="s">
        <v>201</v>
      </c>
      <c r="D133" s="58">
        <f>SUM(F133:BM133)</f>
        <v>5335.1009339270549</v>
      </c>
      <c r="E133" s="28"/>
      <c r="F133" s="42">
        <f t="shared" ref="F133:AK133" si="94">MIN(F24,F132)</f>
        <v>66.622718602482252</v>
      </c>
      <c r="G133" s="42">
        <f t="shared" si="94"/>
        <v>69.30984363245976</v>
      </c>
      <c r="H133" s="42">
        <f t="shared" si="94"/>
        <v>77.561668801132313</v>
      </c>
      <c r="I133" s="42">
        <f t="shared" si="94"/>
        <v>80</v>
      </c>
      <c r="J133" s="42">
        <f t="shared" si="94"/>
        <v>80</v>
      </c>
      <c r="K133" s="42">
        <f t="shared" si="94"/>
        <v>80</v>
      </c>
      <c r="L133" s="42">
        <f t="shared" si="94"/>
        <v>90.380425186399648</v>
      </c>
      <c r="M133" s="42">
        <f t="shared" si="94"/>
        <v>85.144084196354669</v>
      </c>
      <c r="N133" s="42">
        <f t="shared" si="94"/>
        <v>83.113997979191112</v>
      </c>
      <c r="O133" s="42">
        <f t="shared" si="94"/>
        <v>80.243321936962516</v>
      </c>
      <c r="P133" s="42">
        <f t="shared" si="94"/>
        <v>78.165525352878248</v>
      </c>
      <c r="Q133" s="42">
        <f t="shared" si="94"/>
        <v>72.758400000000009</v>
      </c>
      <c r="R133" s="42">
        <f t="shared" si="94"/>
        <v>70.620081718631184</v>
      </c>
      <c r="S133" s="42">
        <f t="shared" si="94"/>
        <v>73.468434250407341</v>
      </c>
      <c r="T133" s="42">
        <f t="shared" si="94"/>
        <v>82.215368929200253</v>
      </c>
      <c r="U133" s="42">
        <f t="shared" si="94"/>
        <v>87.673651684183611</v>
      </c>
      <c r="V133" s="42">
        <f t="shared" si="94"/>
        <v>93.183123441062605</v>
      </c>
      <c r="W133" s="42">
        <f t="shared" si="94"/>
        <v>97.892910506532601</v>
      </c>
      <c r="X133" s="42">
        <f t="shared" si="94"/>
        <v>95.803250697583636</v>
      </c>
      <c r="Y133" s="42">
        <f t="shared" si="94"/>
        <v>90.252729248135935</v>
      </c>
      <c r="Z133" s="42">
        <f t="shared" si="94"/>
        <v>88.100837857942565</v>
      </c>
      <c r="AA133" s="42">
        <f t="shared" si="94"/>
        <v>85.057921253180282</v>
      </c>
      <c r="AB133" s="42">
        <f t="shared" si="94"/>
        <v>82.855456874050958</v>
      </c>
      <c r="AC133" s="42">
        <f t="shared" si="94"/>
        <v>77.12390400000001</v>
      </c>
      <c r="AD133" s="42">
        <f t="shared" si="94"/>
        <v>74.85728662174904</v>
      </c>
      <c r="AE133" s="42">
        <f t="shared" si="94"/>
        <v>77.876540305431789</v>
      </c>
      <c r="AF133" s="42">
        <f t="shared" si="94"/>
        <v>87.148291064952275</v>
      </c>
      <c r="AG133" s="42">
        <f t="shared" si="94"/>
        <v>92.934070785234624</v>
      </c>
      <c r="AH133" s="42">
        <f t="shared" si="94"/>
        <v>98.774110847526373</v>
      </c>
      <c r="AI133" s="42">
        <f t="shared" si="94"/>
        <v>100</v>
      </c>
      <c r="AJ133" s="42">
        <f t="shared" si="94"/>
        <v>100</v>
      </c>
      <c r="AK133" s="42">
        <f t="shared" si="94"/>
        <v>95.667893003024119</v>
      </c>
      <c r="AL133" s="42">
        <f t="shared" ref="AL133:BQ133" si="95">MIN(AL24,AL132)</f>
        <v>93.386888129419134</v>
      </c>
      <c r="AM133" s="42">
        <f t="shared" si="95"/>
        <v>90.1613965283711</v>
      </c>
      <c r="AN133" s="42">
        <f t="shared" si="95"/>
        <v>87.826784286494018</v>
      </c>
      <c r="AO133" s="42">
        <f t="shared" si="95"/>
        <v>81.751338240000024</v>
      </c>
      <c r="AP133" s="42">
        <f t="shared" si="95"/>
        <v>79.348723819054001</v>
      </c>
      <c r="AQ133" s="42">
        <f t="shared" si="95"/>
        <v>82.549132723757694</v>
      </c>
      <c r="AR133" s="42">
        <f t="shared" si="95"/>
        <v>92.377188528849416</v>
      </c>
      <c r="AS133" s="42">
        <f t="shared" si="95"/>
        <v>98.510115032348708</v>
      </c>
      <c r="AT133" s="42">
        <f t="shared" si="95"/>
        <v>100</v>
      </c>
      <c r="AU133" s="42">
        <f t="shared" si="95"/>
        <v>100</v>
      </c>
      <c r="AV133" s="42">
        <f t="shared" si="95"/>
        <v>100</v>
      </c>
      <c r="AW133" s="42">
        <f t="shared" si="95"/>
        <v>100</v>
      </c>
      <c r="AX133" s="42">
        <f t="shared" si="95"/>
        <v>98.990101417184292</v>
      </c>
      <c r="AY133" s="42">
        <f t="shared" si="95"/>
        <v>95.571080320073378</v>
      </c>
      <c r="AZ133" s="42">
        <f t="shared" si="95"/>
        <v>93.096391343683663</v>
      </c>
      <c r="BA133" s="42">
        <f t="shared" si="95"/>
        <v>86.656418534400032</v>
      </c>
      <c r="BB133" s="42">
        <f t="shared" si="95"/>
        <v>84.109647248197248</v>
      </c>
      <c r="BC133" s="42">
        <f t="shared" si="95"/>
        <v>87.502080687183181</v>
      </c>
      <c r="BD133" s="42">
        <f t="shared" si="95"/>
        <v>97.919819840580402</v>
      </c>
      <c r="BE133" s="42">
        <f t="shared" si="95"/>
        <v>100</v>
      </c>
      <c r="BF133" s="42">
        <f t="shared" si="95"/>
        <v>100</v>
      </c>
      <c r="BG133" s="42">
        <f t="shared" si="95"/>
        <v>100</v>
      </c>
      <c r="BH133" s="42">
        <f t="shared" si="95"/>
        <v>100</v>
      </c>
      <c r="BI133" s="42">
        <f t="shared" si="95"/>
        <v>100</v>
      </c>
      <c r="BJ133" s="42">
        <f t="shared" si="95"/>
        <v>100</v>
      </c>
      <c r="BK133" s="42">
        <f t="shared" si="95"/>
        <v>100</v>
      </c>
      <c r="BL133" s="42">
        <f t="shared" si="95"/>
        <v>98.68217482430471</v>
      </c>
      <c r="BM133" s="42">
        <f t="shared" si="95"/>
        <v>91.85580364646404</v>
      </c>
    </row>
    <row r="134" spans="2:65" x14ac:dyDescent="0.45">
      <c r="B134" s="25" t="s">
        <v>233</v>
      </c>
      <c r="C134" s="26" t="s">
        <v>201</v>
      </c>
      <c r="D134" s="58">
        <f>SUM(F134:BM134)</f>
        <v>111.86070046124873</v>
      </c>
      <c r="E134" s="28"/>
      <c r="F134" s="42">
        <f t="shared" ref="F134:AK134" si="96">F24-F133</f>
        <v>0</v>
      </c>
      <c r="G134" s="42">
        <f t="shared" si="96"/>
        <v>0</v>
      </c>
      <c r="H134" s="42">
        <f t="shared" si="96"/>
        <v>0</v>
      </c>
      <c r="I134" s="42">
        <f t="shared" si="96"/>
        <v>2.7109921548901781</v>
      </c>
      <c r="J134" s="42">
        <f t="shared" si="96"/>
        <v>7.9086070198703879</v>
      </c>
      <c r="K134" s="42">
        <f t="shared" si="96"/>
        <v>12.351802364653381</v>
      </c>
      <c r="L134" s="42">
        <f t="shared" si="96"/>
        <v>0</v>
      </c>
      <c r="M134" s="42">
        <f t="shared" si="96"/>
        <v>0</v>
      </c>
      <c r="N134" s="42">
        <f t="shared" si="96"/>
        <v>0</v>
      </c>
      <c r="O134" s="42">
        <f t="shared" si="96"/>
        <v>0</v>
      </c>
      <c r="P134" s="42">
        <f t="shared" si="96"/>
        <v>0</v>
      </c>
      <c r="Q134" s="42">
        <f t="shared" si="96"/>
        <v>0</v>
      </c>
      <c r="R134" s="42">
        <f t="shared" si="96"/>
        <v>0</v>
      </c>
      <c r="S134" s="42">
        <f t="shared" si="96"/>
        <v>0</v>
      </c>
      <c r="T134" s="42">
        <f t="shared" si="96"/>
        <v>0</v>
      </c>
      <c r="U134" s="42">
        <f t="shared" si="96"/>
        <v>0</v>
      </c>
      <c r="V134" s="42">
        <f t="shared" si="96"/>
        <v>0</v>
      </c>
      <c r="W134" s="42">
        <f t="shared" si="96"/>
        <v>0</v>
      </c>
      <c r="X134" s="42">
        <f t="shared" si="96"/>
        <v>0</v>
      </c>
      <c r="Y134" s="42">
        <f t="shared" si="96"/>
        <v>0</v>
      </c>
      <c r="Z134" s="42">
        <f t="shared" si="96"/>
        <v>0</v>
      </c>
      <c r="AA134" s="42">
        <f t="shared" si="96"/>
        <v>0</v>
      </c>
      <c r="AB134" s="42">
        <f t="shared" si="96"/>
        <v>0</v>
      </c>
      <c r="AC134" s="42">
        <f t="shared" si="96"/>
        <v>0</v>
      </c>
      <c r="AD134" s="42">
        <f t="shared" si="96"/>
        <v>0</v>
      </c>
      <c r="AE134" s="42">
        <f t="shared" si="96"/>
        <v>0</v>
      </c>
      <c r="AF134" s="42">
        <f t="shared" si="96"/>
        <v>0</v>
      </c>
      <c r="AG134" s="42">
        <f t="shared" si="96"/>
        <v>0</v>
      </c>
      <c r="AH134" s="42">
        <f t="shared" si="96"/>
        <v>0</v>
      </c>
      <c r="AI134" s="42">
        <f t="shared" si="96"/>
        <v>3.7664851369245582</v>
      </c>
      <c r="AJ134" s="42">
        <f t="shared" si="96"/>
        <v>1.5514457394386483</v>
      </c>
      <c r="AK134" s="42">
        <f t="shared" si="96"/>
        <v>0</v>
      </c>
      <c r="AL134" s="42">
        <f t="shared" ref="AL134:BQ134" si="97">AL24-AL133</f>
        <v>0</v>
      </c>
      <c r="AM134" s="42">
        <f t="shared" si="97"/>
        <v>0</v>
      </c>
      <c r="AN134" s="42">
        <f t="shared" si="97"/>
        <v>0</v>
      </c>
      <c r="AO134" s="42">
        <f t="shared" si="97"/>
        <v>0</v>
      </c>
      <c r="AP134" s="42">
        <f t="shared" si="97"/>
        <v>0</v>
      </c>
      <c r="AQ134" s="42">
        <f t="shared" si="97"/>
        <v>0</v>
      </c>
      <c r="AR134" s="42">
        <f t="shared" si="97"/>
        <v>0</v>
      </c>
      <c r="AS134" s="42">
        <f t="shared" si="97"/>
        <v>0</v>
      </c>
      <c r="AT134" s="42">
        <f t="shared" si="97"/>
        <v>4.7005574983779468</v>
      </c>
      <c r="AU134" s="42">
        <f t="shared" si="97"/>
        <v>9.9924742451400306</v>
      </c>
      <c r="AV134" s="42">
        <f t="shared" si="97"/>
        <v>7.6445324838049942</v>
      </c>
      <c r="AW134" s="42">
        <f t="shared" si="97"/>
        <v>1.4079665832055639</v>
      </c>
      <c r="AX134" s="42">
        <f t="shared" si="97"/>
        <v>0</v>
      </c>
      <c r="AY134" s="42">
        <f t="shared" si="97"/>
        <v>0</v>
      </c>
      <c r="AZ134" s="42">
        <f t="shared" si="97"/>
        <v>0</v>
      </c>
      <c r="BA134" s="42">
        <f t="shared" si="97"/>
        <v>0</v>
      </c>
      <c r="BB134" s="42">
        <f t="shared" si="97"/>
        <v>0</v>
      </c>
      <c r="BC134" s="42">
        <f t="shared" si="97"/>
        <v>0</v>
      </c>
      <c r="BD134" s="42">
        <f t="shared" si="97"/>
        <v>0</v>
      </c>
      <c r="BE134" s="42">
        <f t="shared" si="97"/>
        <v>4.4207219342896451</v>
      </c>
      <c r="BF134" s="42">
        <f t="shared" si="97"/>
        <v>10.982590948280631</v>
      </c>
      <c r="BG134" s="42">
        <f t="shared" si="97"/>
        <v>16.592022699848442</v>
      </c>
      <c r="BH134" s="42">
        <f t="shared" si="97"/>
        <v>14.10320443283328</v>
      </c>
      <c r="BI134" s="42">
        <f t="shared" si="97"/>
        <v>7.4924445781979188</v>
      </c>
      <c r="BJ134" s="42">
        <f t="shared" si="97"/>
        <v>4.9295075022153441</v>
      </c>
      <c r="BK134" s="42">
        <f t="shared" si="97"/>
        <v>1.305345139277776</v>
      </c>
      <c r="BL134" s="42">
        <f t="shared" si="97"/>
        <v>0</v>
      </c>
      <c r="BM134" s="42">
        <f t="shared" si="97"/>
        <v>0</v>
      </c>
    </row>
    <row r="135" spans="2:65" x14ac:dyDescent="0.45">
      <c r="B135" s="25" t="s">
        <v>234</v>
      </c>
      <c r="C135" s="26" t="s">
        <v>201</v>
      </c>
      <c r="D135" s="58">
        <f>SUM(F135:BM135)</f>
        <v>95.831080015632992</v>
      </c>
      <c r="E135" s="28"/>
      <c r="F135" s="42">
        <f t="shared" ref="F135:AK135" si="98">MIN(F134,OTMax*F132)</f>
        <v>0</v>
      </c>
      <c r="G135" s="42">
        <f t="shared" si="98"/>
        <v>0</v>
      </c>
      <c r="H135" s="42">
        <f t="shared" si="98"/>
        <v>0</v>
      </c>
      <c r="I135" s="42">
        <f t="shared" si="98"/>
        <v>2.7109921548901781</v>
      </c>
      <c r="J135" s="42">
        <f t="shared" si="98"/>
        <v>7.9086070198703879</v>
      </c>
      <c r="K135" s="42">
        <f t="shared" si="98"/>
        <v>8</v>
      </c>
      <c r="L135" s="42">
        <f t="shared" si="98"/>
        <v>0</v>
      </c>
      <c r="M135" s="42">
        <f t="shared" si="98"/>
        <v>0</v>
      </c>
      <c r="N135" s="42">
        <f t="shared" si="98"/>
        <v>0</v>
      </c>
      <c r="O135" s="42">
        <f t="shared" si="98"/>
        <v>0</v>
      </c>
      <c r="P135" s="42">
        <f t="shared" si="98"/>
        <v>0</v>
      </c>
      <c r="Q135" s="42">
        <f t="shared" si="98"/>
        <v>0</v>
      </c>
      <c r="R135" s="42">
        <f t="shared" si="98"/>
        <v>0</v>
      </c>
      <c r="S135" s="42">
        <f t="shared" si="98"/>
        <v>0</v>
      </c>
      <c r="T135" s="42">
        <f t="shared" si="98"/>
        <v>0</v>
      </c>
      <c r="U135" s="42">
        <f t="shared" si="98"/>
        <v>0</v>
      </c>
      <c r="V135" s="42">
        <f t="shared" si="98"/>
        <v>0</v>
      </c>
      <c r="W135" s="42">
        <f t="shared" si="98"/>
        <v>0</v>
      </c>
      <c r="X135" s="42">
        <f t="shared" si="98"/>
        <v>0</v>
      </c>
      <c r="Y135" s="42">
        <f t="shared" si="98"/>
        <v>0</v>
      </c>
      <c r="Z135" s="42">
        <f t="shared" si="98"/>
        <v>0</v>
      </c>
      <c r="AA135" s="42">
        <f t="shared" si="98"/>
        <v>0</v>
      </c>
      <c r="AB135" s="42">
        <f t="shared" si="98"/>
        <v>0</v>
      </c>
      <c r="AC135" s="42">
        <f t="shared" si="98"/>
        <v>0</v>
      </c>
      <c r="AD135" s="42">
        <f t="shared" si="98"/>
        <v>0</v>
      </c>
      <c r="AE135" s="42">
        <f t="shared" si="98"/>
        <v>0</v>
      </c>
      <c r="AF135" s="42">
        <f t="shared" si="98"/>
        <v>0</v>
      </c>
      <c r="AG135" s="42">
        <f t="shared" si="98"/>
        <v>0</v>
      </c>
      <c r="AH135" s="42">
        <f t="shared" si="98"/>
        <v>0</v>
      </c>
      <c r="AI135" s="42">
        <f t="shared" si="98"/>
        <v>3.7664851369245582</v>
      </c>
      <c r="AJ135" s="42">
        <f t="shared" si="98"/>
        <v>1.5514457394386483</v>
      </c>
      <c r="AK135" s="42">
        <f t="shared" si="98"/>
        <v>0</v>
      </c>
      <c r="AL135" s="42">
        <f t="shared" ref="AL135:BQ135" si="99">MIN(AL134,OTMax*AL132)</f>
        <v>0</v>
      </c>
      <c r="AM135" s="42">
        <f t="shared" si="99"/>
        <v>0</v>
      </c>
      <c r="AN135" s="42">
        <f t="shared" si="99"/>
        <v>0</v>
      </c>
      <c r="AO135" s="42">
        <f t="shared" si="99"/>
        <v>0</v>
      </c>
      <c r="AP135" s="42">
        <f t="shared" si="99"/>
        <v>0</v>
      </c>
      <c r="AQ135" s="42">
        <f t="shared" si="99"/>
        <v>0</v>
      </c>
      <c r="AR135" s="42">
        <f t="shared" si="99"/>
        <v>0</v>
      </c>
      <c r="AS135" s="42">
        <f t="shared" si="99"/>
        <v>0</v>
      </c>
      <c r="AT135" s="42">
        <f t="shared" si="99"/>
        <v>4.7005574983779468</v>
      </c>
      <c r="AU135" s="42">
        <f t="shared" si="99"/>
        <v>9.9924742451400306</v>
      </c>
      <c r="AV135" s="42">
        <f t="shared" si="99"/>
        <v>7.6445324838049942</v>
      </c>
      <c r="AW135" s="42">
        <f t="shared" si="99"/>
        <v>1.4079665832055639</v>
      </c>
      <c r="AX135" s="42">
        <f t="shared" si="99"/>
        <v>0</v>
      </c>
      <c r="AY135" s="42">
        <f t="shared" si="99"/>
        <v>0</v>
      </c>
      <c r="AZ135" s="42">
        <f t="shared" si="99"/>
        <v>0</v>
      </c>
      <c r="BA135" s="42">
        <f t="shared" si="99"/>
        <v>0</v>
      </c>
      <c r="BB135" s="42">
        <f t="shared" si="99"/>
        <v>0</v>
      </c>
      <c r="BC135" s="42">
        <f t="shared" si="99"/>
        <v>0</v>
      </c>
      <c r="BD135" s="42">
        <f t="shared" si="99"/>
        <v>0</v>
      </c>
      <c r="BE135" s="42">
        <f t="shared" si="99"/>
        <v>4.4207219342896451</v>
      </c>
      <c r="BF135" s="42">
        <f t="shared" si="99"/>
        <v>10</v>
      </c>
      <c r="BG135" s="42">
        <f t="shared" si="99"/>
        <v>10</v>
      </c>
      <c r="BH135" s="42">
        <f t="shared" si="99"/>
        <v>10</v>
      </c>
      <c r="BI135" s="42">
        <f t="shared" si="99"/>
        <v>7.4924445781979188</v>
      </c>
      <c r="BJ135" s="42">
        <f t="shared" si="99"/>
        <v>4.9295075022153441</v>
      </c>
      <c r="BK135" s="42">
        <f t="shared" si="99"/>
        <v>1.305345139277776</v>
      </c>
      <c r="BL135" s="42">
        <f t="shared" si="99"/>
        <v>0</v>
      </c>
      <c r="BM135" s="42">
        <f t="shared" si="99"/>
        <v>0</v>
      </c>
    </row>
    <row r="136" spans="2:65" x14ac:dyDescent="0.45">
      <c r="B136" s="25" t="s">
        <v>235</v>
      </c>
      <c r="C136" s="26" t="s">
        <v>201</v>
      </c>
      <c r="D136" s="58">
        <f>SUM(F136:BM136)</f>
        <v>16.029620445615734</v>
      </c>
      <c r="E136" s="28"/>
      <c r="F136" s="42">
        <f t="shared" ref="F136:AK136" si="100">MIN(F134-F135,SubMax)</f>
        <v>0</v>
      </c>
      <c r="G136" s="42">
        <f t="shared" si="100"/>
        <v>0</v>
      </c>
      <c r="H136" s="42">
        <f t="shared" si="100"/>
        <v>0</v>
      </c>
      <c r="I136" s="42">
        <f t="shared" si="100"/>
        <v>0</v>
      </c>
      <c r="J136" s="42">
        <f t="shared" si="100"/>
        <v>0</v>
      </c>
      <c r="K136" s="42">
        <f t="shared" si="100"/>
        <v>4.3518023646533806</v>
      </c>
      <c r="L136" s="42">
        <f t="shared" si="100"/>
        <v>0</v>
      </c>
      <c r="M136" s="42">
        <f t="shared" si="100"/>
        <v>0</v>
      </c>
      <c r="N136" s="42">
        <f t="shared" si="100"/>
        <v>0</v>
      </c>
      <c r="O136" s="42">
        <f t="shared" si="100"/>
        <v>0</v>
      </c>
      <c r="P136" s="42">
        <f t="shared" si="100"/>
        <v>0</v>
      </c>
      <c r="Q136" s="42">
        <f t="shared" si="100"/>
        <v>0</v>
      </c>
      <c r="R136" s="42">
        <f t="shared" si="100"/>
        <v>0</v>
      </c>
      <c r="S136" s="42">
        <f t="shared" si="100"/>
        <v>0</v>
      </c>
      <c r="T136" s="42">
        <f t="shared" si="100"/>
        <v>0</v>
      </c>
      <c r="U136" s="42">
        <f t="shared" si="100"/>
        <v>0</v>
      </c>
      <c r="V136" s="42">
        <f t="shared" si="100"/>
        <v>0</v>
      </c>
      <c r="W136" s="42">
        <f t="shared" si="100"/>
        <v>0</v>
      </c>
      <c r="X136" s="42">
        <f t="shared" si="100"/>
        <v>0</v>
      </c>
      <c r="Y136" s="42">
        <f t="shared" si="100"/>
        <v>0</v>
      </c>
      <c r="Z136" s="42">
        <f t="shared" si="100"/>
        <v>0</v>
      </c>
      <c r="AA136" s="42">
        <f t="shared" si="100"/>
        <v>0</v>
      </c>
      <c r="AB136" s="42">
        <f t="shared" si="100"/>
        <v>0</v>
      </c>
      <c r="AC136" s="42">
        <f t="shared" si="100"/>
        <v>0</v>
      </c>
      <c r="AD136" s="42">
        <f t="shared" si="100"/>
        <v>0</v>
      </c>
      <c r="AE136" s="42">
        <f t="shared" si="100"/>
        <v>0</v>
      </c>
      <c r="AF136" s="42">
        <f t="shared" si="100"/>
        <v>0</v>
      </c>
      <c r="AG136" s="42">
        <f t="shared" si="100"/>
        <v>0</v>
      </c>
      <c r="AH136" s="42">
        <f t="shared" si="100"/>
        <v>0</v>
      </c>
      <c r="AI136" s="42">
        <f t="shared" si="100"/>
        <v>0</v>
      </c>
      <c r="AJ136" s="42">
        <f t="shared" si="100"/>
        <v>0</v>
      </c>
      <c r="AK136" s="42">
        <f t="shared" si="100"/>
        <v>0</v>
      </c>
      <c r="AL136" s="42">
        <f t="shared" ref="AL136:BQ136" si="101">MIN(AL134-AL135,SubMax)</f>
        <v>0</v>
      </c>
      <c r="AM136" s="42">
        <f t="shared" si="101"/>
        <v>0</v>
      </c>
      <c r="AN136" s="42">
        <f t="shared" si="101"/>
        <v>0</v>
      </c>
      <c r="AO136" s="42">
        <f t="shared" si="101"/>
        <v>0</v>
      </c>
      <c r="AP136" s="42">
        <f t="shared" si="101"/>
        <v>0</v>
      </c>
      <c r="AQ136" s="42">
        <f t="shared" si="101"/>
        <v>0</v>
      </c>
      <c r="AR136" s="42">
        <f t="shared" si="101"/>
        <v>0</v>
      </c>
      <c r="AS136" s="42">
        <f t="shared" si="101"/>
        <v>0</v>
      </c>
      <c r="AT136" s="42">
        <f t="shared" si="101"/>
        <v>0</v>
      </c>
      <c r="AU136" s="42">
        <f t="shared" si="101"/>
        <v>0</v>
      </c>
      <c r="AV136" s="42">
        <f t="shared" si="101"/>
        <v>0</v>
      </c>
      <c r="AW136" s="42">
        <f t="shared" si="101"/>
        <v>0</v>
      </c>
      <c r="AX136" s="42">
        <f t="shared" si="101"/>
        <v>0</v>
      </c>
      <c r="AY136" s="42">
        <f t="shared" si="101"/>
        <v>0</v>
      </c>
      <c r="AZ136" s="42">
        <f t="shared" si="101"/>
        <v>0</v>
      </c>
      <c r="BA136" s="42">
        <f t="shared" si="101"/>
        <v>0</v>
      </c>
      <c r="BB136" s="42">
        <f t="shared" si="101"/>
        <v>0</v>
      </c>
      <c r="BC136" s="42">
        <f t="shared" si="101"/>
        <v>0</v>
      </c>
      <c r="BD136" s="42">
        <f t="shared" si="101"/>
        <v>0</v>
      </c>
      <c r="BE136" s="42">
        <f t="shared" si="101"/>
        <v>0</v>
      </c>
      <c r="BF136" s="42">
        <f t="shared" si="101"/>
        <v>0.98259094828063098</v>
      </c>
      <c r="BG136" s="42">
        <f t="shared" si="101"/>
        <v>6.5920226998484424</v>
      </c>
      <c r="BH136" s="42">
        <f t="shared" si="101"/>
        <v>4.1032044328332802</v>
      </c>
      <c r="BI136" s="42">
        <f t="shared" si="101"/>
        <v>0</v>
      </c>
      <c r="BJ136" s="42">
        <f t="shared" si="101"/>
        <v>0</v>
      </c>
      <c r="BK136" s="42">
        <f t="shared" si="101"/>
        <v>0</v>
      </c>
      <c r="BL136" s="42">
        <f t="shared" si="101"/>
        <v>0</v>
      </c>
      <c r="BM136" s="42">
        <f t="shared" si="101"/>
        <v>0</v>
      </c>
    </row>
    <row r="137" spans="2:65" x14ac:dyDescent="0.45">
      <c r="B137" s="25" t="s">
        <v>236</v>
      </c>
      <c r="C137" s="26" t="s">
        <v>201</v>
      </c>
      <c r="D137" s="58">
        <f>SUM(F137:BM137)</f>
        <v>0</v>
      </c>
      <c r="E137" s="28"/>
      <c r="F137" s="42">
        <f t="shared" ref="F137:AK137" si="102">F134-F135-F136</f>
        <v>0</v>
      </c>
      <c r="G137" s="42">
        <f t="shared" si="102"/>
        <v>0</v>
      </c>
      <c r="H137" s="42">
        <f t="shared" si="102"/>
        <v>0</v>
      </c>
      <c r="I137" s="42">
        <f t="shared" si="102"/>
        <v>0</v>
      </c>
      <c r="J137" s="42">
        <f t="shared" si="102"/>
        <v>0</v>
      </c>
      <c r="K137" s="42">
        <f t="shared" si="102"/>
        <v>0</v>
      </c>
      <c r="L137" s="42">
        <f t="shared" si="102"/>
        <v>0</v>
      </c>
      <c r="M137" s="42">
        <f t="shared" si="102"/>
        <v>0</v>
      </c>
      <c r="N137" s="42">
        <f t="shared" si="102"/>
        <v>0</v>
      </c>
      <c r="O137" s="42">
        <f t="shared" si="102"/>
        <v>0</v>
      </c>
      <c r="P137" s="42">
        <f t="shared" si="102"/>
        <v>0</v>
      </c>
      <c r="Q137" s="42">
        <f t="shared" si="102"/>
        <v>0</v>
      </c>
      <c r="R137" s="42">
        <f t="shared" si="102"/>
        <v>0</v>
      </c>
      <c r="S137" s="42">
        <f t="shared" si="102"/>
        <v>0</v>
      </c>
      <c r="T137" s="42">
        <f t="shared" si="102"/>
        <v>0</v>
      </c>
      <c r="U137" s="42">
        <f t="shared" si="102"/>
        <v>0</v>
      </c>
      <c r="V137" s="42">
        <f t="shared" si="102"/>
        <v>0</v>
      </c>
      <c r="W137" s="42">
        <f t="shared" si="102"/>
        <v>0</v>
      </c>
      <c r="X137" s="42">
        <f t="shared" si="102"/>
        <v>0</v>
      </c>
      <c r="Y137" s="42">
        <f t="shared" si="102"/>
        <v>0</v>
      </c>
      <c r="Z137" s="42">
        <f t="shared" si="102"/>
        <v>0</v>
      </c>
      <c r="AA137" s="42">
        <f t="shared" si="102"/>
        <v>0</v>
      </c>
      <c r="AB137" s="42">
        <f t="shared" si="102"/>
        <v>0</v>
      </c>
      <c r="AC137" s="42">
        <f t="shared" si="102"/>
        <v>0</v>
      </c>
      <c r="AD137" s="42">
        <f t="shared" si="102"/>
        <v>0</v>
      </c>
      <c r="AE137" s="42">
        <f t="shared" si="102"/>
        <v>0</v>
      </c>
      <c r="AF137" s="42">
        <f t="shared" si="102"/>
        <v>0</v>
      </c>
      <c r="AG137" s="42">
        <f t="shared" si="102"/>
        <v>0</v>
      </c>
      <c r="AH137" s="42">
        <f t="shared" si="102"/>
        <v>0</v>
      </c>
      <c r="AI137" s="42">
        <f t="shared" si="102"/>
        <v>0</v>
      </c>
      <c r="AJ137" s="42">
        <f t="shared" si="102"/>
        <v>0</v>
      </c>
      <c r="AK137" s="42">
        <f t="shared" si="102"/>
        <v>0</v>
      </c>
      <c r="AL137" s="42">
        <f t="shared" ref="AL137:BQ137" si="103">AL134-AL135-AL136</f>
        <v>0</v>
      </c>
      <c r="AM137" s="42">
        <f t="shared" si="103"/>
        <v>0</v>
      </c>
      <c r="AN137" s="42">
        <f t="shared" si="103"/>
        <v>0</v>
      </c>
      <c r="AO137" s="42">
        <f t="shared" si="103"/>
        <v>0</v>
      </c>
      <c r="AP137" s="42">
        <f t="shared" si="103"/>
        <v>0</v>
      </c>
      <c r="AQ137" s="42">
        <f t="shared" si="103"/>
        <v>0</v>
      </c>
      <c r="AR137" s="42">
        <f t="shared" si="103"/>
        <v>0</v>
      </c>
      <c r="AS137" s="42">
        <f t="shared" si="103"/>
        <v>0</v>
      </c>
      <c r="AT137" s="42">
        <f t="shared" si="103"/>
        <v>0</v>
      </c>
      <c r="AU137" s="42">
        <f t="shared" si="103"/>
        <v>0</v>
      </c>
      <c r="AV137" s="42">
        <f t="shared" si="103"/>
        <v>0</v>
      </c>
      <c r="AW137" s="42">
        <f t="shared" si="103"/>
        <v>0</v>
      </c>
      <c r="AX137" s="42">
        <f t="shared" si="103"/>
        <v>0</v>
      </c>
      <c r="AY137" s="42">
        <f t="shared" si="103"/>
        <v>0</v>
      </c>
      <c r="AZ137" s="42">
        <f t="shared" si="103"/>
        <v>0</v>
      </c>
      <c r="BA137" s="42">
        <f t="shared" si="103"/>
        <v>0</v>
      </c>
      <c r="BB137" s="42">
        <f t="shared" si="103"/>
        <v>0</v>
      </c>
      <c r="BC137" s="42">
        <f t="shared" si="103"/>
        <v>0</v>
      </c>
      <c r="BD137" s="42">
        <f t="shared" si="103"/>
        <v>0</v>
      </c>
      <c r="BE137" s="42">
        <f t="shared" si="103"/>
        <v>0</v>
      </c>
      <c r="BF137" s="42">
        <f t="shared" si="103"/>
        <v>0</v>
      </c>
      <c r="BG137" s="42">
        <f t="shared" si="103"/>
        <v>0</v>
      </c>
      <c r="BH137" s="42">
        <f t="shared" si="103"/>
        <v>0</v>
      </c>
      <c r="BI137" s="42">
        <f t="shared" si="103"/>
        <v>0</v>
      </c>
      <c r="BJ137" s="42">
        <f t="shared" si="103"/>
        <v>0</v>
      </c>
      <c r="BK137" s="42">
        <f t="shared" si="103"/>
        <v>0</v>
      </c>
      <c r="BL137" s="42">
        <f t="shared" si="103"/>
        <v>0</v>
      </c>
      <c r="BM137" s="42">
        <f t="shared" si="103"/>
        <v>0</v>
      </c>
    </row>
    <row r="138" spans="2:65" x14ac:dyDescent="0.45">
      <c r="B138" s="25" t="s">
        <v>237</v>
      </c>
      <c r="C138" s="26" t="s">
        <v>170</v>
      </c>
      <c r="D138" s="42">
        <f>New_1*NetCapex</f>
        <v>263.88336059324939</v>
      </c>
      <c r="E138" s="28"/>
      <c r="F138" s="26" t="s">
        <v>238</v>
      </c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</row>
    <row r="139" spans="2:65" x14ac:dyDescent="0.45">
      <c r="B139" s="25" t="s">
        <v>239</v>
      </c>
      <c r="C139" s="26" t="s">
        <v>170</v>
      </c>
      <c r="D139" s="42">
        <f>PressFixed*SUMPRODUCT(F130:BM130,F26:BM26)</f>
        <v>175.11093159336914</v>
      </c>
      <c r="E139" s="28"/>
      <c r="F139" s="26" t="s">
        <v>240</v>
      </c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</row>
    <row r="140" spans="2:65" x14ac:dyDescent="0.45">
      <c r="B140" s="25" t="s">
        <v>241</v>
      </c>
      <c r="C140" s="26" t="s">
        <v>170</v>
      </c>
      <c r="D140" s="42">
        <f>OTCost*SUMPRODUCT(F135:BM135,F26:BM26)</f>
        <v>22.327903547358627</v>
      </c>
      <c r="E140" s="28"/>
      <c r="F140" s="26" t="s">
        <v>242</v>
      </c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</row>
    <row r="141" spans="2:65" x14ac:dyDescent="0.45">
      <c r="B141" s="25" t="s">
        <v>243</v>
      </c>
      <c r="C141" s="26" t="s">
        <v>170</v>
      </c>
      <c r="D141" s="42">
        <f>SubCost*SUMPRODUCT(F136:BM136,F26:BM26)</f>
        <v>9.9463697395063573</v>
      </c>
      <c r="E141" s="28"/>
      <c r="F141" s="26" t="s">
        <v>244</v>
      </c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</row>
    <row r="142" spans="2:65" x14ac:dyDescent="0.45">
      <c r="B142" s="25" t="s">
        <v>245</v>
      </c>
      <c r="C142" s="26" t="s">
        <v>170</v>
      </c>
      <c r="D142" s="42">
        <f>LostCost*SUMPRODUCT(F137:BM137,F26:BM26)</f>
        <v>0</v>
      </c>
      <c r="E142" s="28"/>
      <c r="F142" s="26" t="s">
        <v>246</v>
      </c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</row>
    <row r="143" spans="2:65" x14ac:dyDescent="0.45">
      <c r="B143" s="59" t="s">
        <v>63</v>
      </c>
      <c r="C143" s="26" t="s">
        <v>170</v>
      </c>
      <c r="D143" s="58">
        <f>SUM(D138:D142)</f>
        <v>471.26856547348348</v>
      </c>
      <c r="E143" s="28"/>
      <c r="F143" s="26" t="s">
        <v>247</v>
      </c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</row>
    <row r="144" spans="2:65" ht="8" customHeight="1" x14ac:dyDescent="0.45"/>
    <row r="145" spans="2:65" x14ac:dyDescent="0.45">
      <c r="B145" s="60" t="s">
        <v>258</v>
      </c>
    </row>
    <row r="146" spans="2:65" x14ac:dyDescent="0.45">
      <c r="B146" s="25" t="s">
        <v>229</v>
      </c>
      <c r="C146" s="26" t="s">
        <v>143</v>
      </c>
      <c r="D146" s="28"/>
      <c r="E146" s="28"/>
      <c r="F146" s="52">
        <f t="shared" ref="F146:AK146" si="104">IF(F$6&gt;LeadPlan,New_2,0)</f>
        <v>0</v>
      </c>
      <c r="G146" s="52">
        <f t="shared" si="104"/>
        <v>0</v>
      </c>
      <c r="H146" s="52">
        <f t="shared" si="104"/>
        <v>0</v>
      </c>
      <c r="I146" s="52">
        <f t="shared" si="104"/>
        <v>0</v>
      </c>
      <c r="J146" s="52">
        <f t="shared" si="104"/>
        <v>0</v>
      </c>
      <c r="K146" s="52">
        <f t="shared" si="104"/>
        <v>0</v>
      </c>
      <c r="L146" s="52">
        <f t="shared" si="104"/>
        <v>2</v>
      </c>
      <c r="M146" s="52">
        <f t="shared" si="104"/>
        <v>2</v>
      </c>
      <c r="N146" s="52">
        <f t="shared" si="104"/>
        <v>2</v>
      </c>
      <c r="O146" s="52">
        <f t="shared" si="104"/>
        <v>2</v>
      </c>
      <c r="P146" s="52">
        <f t="shared" si="104"/>
        <v>2</v>
      </c>
      <c r="Q146" s="52">
        <f t="shared" si="104"/>
        <v>2</v>
      </c>
      <c r="R146" s="52">
        <f t="shared" si="104"/>
        <v>2</v>
      </c>
      <c r="S146" s="52">
        <f t="shared" si="104"/>
        <v>2</v>
      </c>
      <c r="T146" s="52">
        <f t="shared" si="104"/>
        <v>2</v>
      </c>
      <c r="U146" s="52">
        <f t="shared" si="104"/>
        <v>2</v>
      </c>
      <c r="V146" s="52">
        <f t="shared" si="104"/>
        <v>2</v>
      </c>
      <c r="W146" s="52">
        <f t="shared" si="104"/>
        <v>2</v>
      </c>
      <c r="X146" s="52">
        <f t="shared" si="104"/>
        <v>2</v>
      </c>
      <c r="Y146" s="52">
        <f t="shared" si="104"/>
        <v>2</v>
      </c>
      <c r="Z146" s="52">
        <f t="shared" si="104"/>
        <v>2</v>
      </c>
      <c r="AA146" s="52">
        <f t="shared" si="104"/>
        <v>2</v>
      </c>
      <c r="AB146" s="52">
        <f t="shared" si="104"/>
        <v>2</v>
      </c>
      <c r="AC146" s="52">
        <f t="shared" si="104"/>
        <v>2</v>
      </c>
      <c r="AD146" s="52">
        <f t="shared" si="104"/>
        <v>2</v>
      </c>
      <c r="AE146" s="52">
        <f t="shared" si="104"/>
        <v>2</v>
      </c>
      <c r="AF146" s="52">
        <f t="shared" si="104"/>
        <v>2</v>
      </c>
      <c r="AG146" s="52">
        <f t="shared" si="104"/>
        <v>2</v>
      </c>
      <c r="AH146" s="52">
        <f t="shared" si="104"/>
        <v>2</v>
      </c>
      <c r="AI146" s="52">
        <f t="shared" si="104"/>
        <v>2</v>
      </c>
      <c r="AJ146" s="52">
        <f t="shared" si="104"/>
        <v>2</v>
      </c>
      <c r="AK146" s="52">
        <f t="shared" si="104"/>
        <v>2</v>
      </c>
      <c r="AL146" s="52">
        <f t="shared" ref="AL146:BM146" si="105">IF(AL$6&gt;LeadPlan,New_2,0)</f>
        <v>2</v>
      </c>
      <c r="AM146" s="52">
        <f t="shared" si="105"/>
        <v>2</v>
      </c>
      <c r="AN146" s="52">
        <f t="shared" si="105"/>
        <v>2</v>
      </c>
      <c r="AO146" s="52">
        <f t="shared" si="105"/>
        <v>2</v>
      </c>
      <c r="AP146" s="52">
        <f t="shared" si="105"/>
        <v>2</v>
      </c>
      <c r="AQ146" s="52">
        <f t="shared" si="105"/>
        <v>2</v>
      </c>
      <c r="AR146" s="52">
        <f t="shared" si="105"/>
        <v>2</v>
      </c>
      <c r="AS146" s="52">
        <f t="shared" si="105"/>
        <v>2</v>
      </c>
      <c r="AT146" s="52">
        <f t="shared" si="105"/>
        <v>2</v>
      </c>
      <c r="AU146" s="52">
        <f t="shared" si="105"/>
        <v>2</v>
      </c>
      <c r="AV146" s="52">
        <f t="shared" si="105"/>
        <v>2</v>
      </c>
      <c r="AW146" s="52">
        <f t="shared" si="105"/>
        <v>2</v>
      </c>
      <c r="AX146" s="52">
        <f t="shared" si="105"/>
        <v>2</v>
      </c>
      <c r="AY146" s="52">
        <f t="shared" si="105"/>
        <v>2</v>
      </c>
      <c r="AZ146" s="52">
        <f t="shared" si="105"/>
        <v>2</v>
      </c>
      <c r="BA146" s="52">
        <f t="shared" si="105"/>
        <v>2</v>
      </c>
      <c r="BB146" s="52">
        <f t="shared" si="105"/>
        <v>2</v>
      </c>
      <c r="BC146" s="52">
        <f t="shared" si="105"/>
        <v>2</v>
      </c>
      <c r="BD146" s="52">
        <f t="shared" si="105"/>
        <v>2</v>
      </c>
      <c r="BE146" s="52">
        <f t="shared" si="105"/>
        <v>2</v>
      </c>
      <c r="BF146" s="52">
        <f t="shared" si="105"/>
        <v>2</v>
      </c>
      <c r="BG146" s="52">
        <f t="shared" si="105"/>
        <v>2</v>
      </c>
      <c r="BH146" s="52">
        <f t="shared" si="105"/>
        <v>2</v>
      </c>
      <c r="BI146" s="52">
        <f t="shared" si="105"/>
        <v>2</v>
      </c>
      <c r="BJ146" s="52">
        <f t="shared" si="105"/>
        <v>2</v>
      </c>
      <c r="BK146" s="52">
        <f t="shared" si="105"/>
        <v>2</v>
      </c>
      <c r="BL146" s="52">
        <f t="shared" si="105"/>
        <v>2</v>
      </c>
      <c r="BM146" s="52">
        <f t="shared" si="105"/>
        <v>2</v>
      </c>
    </row>
    <row r="147" spans="2:65" x14ac:dyDescent="0.45">
      <c r="B147" s="25" t="s">
        <v>230</v>
      </c>
      <c r="C147" s="26" t="s">
        <v>143</v>
      </c>
      <c r="D147" s="28"/>
      <c r="E147" s="28"/>
      <c r="F147" s="52">
        <f t="shared" ref="F147:AK147" si="106">Presses+F146</f>
        <v>4</v>
      </c>
      <c r="G147" s="52">
        <f t="shared" si="106"/>
        <v>4</v>
      </c>
      <c r="H147" s="52">
        <f t="shared" si="106"/>
        <v>4</v>
      </c>
      <c r="I147" s="52">
        <f t="shared" si="106"/>
        <v>4</v>
      </c>
      <c r="J147" s="52">
        <f t="shared" si="106"/>
        <v>4</v>
      </c>
      <c r="K147" s="52">
        <f t="shared" si="106"/>
        <v>4</v>
      </c>
      <c r="L147" s="52">
        <f t="shared" si="106"/>
        <v>6</v>
      </c>
      <c r="M147" s="52">
        <f t="shared" si="106"/>
        <v>6</v>
      </c>
      <c r="N147" s="52">
        <f t="shared" si="106"/>
        <v>6</v>
      </c>
      <c r="O147" s="52">
        <f t="shared" si="106"/>
        <v>6</v>
      </c>
      <c r="P147" s="52">
        <f t="shared" si="106"/>
        <v>6</v>
      </c>
      <c r="Q147" s="52">
        <f t="shared" si="106"/>
        <v>6</v>
      </c>
      <c r="R147" s="52">
        <f t="shared" si="106"/>
        <v>6</v>
      </c>
      <c r="S147" s="52">
        <f t="shared" si="106"/>
        <v>6</v>
      </c>
      <c r="T147" s="52">
        <f t="shared" si="106"/>
        <v>6</v>
      </c>
      <c r="U147" s="52">
        <f t="shared" si="106"/>
        <v>6</v>
      </c>
      <c r="V147" s="52">
        <f t="shared" si="106"/>
        <v>6</v>
      </c>
      <c r="W147" s="52">
        <f t="shared" si="106"/>
        <v>6</v>
      </c>
      <c r="X147" s="52">
        <f t="shared" si="106"/>
        <v>6</v>
      </c>
      <c r="Y147" s="52">
        <f t="shared" si="106"/>
        <v>6</v>
      </c>
      <c r="Z147" s="52">
        <f t="shared" si="106"/>
        <v>6</v>
      </c>
      <c r="AA147" s="52">
        <f t="shared" si="106"/>
        <v>6</v>
      </c>
      <c r="AB147" s="52">
        <f t="shared" si="106"/>
        <v>6</v>
      </c>
      <c r="AC147" s="52">
        <f t="shared" si="106"/>
        <v>6</v>
      </c>
      <c r="AD147" s="52">
        <f t="shared" si="106"/>
        <v>6</v>
      </c>
      <c r="AE147" s="52">
        <f t="shared" si="106"/>
        <v>6</v>
      </c>
      <c r="AF147" s="52">
        <f t="shared" si="106"/>
        <v>6</v>
      </c>
      <c r="AG147" s="52">
        <f t="shared" si="106"/>
        <v>6</v>
      </c>
      <c r="AH147" s="52">
        <f t="shared" si="106"/>
        <v>6</v>
      </c>
      <c r="AI147" s="52">
        <f t="shared" si="106"/>
        <v>6</v>
      </c>
      <c r="AJ147" s="52">
        <f t="shared" si="106"/>
        <v>6</v>
      </c>
      <c r="AK147" s="52">
        <f t="shared" si="106"/>
        <v>6</v>
      </c>
      <c r="AL147" s="52">
        <f t="shared" ref="AL147:BQ147" si="107">Presses+AL146</f>
        <v>6</v>
      </c>
      <c r="AM147" s="52">
        <f t="shared" si="107"/>
        <v>6</v>
      </c>
      <c r="AN147" s="52">
        <f t="shared" si="107"/>
        <v>6</v>
      </c>
      <c r="AO147" s="52">
        <f t="shared" si="107"/>
        <v>6</v>
      </c>
      <c r="AP147" s="52">
        <f t="shared" si="107"/>
        <v>6</v>
      </c>
      <c r="AQ147" s="52">
        <f t="shared" si="107"/>
        <v>6</v>
      </c>
      <c r="AR147" s="52">
        <f t="shared" si="107"/>
        <v>6</v>
      </c>
      <c r="AS147" s="52">
        <f t="shared" si="107"/>
        <v>6</v>
      </c>
      <c r="AT147" s="52">
        <f t="shared" si="107"/>
        <v>6</v>
      </c>
      <c r="AU147" s="52">
        <f t="shared" si="107"/>
        <v>6</v>
      </c>
      <c r="AV147" s="52">
        <f t="shared" si="107"/>
        <v>6</v>
      </c>
      <c r="AW147" s="52">
        <f t="shared" si="107"/>
        <v>6</v>
      </c>
      <c r="AX147" s="52">
        <f t="shared" si="107"/>
        <v>6</v>
      </c>
      <c r="AY147" s="52">
        <f t="shared" si="107"/>
        <v>6</v>
      </c>
      <c r="AZ147" s="52">
        <f t="shared" si="107"/>
        <v>6</v>
      </c>
      <c r="BA147" s="52">
        <f t="shared" si="107"/>
        <v>6</v>
      </c>
      <c r="BB147" s="52">
        <f t="shared" si="107"/>
        <v>6</v>
      </c>
      <c r="BC147" s="52">
        <f t="shared" si="107"/>
        <v>6</v>
      </c>
      <c r="BD147" s="52">
        <f t="shared" si="107"/>
        <v>6</v>
      </c>
      <c r="BE147" s="52">
        <f t="shared" si="107"/>
        <v>6</v>
      </c>
      <c r="BF147" s="52">
        <f t="shared" si="107"/>
        <v>6</v>
      </c>
      <c r="BG147" s="52">
        <f t="shared" si="107"/>
        <v>6</v>
      </c>
      <c r="BH147" s="52">
        <f t="shared" si="107"/>
        <v>6</v>
      </c>
      <c r="BI147" s="52">
        <f t="shared" si="107"/>
        <v>6</v>
      </c>
      <c r="BJ147" s="52">
        <f t="shared" si="107"/>
        <v>6</v>
      </c>
      <c r="BK147" s="52">
        <f t="shared" si="107"/>
        <v>6</v>
      </c>
      <c r="BL147" s="52">
        <f t="shared" si="107"/>
        <v>6</v>
      </c>
      <c r="BM147" s="52">
        <f t="shared" si="107"/>
        <v>6</v>
      </c>
    </row>
    <row r="148" spans="2:65" x14ac:dyDescent="0.45">
      <c r="B148" s="25" t="s">
        <v>231</v>
      </c>
      <c r="C148" s="26" t="s">
        <v>201</v>
      </c>
      <c r="D148" s="28"/>
      <c r="E148" s="28"/>
      <c r="F148" s="42">
        <f t="shared" ref="F148:AK148" si="108">F147*PressRate*PlantOEE_ML</f>
        <v>80</v>
      </c>
      <c r="G148" s="42">
        <f t="shared" si="108"/>
        <v>80</v>
      </c>
      <c r="H148" s="42">
        <f t="shared" si="108"/>
        <v>80</v>
      </c>
      <c r="I148" s="42">
        <f t="shared" si="108"/>
        <v>80</v>
      </c>
      <c r="J148" s="42">
        <f t="shared" si="108"/>
        <v>80</v>
      </c>
      <c r="K148" s="42">
        <f t="shared" si="108"/>
        <v>80</v>
      </c>
      <c r="L148" s="42">
        <f t="shared" si="108"/>
        <v>120</v>
      </c>
      <c r="M148" s="42">
        <f t="shared" si="108"/>
        <v>120</v>
      </c>
      <c r="N148" s="42">
        <f t="shared" si="108"/>
        <v>120</v>
      </c>
      <c r="O148" s="42">
        <f t="shared" si="108"/>
        <v>120</v>
      </c>
      <c r="P148" s="42">
        <f t="shared" si="108"/>
        <v>120</v>
      </c>
      <c r="Q148" s="42">
        <f t="shared" si="108"/>
        <v>120</v>
      </c>
      <c r="R148" s="42">
        <f t="shared" si="108"/>
        <v>120</v>
      </c>
      <c r="S148" s="42">
        <f t="shared" si="108"/>
        <v>120</v>
      </c>
      <c r="T148" s="42">
        <f t="shared" si="108"/>
        <v>120</v>
      </c>
      <c r="U148" s="42">
        <f t="shared" si="108"/>
        <v>120</v>
      </c>
      <c r="V148" s="42">
        <f t="shared" si="108"/>
        <v>120</v>
      </c>
      <c r="W148" s="42">
        <f t="shared" si="108"/>
        <v>120</v>
      </c>
      <c r="X148" s="42">
        <f t="shared" si="108"/>
        <v>120</v>
      </c>
      <c r="Y148" s="42">
        <f t="shared" si="108"/>
        <v>120</v>
      </c>
      <c r="Z148" s="42">
        <f t="shared" si="108"/>
        <v>120</v>
      </c>
      <c r="AA148" s="42">
        <f t="shared" si="108"/>
        <v>120</v>
      </c>
      <c r="AB148" s="42">
        <f t="shared" si="108"/>
        <v>120</v>
      </c>
      <c r="AC148" s="42">
        <f t="shared" si="108"/>
        <v>120</v>
      </c>
      <c r="AD148" s="42">
        <f t="shared" si="108"/>
        <v>120</v>
      </c>
      <c r="AE148" s="42">
        <f t="shared" si="108"/>
        <v>120</v>
      </c>
      <c r="AF148" s="42">
        <f t="shared" si="108"/>
        <v>120</v>
      </c>
      <c r="AG148" s="42">
        <f t="shared" si="108"/>
        <v>120</v>
      </c>
      <c r="AH148" s="42">
        <f t="shared" si="108"/>
        <v>120</v>
      </c>
      <c r="AI148" s="42">
        <f t="shared" si="108"/>
        <v>120</v>
      </c>
      <c r="AJ148" s="42">
        <f t="shared" si="108"/>
        <v>120</v>
      </c>
      <c r="AK148" s="42">
        <f t="shared" si="108"/>
        <v>120</v>
      </c>
      <c r="AL148" s="42">
        <f t="shared" ref="AL148:BQ148" si="109">AL147*PressRate*PlantOEE_ML</f>
        <v>120</v>
      </c>
      <c r="AM148" s="42">
        <f t="shared" si="109"/>
        <v>120</v>
      </c>
      <c r="AN148" s="42">
        <f t="shared" si="109"/>
        <v>120</v>
      </c>
      <c r="AO148" s="42">
        <f t="shared" si="109"/>
        <v>120</v>
      </c>
      <c r="AP148" s="42">
        <f t="shared" si="109"/>
        <v>120</v>
      </c>
      <c r="AQ148" s="42">
        <f t="shared" si="109"/>
        <v>120</v>
      </c>
      <c r="AR148" s="42">
        <f t="shared" si="109"/>
        <v>120</v>
      </c>
      <c r="AS148" s="42">
        <f t="shared" si="109"/>
        <v>120</v>
      </c>
      <c r="AT148" s="42">
        <f t="shared" si="109"/>
        <v>120</v>
      </c>
      <c r="AU148" s="42">
        <f t="shared" si="109"/>
        <v>120</v>
      </c>
      <c r="AV148" s="42">
        <f t="shared" si="109"/>
        <v>120</v>
      </c>
      <c r="AW148" s="42">
        <f t="shared" si="109"/>
        <v>120</v>
      </c>
      <c r="AX148" s="42">
        <f t="shared" si="109"/>
        <v>120</v>
      </c>
      <c r="AY148" s="42">
        <f t="shared" si="109"/>
        <v>120</v>
      </c>
      <c r="AZ148" s="42">
        <f t="shared" si="109"/>
        <v>120</v>
      </c>
      <c r="BA148" s="42">
        <f t="shared" si="109"/>
        <v>120</v>
      </c>
      <c r="BB148" s="42">
        <f t="shared" si="109"/>
        <v>120</v>
      </c>
      <c r="BC148" s="42">
        <f t="shared" si="109"/>
        <v>120</v>
      </c>
      <c r="BD148" s="42">
        <f t="shared" si="109"/>
        <v>120</v>
      </c>
      <c r="BE148" s="42">
        <f t="shared" si="109"/>
        <v>120</v>
      </c>
      <c r="BF148" s="42">
        <f t="shared" si="109"/>
        <v>120</v>
      </c>
      <c r="BG148" s="42">
        <f t="shared" si="109"/>
        <v>120</v>
      </c>
      <c r="BH148" s="42">
        <f t="shared" si="109"/>
        <v>120</v>
      </c>
      <c r="BI148" s="42">
        <f t="shared" si="109"/>
        <v>120</v>
      </c>
      <c r="BJ148" s="42">
        <f t="shared" si="109"/>
        <v>120</v>
      </c>
      <c r="BK148" s="42">
        <f t="shared" si="109"/>
        <v>120</v>
      </c>
      <c r="BL148" s="42">
        <f t="shared" si="109"/>
        <v>120</v>
      </c>
      <c r="BM148" s="42">
        <f t="shared" si="109"/>
        <v>120</v>
      </c>
    </row>
    <row r="149" spans="2:65" x14ac:dyDescent="0.45">
      <c r="B149" s="25" t="s">
        <v>232</v>
      </c>
      <c r="C149" s="26" t="s">
        <v>201</v>
      </c>
      <c r="D149" s="58">
        <f>SUM(F149:BM149)</f>
        <v>5423.9902328488915</v>
      </c>
      <c r="E149" s="28"/>
      <c r="F149" s="42">
        <f t="shared" ref="F149:AK149" si="110">MIN(F24,F148)</f>
        <v>66.622718602482252</v>
      </c>
      <c r="G149" s="42">
        <f t="shared" si="110"/>
        <v>69.30984363245976</v>
      </c>
      <c r="H149" s="42">
        <f t="shared" si="110"/>
        <v>77.561668801132313</v>
      </c>
      <c r="I149" s="42">
        <f t="shared" si="110"/>
        <v>80</v>
      </c>
      <c r="J149" s="42">
        <f t="shared" si="110"/>
        <v>80</v>
      </c>
      <c r="K149" s="42">
        <f t="shared" si="110"/>
        <v>80</v>
      </c>
      <c r="L149" s="42">
        <f t="shared" si="110"/>
        <v>90.380425186399648</v>
      </c>
      <c r="M149" s="42">
        <f t="shared" si="110"/>
        <v>85.144084196354669</v>
      </c>
      <c r="N149" s="42">
        <f t="shared" si="110"/>
        <v>83.113997979191112</v>
      </c>
      <c r="O149" s="42">
        <f t="shared" si="110"/>
        <v>80.243321936962516</v>
      </c>
      <c r="P149" s="42">
        <f t="shared" si="110"/>
        <v>78.165525352878248</v>
      </c>
      <c r="Q149" s="42">
        <f t="shared" si="110"/>
        <v>72.758400000000009</v>
      </c>
      <c r="R149" s="42">
        <f t="shared" si="110"/>
        <v>70.620081718631184</v>
      </c>
      <c r="S149" s="42">
        <f t="shared" si="110"/>
        <v>73.468434250407341</v>
      </c>
      <c r="T149" s="42">
        <f t="shared" si="110"/>
        <v>82.215368929200253</v>
      </c>
      <c r="U149" s="42">
        <f t="shared" si="110"/>
        <v>87.673651684183611</v>
      </c>
      <c r="V149" s="42">
        <f t="shared" si="110"/>
        <v>93.183123441062605</v>
      </c>
      <c r="W149" s="42">
        <f t="shared" si="110"/>
        <v>97.892910506532601</v>
      </c>
      <c r="X149" s="42">
        <f t="shared" si="110"/>
        <v>95.803250697583636</v>
      </c>
      <c r="Y149" s="42">
        <f t="shared" si="110"/>
        <v>90.252729248135935</v>
      </c>
      <c r="Z149" s="42">
        <f t="shared" si="110"/>
        <v>88.100837857942565</v>
      </c>
      <c r="AA149" s="42">
        <f t="shared" si="110"/>
        <v>85.057921253180282</v>
      </c>
      <c r="AB149" s="42">
        <f t="shared" si="110"/>
        <v>82.855456874050958</v>
      </c>
      <c r="AC149" s="42">
        <f t="shared" si="110"/>
        <v>77.12390400000001</v>
      </c>
      <c r="AD149" s="42">
        <f t="shared" si="110"/>
        <v>74.85728662174904</v>
      </c>
      <c r="AE149" s="42">
        <f t="shared" si="110"/>
        <v>77.876540305431789</v>
      </c>
      <c r="AF149" s="42">
        <f t="shared" si="110"/>
        <v>87.148291064952275</v>
      </c>
      <c r="AG149" s="42">
        <f t="shared" si="110"/>
        <v>92.934070785234624</v>
      </c>
      <c r="AH149" s="42">
        <f t="shared" si="110"/>
        <v>98.774110847526373</v>
      </c>
      <c r="AI149" s="42">
        <f t="shared" si="110"/>
        <v>103.76648513692456</v>
      </c>
      <c r="AJ149" s="42">
        <f t="shared" si="110"/>
        <v>101.55144573943865</v>
      </c>
      <c r="AK149" s="42">
        <f t="shared" si="110"/>
        <v>95.667893003024119</v>
      </c>
      <c r="AL149" s="42">
        <f t="shared" ref="AL149:BQ149" si="111">MIN(AL24,AL148)</f>
        <v>93.386888129419134</v>
      </c>
      <c r="AM149" s="42">
        <f t="shared" si="111"/>
        <v>90.1613965283711</v>
      </c>
      <c r="AN149" s="42">
        <f t="shared" si="111"/>
        <v>87.826784286494018</v>
      </c>
      <c r="AO149" s="42">
        <f t="shared" si="111"/>
        <v>81.751338240000024</v>
      </c>
      <c r="AP149" s="42">
        <f t="shared" si="111"/>
        <v>79.348723819054001</v>
      </c>
      <c r="AQ149" s="42">
        <f t="shared" si="111"/>
        <v>82.549132723757694</v>
      </c>
      <c r="AR149" s="42">
        <f t="shared" si="111"/>
        <v>92.377188528849416</v>
      </c>
      <c r="AS149" s="42">
        <f t="shared" si="111"/>
        <v>98.510115032348708</v>
      </c>
      <c r="AT149" s="42">
        <f t="shared" si="111"/>
        <v>104.70055749837795</v>
      </c>
      <c r="AU149" s="42">
        <f t="shared" si="111"/>
        <v>109.99247424514003</v>
      </c>
      <c r="AV149" s="42">
        <f t="shared" si="111"/>
        <v>107.64453248380499</v>
      </c>
      <c r="AW149" s="42">
        <f t="shared" si="111"/>
        <v>101.40796658320556</v>
      </c>
      <c r="AX149" s="42">
        <f t="shared" si="111"/>
        <v>98.990101417184292</v>
      </c>
      <c r="AY149" s="42">
        <f t="shared" si="111"/>
        <v>95.571080320073378</v>
      </c>
      <c r="AZ149" s="42">
        <f t="shared" si="111"/>
        <v>93.096391343683663</v>
      </c>
      <c r="BA149" s="42">
        <f t="shared" si="111"/>
        <v>86.656418534400032</v>
      </c>
      <c r="BB149" s="42">
        <f t="shared" si="111"/>
        <v>84.109647248197248</v>
      </c>
      <c r="BC149" s="42">
        <f t="shared" si="111"/>
        <v>87.502080687183181</v>
      </c>
      <c r="BD149" s="42">
        <f t="shared" si="111"/>
        <v>97.919819840580402</v>
      </c>
      <c r="BE149" s="42">
        <f t="shared" si="111"/>
        <v>104.42072193428965</v>
      </c>
      <c r="BF149" s="42">
        <f t="shared" si="111"/>
        <v>110.98259094828063</v>
      </c>
      <c r="BG149" s="42">
        <f t="shared" si="111"/>
        <v>116.59202269984844</v>
      </c>
      <c r="BH149" s="42">
        <f t="shared" si="111"/>
        <v>114.10320443283328</v>
      </c>
      <c r="BI149" s="42">
        <f t="shared" si="111"/>
        <v>107.49244457819792</v>
      </c>
      <c r="BJ149" s="42">
        <f t="shared" si="111"/>
        <v>104.92950750221534</v>
      </c>
      <c r="BK149" s="42">
        <f t="shared" si="111"/>
        <v>101.30534513927778</v>
      </c>
      <c r="BL149" s="42">
        <f t="shared" si="111"/>
        <v>98.68217482430471</v>
      </c>
      <c r="BM149" s="42">
        <f t="shared" si="111"/>
        <v>91.85580364646404</v>
      </c>
    </row>
    <row r="150" spans="2:65" x14ac:dyDescent="0.45">
      <c r="B150" s="25" t="s">
        <v>233</v>
      </c>
      <c r="C150" s="26" t="s">
        <v>201</v>
      </c>
      <c r="D150" s="58">
        <f>SUM(F150:BM150)</f>
        <v>22.971401539413947</v>
      </c>
      <c r="E150" s="28"/>
      <c r="F150" s="42">
        <f t="shared" ref="F150:AK150" si="112">F24-F149</f>
        <v>0</v>
      </c>
      <c r="G150" s="42">
        <f t="shared" si="112"/>
        <v>0</v>
      </c>
      <c r="H150" s="42">
        <f t="shared" si="112"/>
        <v>0</v>
      </c>
      <c r="I150" s="42">
        <f t="shared" si="112"/>
        <v>2.7109921548901781</v>
      </c>
      <c r="J150" s="42">
        <f t="shared" si="112"/>
        <v>7.9086070198703879</v>
      </c>
      <c r="K150" s="42">
        <f t="shared" si="112"/>
        <v>12.351802364653381</v>
      </c>
      <c r="L150" s="42">
        <f t="shared" si="112"/>
        <v>0</v>
      </c>
      <c r="M150" s="42">
        <f t="shared" si="112"/>
        <v>0</v>
      </c>
      <c r="N150" s="42">
        <f t="shared" si="112"/>
        <v>0</v>
      </c>
      <c r="O150" s="42">
        <f t="shared" si="112"/>
        <v>0</v>
      </c>
      <c r="P150" s="42">
        <f t="shared" si="112"/>
        <v>0</v>
      </c>
      <c r="Q150" s="42">
        <f t="shared" si="112"/>
        <v>0</v>
      </c>
      <c r="R150" s="42">
        <f t="shared" si="112"/>
        <v>0</v>
      </c>
      <c r="S150" s="42">
        <f t="shared" si="112"/>
        <v>0</v>
      </c>
      <c r="T150" s="42">
        <f t="shared" si="112"/>
        <v>0</v>
      </c>
      <c r="U150" s="42">
        <f t="shared" si="112"/>
        <v>0</v>
      </c>
      <c r="V150" s="42">
        <f t="shared" si="112"/>
        <v>0</v>
      </c>
      <c r="W150" s="42">
        <f t="shared" si="112"/>
        <v>0</v>
      </c>
      <c r="X150" s="42">
        <f t="shared" si="112"/>
        <v>0</v>
      </c>
      <c r="Y150" s="42">
        <f t="shared" si="112"/>
        <v>0</v>
      </c>
      <c r="Z150" s="42">
        <f t="shared" si="112"/>
        <v>0</v>
      </c>
      <c r="AA150" s="42">
        <f t="shared" si="112"/>
        <v>0</v>
      </c>
      <c r="AB150" s="42">
        <f t="shared" si="112"/>
        <v>0</v>
      </c>
      <c r="AC150" s="42">
        <f t="shared" si="112"/>
        <v>0</v>
      </c>
      <c r="AD150" s="42">
        <f t="shared" si="112"/>
        <v>0</v>
      </c>
      <c r="AE150" s="42">
        <f t="shared" si="112"/>
        <v>0</v>
      </c>
      <c r="AF150" s="42">
        <f t="shared" si="112"/>
        <v>0</v>
      </c>
      <c r="AG150" s="42">
        <f t="shared" si="112"/>
        <v>0</v>
      </c>
      <c r="AH150" s="42">
        <f t="shared" si="112"/>
        <v>0</v>
      </c>
      <c r="AI150" s="42">
        <f t="shared" si="112"/>
        <v>0</v>
      </c>
      <c r="AJ150" s="42">
        <f t="shared" si="112"/>
        <v>0</v>
      </c>
      <c r="AK150" s="42">
        <f t="shared" si="112"/>
        <v>0</v>
      </c>
      <c r="AL150" s="42">
        <f t="shared" ref="AL150:BQ150" si="113">AL24-AL149</f>
        <v>0</v>
      </c>
      <c r="AM150" s="42">
        <f t="shared" si="113"/>
        <v>0</v>
      </c>
      <c r="AN150" s="42">
        <f t="shared" si="113"/>
        <v>0</v>
      </c>
      <c r="AO150" s="42">
        <f t="shared" si="113"/>
        <v>0</v>
      </c>
      <c r="AP150" s="42">
        <f t="shared" si="113"/>
        <v>0</v>
      </c>
      <c r="AQ150" s="42">
        <f t="shared" si="113"/>
        <v>0</v>
      </c>
      <c r="AR150" s="42">
        <f t="shared" si="113"/>
        <v>0</v>
      </c>
      <c r="AS150" s="42">
        <f t="shared" si="113"/>
        <v>0</v>
      </c>
      <c r="AT150" s="42">
        <f t="shared" si="113"/>
        <v>0</v>
      </c>
      <c r="AU150" s="42">
        <f t="shared" si="113"/>
        <v>0</v>
      </c>
      <c r="AV150" s="42">
        <f t="shared" si="113"/>
        <v>0</v>
      </c>
      <c r="AW150" s="42">
        <f t="shared" si="113"/>
        <v>0</v>
      </c>
      <c r="AX150" s="42">
        <f t="shared" si="113"/>
        <v>0</v>
      </c>
      <c r="AY150" s="42">
        <f t="shared" si="113"/>
        <v>0</v>
      </c>
      <c r="AZ150" s="42">
        <f t="shared" si="113"/>
        <v>0</v>
      </c>
      <c r="BA150" s="42">
        <f t="shared" si="113"/>
        <v>0</v>
      </c>
      <c r="BB150" s="42">
        <f t="shared" si="113"/>
        <v>0</v>
      </c>
      <c r="BC150" s="42">
        <f t="shared" si="113"/>
        <v>0</v>
      </c>
      <c r="BD150" s="42">
        <f t="shared" si="113"/>
        <v>0</v>
      </c>
      <c r="BE150" s="42">
        <f t="shared" si="113"/>
        <v>0</v>
      </c>
      <c r="BF150" s="42">
        <f t="shared" si="113"/>
        <v>0</v>
      </c>
      <c r="BG150" s="42">
        <f t="shared" si="113"/>
        <v>0</v>
      </c>
      <c r="BH150" s="42">
        <f t="shared" si="113"/>
        <v>0</v>
      </c>
      <c r="BI150" s="42">
        <f t="shared" si="113"/>
        <v>0</v>
      </c>
      <c r="BJ150" s="42">
        <f t="shared" si="113"/>
        <v>0</v>
      </c>
      <c r="BK150" s="42">
        <f t="shared" si="113"/>
        <v>0</v>
      </c>
      <c r="BL150" s="42">
        <f t="shared" si="113"/>
        <v>0</v>
      </c>
      <c r="BM150" s="42">
        <f t="shared" si="113"/>
        <v>0</v>
      </c>
    </row>
    <row r="151" spans="2:65" x14ac:dyDescent="0.45">
      <c r="B151" s="25" t="s">
        <v>234</v>
      </c>
      <c r="C151" s="26" t="s">
        <v>201</v>
      </c>
      <c r="D151" s="58">
        <f>SUM(F151:BM151)</f>
        <v>18.619599174760566</v>
      </c>
      <c r="E151" s="28"/>
      <c r="F151" s="42">
        <f t="shared" ref="F151:AK151" si="114">MIN(F150,OTMax*F148)</f>
        <v>0</v>
      </c>
      <c r="G151" s="42">
        <f t="shared" si="114"/>
        <v>0</v>
      </c>
      <c r="H151" s="42">
        <f t="shared" si="114"/>
        <v>0</v>
      </c>
      <c r="I151" s="42">
        <f t="shared" si="114"/>
        <v>2.7109921548901781</v>
      </c>
      <c r="J151" s="42">
        <f t="shared" si="114"/>
        <v>7.9086070198703879</v>
      </c>
      <c r="K151" s="42">
        <f t="shared" si="114"/>
        <v>8</v>
      </c>
      <c r="L151" s="42">
        <f t="shared" si="114"/>
        <v>0</v>
      </c>
      <c r="M151" s="42">
        <f t="shared" si="114"/>
        <v>0</v>
      </c>
      <c r="N151" s="42">
        <f t="shared" si="114"/>
        <v>0</v>
      </c>
      <c r="O151" s="42">
        <f t="shared" si="114"/>
        <v>0</v>
      </c>
      <c r="P151" s="42">
        <f t="shared" si="114"/>
        <v>0</v>
      </c>
      <c r="Q151" s="42">
        <f t="shared" si="114"/>
        <v>0</v>
      </c>
      <c r="R151" s="42">
        <f t="shared" si="114"/>
        <v>0</v>
      </c>
      <c r="S151" s="42">
        <f t="shared" si="114"/>
        <v>0</v>
      </c>
      <c r="T151" s="42">
        <f t="shared" si="114"/>
        <v>0</v>
      </c>
      <c r="U151" s="42">
        <f t="shared" si="114"/>
        <v>0</v>
      </c>
      <c r="V151" s="42">
        <f t="shared" si="114"/>
        <v>0</v>
      </c>
      <c r="W151" s="42">
        <f t="shared" si="114"/>
        <v>0</v>
      </c>
      <c r="X151" s="42">
        <f t="shared" si="114"/>
        <v>0</v>
      </c>
      <c r="Y151" s="42">
        <f t="shared" si="114"/>
        <v>0</v>
      </c>
      <c r="Z151" s="42">
        <f t="shared" si="114"/>
        <v>0</v>
      </c>
      <c r="AA151" s="42">
        <f t="shared" si="114"/>
        <v>0</v>
      </c>
      <c r="AB151" s="42">
        <f t="shared" si="114"/>
        <v>0</v>
      </c>
      <c r="AC151" s="42">
        <f t="shared" si="114"/>
        <v>0</v>
      </c>
      <c r="AD151" s="42">
        <f t="shared" si="114"/>
        <v>0</v>
      </c>
      <c r="AE151" s="42">
        <f t="shared" si="114"/>
        <v>0</v>
      </c>
      <c r="AF151" s="42">
        <f t="shared" si="114"/>
        <v>0</v>
      </c>
      <c r="AG151" s="42">
        <f t="shared" si="114"/>
        <v>0</v>
      </c>
      <c r="AH151" s="42">
        <f t="shared" si="114"/>
        <v>0</v>
      </c>
      <c r="AI151" s="42">
        <f t="shared" si="114"/>
        <v>0</v>
      </c>
      <c r="AJ151" s="42">
        <f t="shared" si="114"/>
        <v>0</v>
      </c>
      <c r="AK151" s="42">
        <f t="shared" si="114"/>
        <v>0</v>
      </c>
      <c r="AL151" s="42">
        <f t="shared" ref="AL151:BQ151" si="115">MIN(AL150,OTMax*AL148)</f>
        <v>0</v>
      </c>
      <c r="AM151" s="42">
        <f t="shared" si="115"/>
        <v>0</v>
      </c>
      <c r="AN151" s="42">
        <f t="shared" si="115"/>
        <v>0</v>
      </c>
      <c r="AO151" s="42">
        <f t="shared" si="115"/>
        <v>0</v>
      </c>
      <c r="AP151" s="42">
        <f t="shared" si="115"/>
        <v>0</v>
      </c>
      <c r="AQ151" s="42">
        <f t="shared" si="115"/>
        <v>0</v>
      </c>
      <c r="AR151" s="42">
        <f t="shared" si="115"/>
        <v>0</v>
      </c>
      <c r="AS151" s="42">
        <f t="shared" si="115"/>
        <v>0</v>
      </c>
      <c r="AT151" s="42">
        <f t="shared" si="115"/>
        <v>0</v>
      </c>
      <c r="AU151" s="42">
        <f t="shared" si="115"/>
        <v>0</v>
      </c>
      <c r="AV151" s="42">
        <f t="shared" si="115"/>
        <v>0</v>
      </c>
      <c r="AW151" s="42">
        <f t="shared" si="115"/>
        <v>0</v>
      </c>
      <c r="AX151" s="42">
        <f t="shared" si="115"/>
        <v>0</v>
      </c>
      <c r="AY151" s="42">
        <f t="shared" si="115"/>
        <v>0</v>
      </c>
      <c r="AZ151" s="42">
        <f t="shared" si="115"/>
        <v>0</v>
      </c>
      <c r="BA151" s="42">
        <f t="shared" si="115"/>
        <v>0</v>
      </c>
      <c r="BB151" s="42">
        <f t="shared" si="115"/>
        <v>0</v>
      </c>
      <c r="BC151" s="42">
        <f t="shared" si="115"/>
        <v>0</v>
      </c>
      <c r="BD151" s="42">
        <f t="shared" si="115"/>
        <v>0</v>
      </c>
      <c r="BE151" s="42">
        <f t="shared" si="115"/>
        <v>0</v>
      </c>
      <c r="BF151" s="42">
        <f t="shared" si="115"/>
        <v>0</v>
      </c>
      <c r="BG151" s="42">
        <f t="shared" si="115"/>
        <v>0</v>
      </c>
      <c r="BH151" s="42">
        <f t="shared" si="115"/>
        <v>0</v>
      </c>
      <c r="BI151" s="42">
        <f t="shared" si="115"/>
        <v>0</v>
      </c>
      <c r="BJ151" s="42">
        <f t="shared" si="115"/>
        <v>0</v>
      </c>
      <c r="BK151" s="42">
        <f t="shared" si="115"/>
        <v>0</v>
      </c>
      <c r="BL151" s="42">
        <f t="shared" si="115"/>
        <v>0</v>
      </c>
      <c r="BM151" s="42">
        <f t="shared" si="115"/>
        <v>0</v>
      </c>
    </row>
    <row r="152" spans="2:65" x14ac:dyDescent="0.45">
      <c r="B152" s="25" t="s">
        <v>235</v>
      </c>
      <c r="C152" s="26" t="s">
        <v>201</v>
      </c>
      <c r="D152" s="58">
        <f>SUM(F152:BM152)</f>
        <v>4.3518023646533806</v>
      </c>
      <c r="E152" s="28"/>
      <c r="F152" s="42">
        <f t="shared" ref="F152:AK152" si="116">MIN(F150-F151,SubMax)</f>
        <v>0</v>
      </c>
      <c r="G152" s="42">
        <f t="shared" si="116"/>
        <v>0</v>
      </c>
      <c r="H152" s="42">
        <f t="shared" si="116"/>
        <v>0</v>
      </c>
      <c r="I152" s="42">
        <f t="shared" si="116"/>
        <v>0</v>
      </c>
      <c r="J152" s="42">
        <f t="shared" si="116"/>
        <v>0</v>
      </c>
      <c r="K152" s="42">
        <f t="shared" si="116"/>
        <v>4.3518023646533806</v>
      </c>
      <c r="L152" s="42">
        <f t="shared" si="116"/>
        <v>0</v>
      </c>
      <c r="M152" s="42">
        <f t="shared" si="116"/>
        <v>0</v>
      </c>
      <c r="N152" s="42">
        <f t="shared" si="116"/>
        <v>0</v>
      </c>
      <c r="O152" s="42">
        <f t="shared" si="116"/>
        <v>0</v>
      </c>
      <c r="P152" s="42">
        <f t="shared" si="116"/>
        <v>0</v>
      </c>
      <c r="Q152" s="42">
        <f t="shared" si="116"/>
        <v>0</v>
      </c>
      <c r="R152" s="42">
        <f t="shared" si="116"/>
        <v>0</v>
      </c>
      <c r="S152" s="42">
        <f t="shared" si="116"/>
        <v>0</v>
      </c>
      <c r="T152" s="42">
        <f t="shared" si="116"/>
        <v>0</v>
      </c>
      <c r="U152" s="42">
        <f t="shared" si="116"/>
        <v>0</v>
      </c>
      <c r="V152" s="42">
        <f t="shared" si="116"/>
        <v>0</v>
      </c>
      <c r="W152" s="42">
        <f t="shared" si="116"/>
        <v>0</v>
      </c>
      <c r="X152" s="42">
        <f t="shared" si="116"/>
        <v>0</v>
      </c>
      <c r="Y152" s="42">
        <f t="shared" si="116"/>
        <v>0</v>
      </c>
      <c r="Z152" s="42">
        <f t="shared" si="116"/>
        <v>0</v>
      </c>
      <c r="AA152" s="42">
        <f t="shared" si="116"/>
        <v>0</v>
      </c>
      <c r="AB152" s="42">
        <f t="shared" si="116"/>
        <v>0</v>
      </c>
      <c r="AC152" s="42">
        <f t="shared" si="116"/>
        <v>0</v>
      </c>
      <c r="AD152" s="42">
        <f t="shared" si="116"/>
        <v>0</v>
      </c>
      <c r="AE152" s="42">
        <f t="shared" si="116"/>
        <v>0</v>
      </c>
      <c r="AF152" s="42">
        <f t="shared" si="116"/>
        <v>0</v>
      </c>
      <c r="AG152" s="42">
        <f t="shared" si="116"/>
        <v>0</v>
      </c>
      <c r="AH152" s="42">
        <f t="shared" si="116"/>
        <v>0</v>
      </c>
      <c r="AI152" s="42">
        <f t="shared" si="116"/>
        <v>0</v>
      </c>
      <c r="AJ152" s="42">
        <f t="shared" si="116"/>
        <v>0</v>
      </c>
      <c r="AK152" s="42">
        <f t="shared" si="116"/>
        <v>0</v>
      </c>
      <c r="AL152" s="42">
        <f t="shared" ref="AL152:BQ152" si="117">MIN(AL150-AL151,SubMax)</f>
        <v>0</v>
      </c>
      <c r="AM152" s="42">
        <f t="shared" si="117"/>
        <v>0</v>
      </c>
      <c r="AN152" s="42">
        <f t="shared" si="117"/>
        <v>0</v>
      </c>
      <c r="AO152" s="42">
        <f t="shared" si="117"/>
        <v>0</v>
      </c>
      <c r="AP152" s="42">
        <f t="shared" si="117"/>
        <v>0</v>
      </c>
      <c r="AQ152" s="42">
        <f t="shared" si="117"/>
        <v>0</v>
      </c>
      <c r="AR152" s="42">
        <f t="shared" si="117"/>
        <v>0</v>
      </c>
      <c r="AS152" s="42">
        <f t="shared" si="117"/>
        <v>0</v>
      </c>
      <c r="AT152" s="42">
        <f t="shared" si="117"/>
        <v>0</v>
      </c>
      <c r="AU152" s="42">
        <f t="shared" si="117"/>
        <v>0</v>
      </c>
      <c r="AV152" s="42">
        <f t="shared" si="117"/>
        <v>0</v>
      </c>
      <c r="AW152" s="42">
        <f t="shared" si="117"/>
        <v>0</v>
      </c>
      <c r="AX152" s="42">
        <f t="shared" si="117"/>
        <v>0</v>
      </c>
      <c r="AY152" s="42">
        <f t="shared" si="117"/>
        <v>0</v>
      </c>
      <c r="AZ152" s="42">
        <f t="shared" si="117"/>
        <v>0</v>
      </c>
      <c r="BA152" s="42">
        <f t="shared" si="117"/>
        <v>0</v>
      </c>
      <c r="BB152" s="42">
        <f t="shared" si="117"/>
        <v>0</v>
      </c>
      <c r="BC152" s="42">
        <f t="shared" si="117"/>
        <v>0</v>
      </c>
      <c r="BD152" s="42">
        <f t="shared" si="117"/>
        <v>0</v>
      </c>
      <c r="BE152" s="42">
        <f t="shared" si="117"/>
        <v>0</v>
      </c>
      <c r="BF152" s="42">
        <f t="shared" si="117"/>
        <v>0</v>
      </c>
      <c r="BG152" s="42">
        <f t="shared" si="117"/>
        <v>0</v>
      </c>
      <c r="BH152" s="42">
        <f t="shared" si="117"/>
        <v>0</v>
      </c>
      <c r="BI152" s="42">
        <f t="shared" si="117"/>
        <v>0</v>
      </c>
      <c r="BJ152" s="42">
        <f t="shared" si="117"/>
        <v>0</v>
      </c>
      <c r="BK152" s="42">
        <f t="shared" si="117"/>
        <v>0</v>
      </c>
      <c r="BL152" s="42">
        <f t="shared" si="117"/>
        <v>0</v>
      </c>
      <c r="BM152" s="42">
        <f t="shared" si="117"/>
        <v>0</v>
      </c>
    </row>
    <row r="153" spans="2:65" x14ac:dyDescent="0.45">
      <c r="B153" s="25" t="s">
        <v>236</v>
      </c>
      <c r="C153" s="26" t="s">
        <v>201</v>
      </c>
      <c r="D153" s="58">
        <f>SUM(F153:BM153)</f>
        <v>0</v>
      </c>
      <c r="E153" s="28"/>
      <c r="F153" s="42">
        <f t="shared" ref="F153:AK153" si="118">F150-F151-F152</f>
        <v>0</v>
      </c>
      <c r="G153" s="42">
        <f t="shared" si="118"/>
        <v>0</v>
      </c>
      <c r="H153" s="42">
        <f t="shared" si="118"/>
        <v>0</v>
      </c>
      <c r="I153" s="42">
        <f t="shared" si="118"/>
        <v>0</v>
      </c>
      <c r="J153" s="42">
        <f t="shared" si="118"/>
        <v>0</v>
      </c>
      <c r="K153" s="42">
        <f t="shared" si="118"/>
        <v>0</v>
      </c>
      <c r="L153" s="42">
        <f t="shared" si="118"/>
        <v>0</v>
      </c>
      <c r="M153" s="42">
        <f t="shared" si="118"/>
        <v>0</v>
      </c>
      <c r="N153" s="42">
        <f t="shared" si="118"/>
        <v>0</v>
      </c>
      <c r="O153" s="42">
        <f t="shared" si="118"/>
        <v>0</v>
      </c>
      <c r="P153" s="42">
        <f t="shared" si="118"/>
        <v>0</v>
      </c>
      <c r="Q153" s="42">
        <f t="shared" si="118"/>
        <v>0</v>
      </c>
      <c r="R153" s="42">
        <f t="shared" si="118"/>
        <v>0</v>
      </c>
      <c r="S153" s="42">
        <f t="shared" si="118"/>
        <v>0</v>
      </c>
      <c r="T153" s="42">
        <f t="shared" si="118"/>
        <v>0</v>
      </c>
      <c r="U153" s="42">
        <f t="shared" si="118"/>
        <v>0</v>
      </c>
      <c r="V153" s="42">
        <f t="shared" si="118"/>
        <v>0</v>
      </c>
      <c r="W153" s="42">
        <f t="shared" si="118"/>
        <v>0</v>
      </c>
      <c r="X153" s="42">
        <f t="shared" si="118"/>
        <v>0</v>
      </c>
      <c r="Y153" s="42">
        <f t="shared" si="118"/>
        <v>0</v>
      </c>
      <c r="Z153" s="42">
        <f t="shared" si="118"/>
        <v>0</v>
      </c>
      <c r="AA153" s="42">
        <f t="shared" si="118"/>
        <v>0</v>
      </c>
      <c r="AB153" s="42">
        <f t="shared" si="118"/>
        <v>0</v>
      </c>
      <c r="AC153" s="42">
        <f t="shared" si="118"/>
        <v>0</v>
      </c>
      <c r="AD153" s="42">
        <f t="shared" si="118"/>
        <v>0</v>
      </c>
      <c r="AE153" s="42">
        <f t="shared" si="118"/>
        <v>0</v>
      </c>
      <c r="AF153" s="42">
        <f t="shared" si="118"/>
        <v>0</v>
      </c>
      <c r="AG153" s="42">
        <f t="shared" si="118"/>
        <v>0</v>
      </c>
      <c r="AH153" s="42">
        <f t="shared" si="118"/>
        <v>0</v>
      </c>
      <c r="AI153" s="42">
        <f t="shared" si="118"/>
        <v>0</v>
      </c>
      <c r="AJ153" s="42">
        <f t="shared" si="118"/>
        <v>0</v>
      </c>
      <c r="AK153" s="42">
        <f t="shared" si="118"/>
        <v>0</v>
      </c>
      <c r="AL153" s="42">
        <f t="shared" ref="AL153:BQ153" si="119">AL150-AL151-AL152</f>
        <v>0</v>
      </c>
      <c r="AM153" s="42">
        <f t="shared" si="119"/>
        <v>0</v>
      </c>
      <c r="AN153" s="42">
        <f t="shared" si="119"/>
        <v>0</v>
      </c>
      <c r="AO153" s="42">
        <f t="shared" si="119"/>
        <v>0</v>
      </c>
      <c r="AP153" s="42">
        <f t="shared" si="119"/>
        <v>0</v>
      </c>
      <c r="AQ153" s="42">
        <f t="shared" si="119"/>
        <v>0</v>
      </c>
      <c r="AR153" s="42">
        <f t="shared" si="119"/>
        <v>0</v>
      </c>
      <c r="AS153" s="42">
        <f t="shared" si="119"/>
        <v>0</v>
      </c>
      <c r="AT153" s="42">
        <f t="shared" si="119"/>
        <v>0</v>
      </c>
      <c r="AU153" s="42">
        <f t="shared" si="119"/>
        <v>0</v>
      </c>
      <c r="AV153" s="42">
        <f t="shared" si="119"/>
        <v>0</v>
      </c>
      <c r="AW153" s="42">
        <f t="shared" si="119"/>
        <v>0</v>
      </c>
      <c r="AX153" s="42">
        <f t="shared" si="119"/>
        <v>0</v>
      </c>
      <c r="AY153" s="42">
        <f t="shared" si="119"/>
        <v>0</v>
      </c>
      <c r="AZ153" s="42">
        <f t="shared" si="119"/>
        <v>0</v>
      </c>
      <c r="BA153" s="42">
        <f t="shared" si="119"/>
        <v>0</v>
      </c>
      <c r="BB153" s="42">
        <f t="shared" si="119"/>
        <v>0</v>
      </c>
      <c r="BC153" s="42">
        <f t="shared" si="119"/>
        <v>0</v>
      </c>
      <c r="BD153" s="42">
        <f t="shared" si="119"/>
        <v>0</v>
      </c>
      <c r="BE153" s="42">
        <f t="shared" si="119"/>
        <v>0</v>
      </c>
      <c r="BF153" s="42">
        <f t="shared" si="119"/>
        <v>0</v>
      </c>
      <c r="BG153" s="42">
        <f t="shared" si="119"/>
        <v>0</v>
      </c>
      <c r="BH153" s="42">
        <f t="shared" si="119"/>
        <v>0</v>
      </c>
      <c r="BI153" s="42">
        <f t="shared" si="119"/>
        <v>0</v>
      </c>
      <c r="BJ153" s="42">
        <f t="shared" si="119"/>
        <v>0</v>
      </c>
      <c r="BK153" s="42">
        <f t="shared" si="119"/>
        <v>0</v>
      </c>
      <c r="BL153" s="42">
        <f t="shared" si="119"/>
        <v>0</v>
      </c>
      <c r="BM153" s="42">
        <f t="shared" si="119"/>
        <v>0</v>
      </c>
    </row>
    <row r="154" spans="2:65" x14ac:dyDescent="0.45">
      <c r="B154" s="25" t="s">
        <v>237</v>
      </c>
      <c r="C154" s="26" t="s">
        <v>170</v>
      </c>
      <c r="D154" s="42">
        <f>New_2*NetCapex</f>
        <v>527.76672118649878</v>
      </c>
      <c r="E154" s="28"/>
      <c r="F154" s="26" t="s">
        <v>238</v>
      </c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</row>
    <row r="155" spans="2:65" x14ac:dyDescent="0.45">
      <c r="B155" s="25" t="s">
        <v>239</v>
      </c>
      <c r="C155" s="26" t="s">
        <v>170</v>
      </c>
      <c r="D155" s="42">
        <f>PressFixed*SUMPRODUCT(F146:BM146,F26:BM26)</f>
        <v>350.22186318673829</v>
      </c>
      <c r="E155" s="28"/>
      <c r="F155" s="26" t="s">
        <v>240</v>
      </c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</row>
    <row r="156" spans="2:65" x14ac:dyDescent="0.45">
      <c r="B156" s="25" t="s">
        <v>241</v>
      </c>
      <c r="C156" s="26" t="s">
        <v>170</v>
      </c>
      <c r="D156" s="42">
        <f>OTCost*SUMPRODUCT(F151:BM151,F26:BM26)</f>
        <v>5.3998071953967752</v>
      </c>
      <c r="E156" s="28"/>
      <c r="F156" s="26" t="s">
        <v>242</v>
      </c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</row>
    <row r="157" spans="2:65" x14ac:dyDescent="0.45">
      <c r="B157" s="25" t="s">
        <v>243</v>
      </c>
      <c r="C157" s="26" t="s">
        <v>170</v>
      </c>
      <c r="D157" s="42">
        <f>SubCost*SUMPRODUCT(F152:BM152,F26:BM26)</f>
        <v>3.3500190222569053</v>
      </c>
      <c r="E157" s="28"/>
      <c r="F157" s="26" t="s">
        <v>244</v>
      </c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</row>
    <row r="158" spans="2:65" x14ac:dyDescent="0.45">
      <c r="B158" s="25" t="s">
        <v>245</v>
      </c>
      <c r="C158" s="26" t="s">
        <v>170</v>
      </c>
      <c r="D158" s="42">
        <f>LostCost*SUMPRODUCT(F153:BM153,F26:BM26)</f>
        <v>0</v>
      </c>
      <c r="E158" s="28"/>
      <c r="F158" s="26" t="s">
        <v>246</v>
      </c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</row>
    <row r="159" spans="2:65" x14ac:dyDescent="0.45">
      <c r="B159" s="59" t="s">
        <v>63</v>
      </c>
      <c r="C159" s="26" t="s">
        <v>170</v>
      </c>
      <c r="D159" s="58">
        <f>SUM(D154:D158)</f>
        <v>886.73841059089068</v>
      </c>
      <c r="E159" s="28"/>
      <c r="F159" s="26" t="s">
        <v>247</v>
      </c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</row>
    <row r="160" spans="2:65" ht="8" customHeight="1" x14ac:dyDescent="0.45"/>
    <row r="161" spans="2:65" x14ac:dyDescent="0.45">
      <c r="B161" s="60" t="s">
        <v>259</v>
      </c>
    </row>
    <row r="162" spans="2:65" x14ac:dyDescent="0.45">
      <c r="B162" s="25" t="s">
        <v>229</v>
      </c>
      <c r="C162" s="26" t="s">
        <v>143</v>
      </c>
      <c r="D162" s="28"/>
      <c r="E162" s="28"/>
      <c r="F162" s="52">
        <f t="shared" ref="F162:AK162" si="120">IF(F$6&gt;LeadPlan,New_3,0)</f>
        <v>0</v>
      </c>
      <c r="G162" s="52">
        <f t="shared" si="120"/>
        <v>0</v>
      </c>
      <c r="H162" s="52">
        <f t="shared" si="120"/>
        <v>0</v>
      </c>
      <c r="I162" s="52">
        <f t="shared" si="120"/>
        <v>0</v>
      </c>
      <c r="J162" s="52">
        <f t="shared" si="120"/>
        <v>0</v>
      </c>
      <c r="K162" s="52">
        <f t="shared" si="120"/>
        <v>0</v>
      </c>
      <c r="L162" s="52">
        <f t="shared" si="120"/>
        <v>3</v>
      </c>
      <c r="M162" s="52">
        <f t="shared" si="120"/>
        <v>3</v>
      </c>
      <c r="N162" s="52">
        <f t="shared" si="120"/>
        <v>3</v>
      </c>
      <c r="O162" s="52">
        <f t="shared" si="120"/>
        <v>3</v>
      </c>
      <c r="P162" s="52">
        <f t="shared" si="120"/>
        <v>3</v>
      </c>
      <c r="Q162" s="52">
        <f t="shared" si="120"/>
        <v>3</v>
      </c>
      <c r="R162" s="52">
        <f t="shared" si="120"/>
        <v>3</v>
      </c>
      <c r="S162" s="52">
        <f t="shared" si="120"/>
        <v>3</v>
      </c>
      <c r="T162" s="52">
        <f t="shared" si="120"/>
        <v>3</v>
      </c>
      <c r="U162" s="52">
        <f t="shared" si="120"/>
        <v>3</v>
      </c>
      <c r="V162" s="52">
        <f t="shared" si="120"/>
        <v>3</v>
      </c>
      <c r="W162" s="52">
        <f t="shared" si="120"/>
        <v>3</v>
      </c>
      <c r="X162" s="52">
        <f t="shared" si="120"/>
        <v>3</v>
      </c>
      <c r="Y162" s="52">
        <f t="shared" si="120"/>
        <v>3</v>
      </c>
      <c r="Z162" s="52">
        <f t="shared" si="120"/>
        <v>3</v>
      </c>
      <c r="AA162" s="52">
        <f t="shared" si="120"/>
        <v>3</v>
      </c>
      <c r="AB162" s="52">
        <f t="shared" si="120"/>
        <v>3</v>
      </c>
      <c r="AC162" s="52">
        <f t="shared" si="120"/>
        <v>3</v>
      </c>
      <c r="AD162" s="52">
        <f t="shared" si="120"/>
        <v>3</v>
      </c>
      <c r="AE162" s="52">
        <f t="shared" si="120"/>
        <v>3</v>
      </c>
      <c r="AF162" s="52">
        <f t="shared" si="120"/>
        <v>3</v>
      </c>
      <c r="AG162" s="52">
        <f t="shared" si="120"/>
        <v>3</v>
      </c>
      <c r="AH162" s="52">
        <f t="shared" si="120"/>
        <v>3</v>
      </c>
      <c r="AI162" s="52">
        <f t="shared" si="120"/>
        <v>3</v>
      </c>
      <c r="AJ162" s="52">
        <f t="shared" si="120"/>
        <v>3</v>
      </c>
      <c r="AK162" s="52">
        <f t="shared" si="120"/>
        <v>3</v>
      </c>
      <c r="AL162" s="52">
        <f t="shared" ref="AL162:BM162" si="121">IF(AL$6&gt;LeadPlan,New_3,0)</f>
        <v>3</v>
      </c>
      <c r="AM162" s="52">
        <f t="shared" si="121"/>
        <v>3</v>
      </c>
      <c r="AN162" s="52">
        <f t="shared" si="121"/>
        <v>3</v>
      </c>
      <c r="AO162" s="52">
        <f t="shared" si="121"/>
        <v>3</v>
      </c>
      <c r="AP162" s="52">
        <f t="shared" si="121"/>
        <v>3</v>
      </c>
      <c r="AQ162" s="52">
        <f t="shared" si="121"/>
        <v>3</v>
      </c>
      <c r="AR162" s="52">
        <f t="shared" si="121"/>
        <v>3</v>
      </c>
      <c r="AS162" s="52">
        <f t="shared" si="121"/>
        <v>3</v>
      </c>
      <c r="AT162" s="52">
        <f t="shared" si="121"/>
        <v>3</v>
      </c>
      <c r="AU162" s="52">
        <f t="shared" si="121"/>
        <v>3</v>
      </c>
      <c r="AV162" s="52">
        <f t="shared" si="121"/>
        <v>3</v>
      </c>
      <c r="AW162" s="52">
        <f t="shared" si="121"/>
        <v>3</v>
      </c>
      <c r="AX162" s="52">
        <f t="shared" si="121"/>
        <v>3</v>
      </c>
      <c r="AY162" s="52">
        <f t="shared" si="121"/>
        <v>3</v>
      </c>
      <c r="AZ162" s="52">
        <f t="shared" si="121"/>
        <v>3</v>
      </c>
      <c r="BA162" s="52">
        <f t="shared" si="121"/>
        <v>3</v>
      </c>
      <c r="BB162" s="52">
        <f t="shared" si="121"/>
        <v>3</v>
      </c>
      <c r="BC162" s="52">
        <f t="shared" si="121"/>
        <v>3</v>
      </c>
      <c r="BD162" s="52">
        <f t="shared" si="121"/>
        <v>3</v>
      </c>
      <c r="BE162" s="52">
        <f t="shared" si="121"/>
        <v>3</v>
      </c>
      <c r="BF162" s="52">
        <f t="shared" si="121"/>
        <v>3</v>
      </c>
      <c r="BG162" s="52">
        <f t="shared" si="121"/>
        <v>3</v>
      </c>
      <c r="BH162" s="52">
        <f t="shared" si="121"/>
        <v>3</v>
      </c>
      <c r="BI162" s="52">
        <f t="shared" si="121"/>
        <v>3</v>
      </c>
      <c r="BJ162" s="52">
        <f t="shared" si="121"/>
        <v>3</v>
      </c>
      <c r="BK162" s="52">
        <f t="shared" si="121"/>
        <v>3</v>
      </c>
      <c r="BL162" s="52">
        <f t="shared" si="121"/>
        <v>3</v>
      </c>
      <c r="BM162" s="52">
        <f t="shared" si="121"/>
        <v>3</v>
      </c>
    </row>
    <row r="163" spans="2:65" x14ac:dyDescent="0.45">
      <c r="B163" s="25" t="s">
        <v>230</v>
      </c>
      <c r="C163" s="26" t="s">
        <v>143</v>
      </c>
      <c r="D163" s="28"/>
      <c r="E163" s="28"/>
      <c r="F163" s="52">
        <f t="shared" ref="F163:AK163" si="122">Presses+F162</f>
        <v>4</v>
      </c>
      <c r="G163" s="52">
        <f t="shared" si="122"/>
        <v>4</v>
      </c>
      <c r="H163" s="52">
        <f t="shared" si="122"/>
        <v>4</v>
      </c>
      <c r="I163" s="52">
        <f t="shared" si="122"/>
        <v>4</v>
      </c>
      <c r="J163" s="52">
        <f t="shared" si="122"/>
        <v>4</v>
      </c>
      <c r="K163" s="52">
        <f t="shared" si="122"/>
        <v>4</v>
      </c>
      <c r="L163" s="52">
        <f t="shared" si="122"/>
        <v>7</v>
      </c>
      <c r="M163" s="52">
        <f t="shared" si="122"/>
        <v>7</v>
      </c>
      <c r="N163" s="52">
        <f t="shared" si="122"/>
        <v>7</v>
      </c>
      <c r="O163" s="52">
        <f t="shared" si="122"/>
        <v>7</v>
      </c>
      <c r="P163" s="52">
        <f t="shared" si="122"/>
        <v>7</v>
      </c>
      <c r="Q163" s="52">
        <f t="shared" si="122"/>
        <v>7</v>
      </c>
      <c r="R163" s="52">
        <f t="shared" si="122"/>
        <v>7</v>
      </c>
      <c r="S163" s="52">
        <f t="shared" si="122"/>
        <v>7</v>
      </c>
      <c r="T163" s="52">
        <f t="shared" si="122"/>
        <v>7</v>
      </c>
      <c r="U163" s="52">
        <f t="shared" si="122"/>
        <v>7</v>
      </c>
      <c r="V163" s="52">
        <f t="shared" si="122"/>
        <v>7</v>
      </c>
      <c r="W163" s="52">
        <f t="shared" si="122"/>
        <v>7</v>
      </c>
      <c r="X163" s="52">
        <f t="shared" si="122"/>
        <v>7</v>
      </c>
      <c r="Y163" s="52">
        <f t="shared" si="122"/>
        <v>7</v>
      </c>
      <c r="Z163" s="52">
        <f t="shared" si="122"/>
        <v>7</v>
      </c>
      <c r="AA163" s="52">
        <f t="shared" si="122"/>
        <v>7</v>
      </c>
      <c r="AB163" s="52">
        <f t="shared" si="122"/>
        <v>7</v>
      </c>
      <c r="AC163" s="52">
        <f t="shared" si="122"/>
        <v>7</v>
      </c>
      <c r="AD163" s="52">
        <f t="shared" si="122"/>
        <v>7</v>
      </c>
      <c r="AE163" s="52">
        <f t="shared" si="122"/>
        <v>7</v>
      </c>
      <c r="AF163" s="52">
        <f t="shared" si="122"/>
        <v>7</v>
      </c>
      <c r="AG163" s="52">
        <f t="shared" si="122"/>
        <v>7</v>
      </c>
      <c r="AH163" s="52">
        <f t="shared" si="122"/>
        <v>7</v>
      </c>
      <c r="AI163" s="52">
        <f t="shared" si="122"/>
        <v>7</v>
      </c>
      <c r="AJ163" s="52">
        <f t="shared" si="122"/>
        <v>7</v>
      </c>
      <c r="AK163" s="52">
        <f t="shared" si="122"/>
        <v>7</v>
      </c>
      <c r="AL163" s="52">
        <f t="shared" ref="AL163:BQ163" si="123">Presses+AL162</f>
        <v>7</v>
      </c>
      <c r="AM163" s="52">
        <f t="shared" si="123"/>
        <v>7</v>
      </c>
      <c r="AN163" s="52">
        <f t="shared" si="123"/>
        <v>7</v>
      </c>
      <c r="AO163" s="52">
        <f t="shared" si="123"/>
        <v>7</v>
      </c>
      <c r="AP163" s="52">
        <f t="shared" si="123"/>
        <v>7</v>
      </c>
      <c r="AQ163" s="52">
        <f t="shared" si="123"/>
        <v>7</v>
      </c>
      <c r="AR163" s="52">
        <f t="shared" si="123"/>
        <v>7</v>
      </c>
      <c r="AS163" s="52">
        <f t="shared" si="123"/>
        <v>7</v>
      </c>
      <c r="AT163" s="52">
        <f t="shared" si="123"/>
        <v>7</v>
      </c>
      <c r="AU163" s="52">
        <f t="shared" si="123"/>
        <v>7</v>
      </c>
      <c r="AV163" s="52">
        <f t="shared" si="123"/>
        <v>7</v>
      </c>
      <c r="AW163" s="52">
        <f t="shared" si="123"/>
        <v>7</v>
      </c>
      <c r="AX163" s="52">
        <f t="shared" si="123"/>
        <v>7</v>
      </c>
      <c r="AY163" s="52">
        <f t="shared" si="123"/>
        <v>7</v>
      </c>
      <c r="AZ163" s="52">
        <f t="shared" si="123"/>
        <v>7</v>
      </c>
      <c r="BA163" s="52">
        <f t="shared" si="123"/>
        <v>7</v>
      </c>
      <c r="BB163" s="52">
        <f t="shared" si="123"/>
        <v>7</v>
      </c>
      <c r="BC163" s="52">
        <f t="shared" si="123"/>
        <v>7</v>
      </c>
      <c r="BD163" s="52">
        <f t="shared" si="123"/>
        <v>7</v>
      </c>
      <c r="BE163" s="52">
        <f t="shared" si="123"/>
        <v>7</v>
      </c>
      <c r="BF163" s="52">
        <f t="shared" si="123"/>
        <v>7</v>
      </c>
      <c r="BG163" s="52">
        <f t="shared" si="123"/>
        <v>7</v>
      </c>
      <c r="BH163" s="52">
        <f t="shared" si="123"/>
        <v>7</v>
      </c>
      <c r="BI163" s="52">
        <f t="shared" si="123"/>
        <v>7</v>
      </c>
      <c r="BJ163" s="52">
        <f t="shared" si="123"/>
        <v>7</v>
      </c>
      <c r="BK163" s="52">
        <f t="shared" si="123"/>
        <v>7</v>
      </c>
      <c r="BL163" s="52">
        <f t="shared" si="123"/>
        <v>7</v>
      </c>
      <c r="BM163" s="52">
        <f t="shared" si="123"/>
        <v>7</v>
      </c>
    </row>
    <row r="164" spans="2:65" x14ac:dyDescent="0.45">
      <c r="B164" s="25" t="s">
        <v>231</v>
      </c>
      <c r="C164" s="26" t="s">
        <v>201</v>
      </c>
      <c r="D164" s="28"/>
      <c r="E164" s="28"/>
      <c r="F164" s="42">
        <f t="shared" ref="F164:AK164" si="124">F163*PressRate*PlantOEE_ML</f>
        <v>80</v>
      </c>
      <c r="G164" s="42">
        <f t="shared" si="124"/>
        <v>80</v>
      </c>
      <c r="H164" s="42">
        <f t="shared" si="124"/>
        <v>80</v>
      </c>
      <c r="I164" s="42">
        <f t="shared" si="124"/>
        <v>80</v>
      </c>
      <c r="J164" s="42">
        <f t="shared" si="124"/>
        <v>80</v>
      </c>
      <c r="K164" s="42">
        <f t="shared" si="124"/>
        <v>80</v>
      </c>
      <c r="L164" s="42">
        <f t="shared" si="124"/>
        <v>140</v>
      </c>
      <c r="M164" s="42">
        <f t="shared" si="124"/>
        <v>140</v>
      </c>
      <c r="N164" s="42">
        <f t="shared" si="124"/>
        <v>140</v>
      </c>
      <c r="O164" s="42">
        <f t="shared" si="124"/>
        <v>140</v>
      </c>
      <c r="P164" s="42">
        <f t="shared" si="124"/>
        <v>140</v>
      </c>
      <c r="Q164" s="42">
        <f t="shared" si="124"/>
        <v>140</v>
      </c>
      <c r="R164" s="42">
        <f t="shared" si="124"/>
        <v>140</v>
      </c>
      <c r="S164" s="42">
        <f t="shared" si="124"/>
        <v>140</v>
      </c>
      <c r="T164" s="42">
        <f t="shared" si="124"/>
        <v>140</v>
      </c>
      <c r="U164" s="42">
        <f t="shared" si="124"/>
        <v>140</v>
      </c>
      <c r="V164" s="42">
        <f t="shared" si="124"/>
        <v>140</v>
      </c>
      <c r="W164" s="42">
        <f t="shared" si="124"/>
        <v>140</v>
      </c>
      <c r="X164" s="42">
        <f t="shared" si="124"/>
        <v>140</v>
      </c>
      <c r="Y164" s="42">
        <f t="shared" si="124"/>
        <v>140</v>
      </c>
      <c r="Z164" s="42">
        <f t="shared" si="124"/>
        <v>140</v>
      </c>
      <c r="AA164" s="42">
        <f t="shared" si="124"/>
        <v>140</v>
      </c>
      <c r="AB164" s="42">
        <f t="shared" si="124"/>
        <v>140</v>
      </c>
      <c r="AC164" s="42">
        <f t="shared" si="124"/>
        <v>140</v>
      </c>
      <c r="AD164" s="42">
        <f t="shared" si="124"/>
        <v>140</v>
      </c>
      <c r="AE164" s="42">
        <f t="shared" si="124"/>
        <v>140</v>
      </c>
      <c r="AF164" s="42">
        <f t="shared" si="124"/>
        <v>140</v>
      </c>
      <c r="AG164" s="42">
        <f t="shared" si="124"/>
        <v>140</v>
      </c>
      <c r="AH164" s="42">
        <f t="shared" si="124"/>
        <v>140</v>
      </c>
      <c r="AI164" s="42">
        <f t="shared" si="124"/>
        <v>140</v>
      </c>
      <c r="AJ164" s="42">
        <f t="shared" si="124"/>
        <v>140</v>
      </c>
      <c r="AK164" s="42">
        <f t="shared" si="124"/>
        <v>140</v>
      </c>
      <c r="AL164" s="42">
        <f t="shared" ref="AL164:BQ164" si="125">AL163*PressRate*PlantOEE_ML</f>
        <v>140</v>
      </c>
      <c r="AM164" s="42">
        <f t="shared" si="125"/>
        <v>140</v>
      </c>
      <c r="AN164" s="42">
        <f t="shared" si="125"/>
        <v>140</v>
      </c>
      <c r="AO164" s="42">
        <f t="shared" si="125"/>
        <v>140</v>
      </c>
      <c r="AP164" s="42">
        <f t="shared" si="125"/>
        <v>140</v>
      </c>
      <c r="AQ164" s="42">
        <f t="shared" si="125"/>
        <v>140</v>
      </c>
      <c r="AR164" s="42">
        <f t="shared" si="125"/>
        <v>140</v>
      </c>
      <c r="AS164" s="42">
        <f t="shared" si="125"/>
        <v>140</v>
      </c>
      <c r="AT164" s="42">
        <f t="shared" si="125"/>
        <v>140</v>
      </c>
      <c r="AU164" s="42">
        <f t="shared" si="125"/>
        <v>140</v>
      </c>
      <c r="AV164" s="42">
        <f t="shared" si="125"/>
        <v>140</v>
      </c>
      <c r="AW164" s="42">
        <f t="shared" si="125"/>
        <v>140</v>
      </c>
      <c r="AX164" s="42">
        <f t="shared" si="125"/>
        <v>140</v>
      </c>
      <c r="AY164" s="42">
        <f t="shared" si="125"/>
        <v>140</v>
      </c>
      <c r="AZ164" s="42">
        <f t="shared" si="125"/>
        <v>140</v>
      </c>
      <c r="BA164" s="42">
        <f t="shared" si="125"/>
        <v>140</v>
      </c>
      <c r="BB164" s="42">
        <f t="shared" si="125"/>
        <v>140</v>
      </c>
      <c r="BC164" s="42">
        <f t="shared" si="125"/>
        <v>140</v>
      </c>
      <c r="BD164" s="42">
        <f t="shared" si="125"/>
        <v>140</v>
      </c>
      <c r="BE164" s="42">
        <f t="shared" si="125"/>
        <v>140</v>
      </c>
      <c r="BF164" s="42">
        <f t="shared" si="125"/>
        <v>140</v>
      </c>
      <c r="BG164" s="42">
        <f t="shared" si="125"/>
        <v>140</v>
      </c>
      <c r="BH164" s="42">
        <f t="shared" si="125"/>
        <v>140</v>
      </c>
      <c r="BI164" s="42">
        <f t="shared" si="125"/>
        <v>140</v>
      </c>
      <c r="BJ164" s="42">
        <f t="shared" si="125"/>
        <v>140</v>
      </c>
      <c r="BK164" s="42">
        <f t="shared" si="125"/>
        <v>140</v>
      </c>
      <c r="BL164" s="42">
        <f t="shared" si="125"/>
        <v>140</v>
      </c>
      <c r="BM164" s="42">
        <f t="shared" si="125"/>
        <v>140</v>
      </c>
    </row>
    <row r="165" spans="2:65" x14ac:dyDescent="0.45">
      <c r="B165" s="25" t="s">
        <v>232</v>
      </c>
      <c r="C165" s="26" t="s">
        <v>201</v>
      </c>
      <c r="D165" s="58">
        <f>SUM(F165:BM165)</f>
        <v>5423.9902328488915</v>
      </c>
      <c r="E165" s="28"/>
      <c r="F165" s="42">
        <f t="shared" ref="F165:AK165" si="126">MIN(F24,F164)</f>
        <v>66.622718602482252</v>
      </c>
      <c r="G165" s="42">
        <f t="shared" si="126"/>
        <v>69.30984363245976</v>
      </c>
      <c r="H165" s="42">
        <f t="shared" si="126"/>
        <v>77.561668801132313</v>
      </c>
      <c r="I165" s="42">
        <f t="shared" si="126"/>
        <v>80</v>
      </c>
      <c r="J165" s="42">
        <f t="shared" si="126"/>
        <v>80</v>
      </c>
      <c r="K165" s="42">
        <f t="shared" si="126"/>
        <v>80</v>
      </c>
      <c r="L165" s="42">
        <f t="shared" si="126"/>
        <v>90.380425186399648</v>
      </c>
      <c r="M165" s="42">
        <f t="shared" si="126"/>
        <v>85.144084196354669</v>
      </c>
      <c r="N165" s="42">
        <f t="shared" si="126"/>
        <v>83.113997979191112</v>
      </c>
      <c r="O165" s="42">
        <f t="shared" si="126"/>
        <v>80.243321936962516</v>
      </c>
      <c r="P165" s="42">
        <f t="shared" si="126"/>
        <v>78.165525352878248</v>
      </c>
      <c r="Q165" s="42">
        <f t="shared" si="126"/>
        <v>72.758400000000009</v>
      </c>
      <c r="R165" s="42">
        <f t="shared" si="126"/>
        <v>70.620081718631184</v>
      </c>
      <c r="S165" s="42">
        <f t="shared" si="126"/>
        <v>73.468434250407341</v>
      </c>
      <c r="T165" s="42">
        <f t="shared" si="126"/>
        <v>82.215368929200253</v>
      </c>
      <c r="U165" s="42">
        <f t="shared" si="126"/>
        <v>87.673651684183611</v>
      </c>
      <c r="V165" s="42">
        <f t="shared" si="126"/>
        <v>93.183123441062605</v>
      </c>
      <c r="W165" s="42">
        <f t="shared" si="126"/>
        <v>97.892910506532601</v>
      </c>
      <c r="X165" s="42">
        <f t="shared" si="126"/>
        <v>95.803250697583636</v>
      </c>
      <c r="Y165" s="42">
        <f t="shared" si="126"/>
        <v>90.252729248135935</v>
      </c>
      <c r="Z165" s="42">
        <f t="shared" si="126"/>
        <v>88.100837857942565</v>
      </c>
      <c r="AA165" s="42">
        <f t="shared" si="126"/>
        <v>85.057921253180282</v>
      </c>
      <c r="AB165" s="42">
        <f t="shared" si="126"/>
        <v>82.855456874050958</v>
      </c>
      <c r="AC165" s="42">
        <f t="shared" si="126"/>
        <v>77.12390400000001</v>
      </c>
      <c r="AD165" s="42">
        <f t="shared" si="126"/>
        <v>74.85728662174904</v>
      </c>
      <c r="AE165" s="42">
        <f t="shared" si="126"/>
        <v>77.876540305431789</v>
      </c>
      <c r="AF165" s="42">
        <f t="shared" si="126"/>
        <v>87.148291064952275</v>
      </c>
      <c r="AG165" s="42">
        <f t="shared" si="126"/>
        <v>92.934070785234624</v>
      </c>
      <c r="AH165" s="42">
        <f t="shared" si="126"/>
        <v>98.774110847526373</v>
      </c>
      <c r="AI165" s="42">
        <f t="shared" si="126"/>
        <v>103.76648513692456</v>
      </c>
      <c r="AJ165" s="42">
        <f t="shared" si="126"/>
        <v>101.55144573943865</v>
      </c>
      <c r="AK165" s="42">
        <f t="shared" si="126"/>
        <v>95.667893003024119</v>
      </c>
      <c r="AL165" s="42">
        <f t="shared" ref="AL165:BQ165" si="127">MIN(AL24,AL164)</f>
        <v>93.386888129419134</v>
      </c>
      <c r="AM165" s="42">
        <f t="shared" si="127"/>
        <v>90.1613965283711</v>
      </c>
      <c r="AN165" s="42">
        <f t="shared" si="127"/>
        <v>87.826784286494018</v>
      </c>
      <c r="AO165" s="42">
        <f t="shared" si="127"/>
        <v>81.751338240000024</v>
      </c>
      <c r="AP165" s="42">
        <f t="shared" si="127"/>
        <v>79.348723819054001</v>
      </c>
      <c r="AQ165" s="42">
        <f t="shared" si="127"/>
        <v>82.549132723757694</v>
      </c>
      <c r="AR165" s="42">
        <f t="shared" si="127"/>
        <v>92.377188528849416</v>
      </c>
      <c r="AS165" s="42">
        <f t="shared" si="127"/>
        <v>98.510115032348708</v>
      </c>
      <c r="AT165" s="42">
        <f t="shared" si="127"/>
        <v>104.70055749837795</v>
      </c>
      <c r="AU165" s="42">
        <f t="shared" si="127"/>
        <v>109.99247424514003</v>
      </c>
      <c r="AV165" s="42">
        <f t="shared" si="127"/>
        <v>107.64453248380499</v>
      </c>
      <c r="AW165" s="42">
        <f t="shared" si="127"/>
        <v>101.40796658320556</v>
      </c>
      <c r="AX165" s="42">
        <f t="shared" si="127"/>
        <v>98.990101417184292</v>
      </c>
      <c r="AY165" s="42">
        <f t="shared" si="127"/>
        <v>95.571080320073378</v>
      </c>
      <c r="AZ165" s="42">
        <f t="shared" si="127"/>
        <v>93.096391343683663</v>
      </c>
      <c r="BA165" s="42">
        <f t="shared" si="127"/>
        <v>86.656418534400032</v>
      </c>
      <c r="BB165" s="42">
        <f t="shared" si="127"/>
        <v>84.109647248197248</v>
      </c>
      <c r="BC165" s="42">
        <f t="shared" si="127"/>
        <v>87.502080687183181</v>
      </c>
      <c r="BD165" s="42">
        <f t="shared" si="127"/>
        <v>97.919819840580402</v>
      </c>
      <c r="BE165" s="42">
        <f t="shared" si="127"/>
        <v>104.42072193428965</v>
      </c>
      <c r="BF165" s="42">
        <f t="shared" si="127"/>
        <v>110.98259094828063</v>
      </c>
      <c r="BG165" s="42">
        <f t="shared" si="127"/>
        <v>116.59202269984844</v>
      </c>
      <c r="BH165" s="42">
        <f t="shared" si="127"/>
        <v>114.10320443283328</v>
      </c>
      <c r="BI165" s="42">
        <f t="shared" si="127"/>
        <v>107.49244457819792</v>
      </c>
      <c r="BJ165" s="42">
        <f t="shared" si="127"/>
        <v>104.92950750221534</v>
      </c>
      <c r="BK165" s="42">
        <f t="shared" si="127"/>
        <v>101.30534513927778</v>
      </c>
      <c r="BL165" s="42">
        <f t="shared" si="127"/>
        <v>98.68217482430471</v>
      </c>
      <c r="BM165" s="42">
        <f t="shared" si="127"/>
        <v>91.85580364646404</v>
      </c>
    </row>
    <row r="166" spans="2:65" x14ac:dyDescent="0.45">
      <c r="B166" s="25" t="s">
        <v>233</v>
      </c>
      <c r="C166" s="26" t="s">
        <v>201</v>
      </c>
      <c r="D166" s="58">
        <f>SUM(F166:BM166)</f>
        <v>22.971401539413947</v>
      </c>
      <c r="E166" s="28"/>
      <c r="F166" s="42">
        <f t="shared" ref="F166:AK166" si="128">F24-F165</f>
        <v>0</v>
      </c>
      <c r="G166" s="42">
        <f t="shared" si="128"/>
        <v>0</v>
      </c>
      <c r="H166" s="42">
        <f t="shared" si="128"/>
        <v>0</v>
      </c>
      <c r="I166" s="42">
        <f t="shared" si="128"/>
        <v>2.7109921548901781</v>
      </c>
      <c r="J166" s="42">
        <f t="shared" si="128"/>
        <v>7.9086070198703879</v>
      </c>
      <c r="K166" s="42">
        <f t="shared" si="128"/>
        <v>12.351802364653381</v>
      </c>
      <c r="L166" s="42">
        <f t="shared" si="128"/>
        <v>0</v>
      </c>
      <c r="M166" s="42">
        <f t="shared" si="128"/>
        <v>0</v>
      </c>
      <c r="N166" s="42">
        <f t="shared" si="128"/>
        <v>0</v>
      </c>
      <c r="O166" s="42">
        <f t="shared" si="128"/>
        <v>0</v>
      </c>
      <c r="P166" s="42">
        <f t="shared" si="128"/>
        <v>0</v>
      </c>
      <c r="Q166" s="42">
        <f t="shared" si="128"/>
        <v>0</v>
      </c>
      <c r="R166" s="42">
        <f t="shared" si="128"/>
        <v>0</v>
      </c>
      <c r="S166" s="42">
        <f t="shared" si="128"/>
        <v>0</v>
      </c>
      <c r="T166" s="42">
        <f t="shared" si="128"/>
        <v>0</v>
      </c>
      <c r="U166" s="42">
        <f t="shared" si="128"/>
        <v>0</v>
      </c>
      <c r="V166" s="42">
        <f t="shared" si="128"/>
        <v>0</v>
      </c>
      <c r="W166" s="42">
        <f t="shared" si="128"/>
        <v>0</v>
      </c>
      <c r="X166" s="42">
        <f t="shared" si="128"/>
        <v>0</v>
      </c>
      <c r="Y166" s="42">
        <f t="shared" si="128"/>
        <v>0</v>
      </c>
      <c r="Z166" s="42">
        <f t="shared" si="128"/>
        <v>0</v>
      </c>
      <c r="AA166" s="42">
        <f t="shared" si="128"/>
        <v>0</v>
      </c>
      <c r="AB166" s="42">
        <f t="shared" si="128"/>
        <v>0</v>
      </c>
      <c r="AC166" s="42">
        <f t="shared" si="128"/>
        <v>0</v>
      </c>
      <c r="AD166" s="42">
        <f t="shared" si="128"/>
        <v>0</v>
      </c>
      <c r="AE166" s="42">
        <f t="shared" si="128"/>
        <v>0</v>
      </c>
      <c r="AF166" s="42">
        <f t="shared" si="128"/>
        <v>0</v>
      </c>
      <c r="AG166" s="42">
        <f t="shared" si="128"/>
        <v>0</v>
      </c>
      <c r="AH166" s="42">
        <f t="shared" si="128"/>
        <v>0</v>
      </c>
      <c r="AI166" s="42">
        <f t="shared" si="128"/>
        <v>0</v>
      </c>
      <c r="AJ166" s="42">
        <f t="shared" si="128"/>
        <v>0</v>
      </c>
      <c r="AK166" s="42">
        <f t="shared" si="128"/>
        <v>0</v>
      </c>
      <c r="AL166" s="42">
        <f t="shared" ref="AL166:BQ166" si="129">AL24-AL165</f>
        <v>0</v>
      </c>
      <c r="AM166" s="42">
        <f t="shared" si="129"/>
        <v>0</v>
      </c>
      <c r="AN166" s="42">
        <f t="shared" si="129"/>
        <v>0</v>
      </c>
      <c r="AO166" s="42">
        <f t="shared" si="129"/>
        <v>0</v>
      </c>
      <c r="AP166" s="42">
        <f t="shared" si="129"/>
        <v>0</v>
      </c>
      <c r="AQ166" s="42">
        <f t="shared" si="129"/>
        <v>0</v>
      </c>
      <c r="AR166" s="42">
        <f t="shared" si="129"/>
        <v>0</v>
      </c>
      <c r="AS166" s="42">
        <f t="shared" si="129"/>
        <v>0</v>
      </c>
      <c r="AT166" s="42">
        <f t="shared" si="129"/>
        <v>0</v>
      </c>
      <c r="AU166" s="42">
        <f t="shared" si="129"/>
        <v>0</v>
      </c>
      <c r="AV166" s="42">
        <f t="shared" si="129"/>
        <v>0</v>
      </c>
      <c r="AW166" s="42">
        <f t="shared" si="129"/>
        <v>0</v>
      </c>
      <c r="AX166" s="42">
        <f t="shared" si="129"/>
        <v>0</v>
      </c>
      <c r="AY166" s="42">
        <f t="shared" si="129"/>
        <v>0</v>
      </c>
      <c r="AZ166" s="42">
        <f t="shared" si="129"/>
        <v>0</v>
      </c>
      <c r="BA166" s="42">
        <f t="shared" si="129"/>
        <v>0</v>
      </c>
      <c r="BB166" s="42">
        <f t="shared" si="129"/>
        <v>0</v>
      </c>
      <c r="BC166" s="42">
        <f t="shared" si="129"/>
        <v>0</v>
      </c>
      <c r="BD166" s="42">
        <f t="shared" si="129"/>
        <v>0</v>
      </c>
      <c r="BE166" s="42">
        <f t="shared" si="129"/>
        <v>0</v>
      </c>
      <c r="BF166" s="42">
        <f t="shared" si="129"/>
        <v>0</v>
      </c>
      <c r="BG166" s="42">
        <f t="shared" si="129"/>
        <v>0</v>
      </c>
      <c r="BH166" s="42">
        <f t="shared" si="129"/>
        <v>0</v>
      </c>
      <c r="BI166" s="42">
        <f t="shared" si="129"/>
        <v>0</v>
      </c>
      <c r="BJ166" s="42">
        <f t="shared" si="129"/>
        <v>0</v>
      </c>
      <c r="BK166" s="42">
        <f t="shared" si="129"/>
        <v>0</v>
      </c>
      <c r="BL166" s="42">
        <f t="shared" si="129"/>
        <v>0</v>
      </c>
      <c r="BM166" s="42">
        <f t="shared" si="129"/>
        <v>0</v>
      </c>
    </row>
    <row r="167" spans="2:65" x14ac:dyDescent="0.45">
      <c r="B167" s="25" t="s">
        <v>234</v>
      </c>
      <c r="C167" s="26" t="s">
        <v>201</v>
      </c>
      <c r="D167" s="58">
        <f>SUM(F167:BM167)</f>
        <v>18.619599174760566</v>
      </c>
      <c r="E167" s="28"/>
      <c r="F167" s="42">
        <f t="shared" ref="F167:AK167" si="130">MIN(F166,OTMax*F164)</f>
        <v>0</v>
      </c>
      <c r="G167" s="42">
        <f t="shared" si="130"/>
        <v>0</v>
      </c>
      <c r="H167" s="42">
        <f t="shared" si="130"/>
        <v>0</v>
      </c>
      <c r="I167" s="42">
        <f t="shared" si="130"/>
        <v>2.7109921548901781</v>
      </c>
      <c r="J167" s="42">
        <f t="shared" si="130"/>
        <v>7.9086070198703879</v>
      </c>
      <c r="K167" s="42">
        <f t="shared" si="130"/>
        <v>8</v>
      </c>
      <c r="L167" s="42">
        <f t="shared" si="130"/>
        <v>0</v>
      </c>
      <c r="M167" s="42">
        <f t="shared" si="130"/>
        <v>0</v>
      </c>
      <c r="N167" s="42">
        <f t="shared" si="130"/>
        <v>0</v>
      </c>
      <c r="O167" s="42">
        <f t="shared" si="130"/>
        <v>0</v>
      </c>
      <c r="P167" s="42">
        <f t="shared" si="130"/>
        <v>0</v>
      </c>
      <c r="Q167" s="42">
        <f t="shared" si="130"/>
        <v>0</v>
      </c>
      <c r="R167" s="42">
        <f t="shared" si="130"/>
        <v>0</v>
      </c>
      <c r="S167" s="42">
        <f t="shared" si="130"/>
        <v>0</v>
      </c>
      <c r="T167" s="42">
        <f t="shared" si="130"/>
        <v>0</v>
      </c>
      <c r="U167" s="42">
        <f t="shared" si="130"/>
        <v>0</v>
      </c>
      <c r="V167" s="42">
        <f t="shared" si="130"/>
        <v>0</v>
      </c>
      <c r="W167" s="42">
        <f t="shared" si="130"/>
        <v>0</v>
      </c>
      <c r="X167" s="42">
        <f t="shared" si="130"/>
        <v>0</v>
      </c>
      <c r="Y167" s="42">
        <f t="shared" si="130"/>
        <v>0</v>
      </c>
      <c r="Z167" s="42">
        <f t="shared" si="130"/>
        <v>0</v>
      </c>
      <c r="AA167" s="42">
        <f t="shared" si="130"/>
        <v>0</v>
      </c>
      <c r="AB167" s="42">
        <f t="shared" si="130"/>
        <v>0</v>
      </c>
      <c r="AC167" s="42">
        <f t="shared" si="130"/>
        <v>0</v>
      </c>
      <c r="AD167" s="42">
        <f t="shared" si="130"/>
        <v>0</v>
      </c>
      <c r="AE167" s="42">
        <f t="shared" si="130"/>
        <v>0</v>
      </c>
      <c r="AF167" s="42">
        <f t="shared" si="130"/>
        <v>0</v>
      </c>
      <c r="AG167" s="42">
        <f t="shared" si="130"/>
        <v>0</v>
      </c>
      <c r="AH167" s="42">
        <f t="shared" si="130"/>
        <v>0</v>
      </c>
      <c r="AI167" s="42">
        <f t="shared" si="130"/>
        <v>0</v>
      </c>
      <c r="AJ167" s="42">
        <f t="shared" si="130"/>
        <v>0</v>
      </c>
      <c r="AK167" s="42">
        <f t="shared" si="130"/>
        <v>0</v>
      </c>
      <c r="AL167" s="42">
        <f t="shared" ref="AL167:BQ167" si="131">MIN(AL166,OTMax*AL164)</f>
        <v>0</v>
      </c>
      <c r="AM167" s="42">
        <f t="shared" si="131"/>
        <v>0</v>
      </c>
      <c r="AN167" s="42">
        <f t="shared" si="131"/>
        <v>0</v>
      </c>
      <c r="AO167" s="42">
        <f t="shared" si="131"/>
        <v>0</v>
      </c>
      <c r="AP167" s="42">
        <f t="shared" si="131"/>
        <v>0</v>
      </c>
      <c r="AQ167" s="42">
        <f t="shared" si="131"/>
        <v>0</v>
      </c>
      <c r="AR167" s="42">
        <f t="shared" si="131"/>
        <v>0</v>
      </c>
      <c r="AS167" s="42">
        <f t="shared" si="131"/>
        <v>0</v>
      </c>
      <c r="AT167" s="42">
        <f t="shared" si="131"/>
        <v>0</v>
      </c>
      <c r="AU167" s="42">
        <f t="shared" si="131"/>
        <v>0</v>
      </c>
      <c r="AV167" s="42">
        <f t="shared" si="131"/>
        <v>0</v>
      </c>
      <c r="AW167" s="42">
        <f t="shared" si="131"/>
        <v>0</v>
      </c>
      <c r="AX167" s="42">
        <f t="shared" si="131"/>
        <v>0</v>
      </c>
      <c r="AY167" s="42">
        <f t="shared" si="131"/>
        <v>0</v>
      </c>
      <c r="AZ167" s="42">
        <f t="shared" si="131"/>
        <v>0</v>
      </c>
      <c r="BA167" s="42">
        <f t="shared" si="131"/>
        <v>0</v>
      </c>
      <c r="BB167" s="42">
        <f t="shared" si="131"/>
        <v>0</v>
      </c>
      <c r="BC167" s="42">
        <f t="shared" si="131"/>
        <v>0</v>
      </c>
      <c r="BD167" s="42">
        <f t="shared" si="131"/>
        <v>0</v>
      </c>
      <c r="BE167" s="42">
        <f t="shared" si="131"/>
        <v>0</v>
      </c>
      <c r="BF167" s="42">
        <f t="shared" si="131"/>
        <v>0</v>
      </c>
      <c r="BG167" s="42">
        <f t="shared" si="131"/>
        <v>0</v>
      </c>
      <c r="BH167" s="42">
        <f t="shared" si="131"/>
        <v>0</v>
      </c>
      <c r="BI167" s="42">
        <f t="shared" si="131"/>
        <v>0</v>
      </c>
      <c r="BJ167" s="42">
        <f t="shared" si="131"/>
        <v>0</v>
      </c>
      <c r="BK167" s="42">
        <f t="shared" si="131"/>
        <v>0</v>
      </c>
      <c r="BL167" s="42">
        <f t="shared" si="131"/>
        <v>0</v>
      </c>
      <c r="BM167" s="42">
        <f t="shared" si="131"/>
        <v>0</v>
      </c>
    </row>
    <row r="168" spans="2:65" x14ac:dyDescent="0.45">
      <c r="B168" s="25" t="s">
        <v>235</v>
      </c>
      <c r="C168" s="26" t="s">
        <v>201</v>
      </c>
      <c r="D168" s="58">
        <f>SUM(F168:BM168)</f>
        <v>4.3518023646533806</v>
      </c>
      <c r="E168" s="28"/>
      <c r="F168" s="42">
        <f t="shared" ref="F168:AK168" si="132">MIN(F166-F167,SubMax)</f>
        <v>0</v>
      </c>
      <c r="G168" s="42">
        <f t="shared" si="132"/>
        <v>0</v>
      </c>
      <c r="H168" s="42">
        <f t="shared" si="132"/>
        <v>0</v>
      </c>
      <c r="I168" s="42">
        <f t="shared" si="132"/>
        <v>0</v>
      </c>
      <c r="J168" s="42">
        <f t="shared" si="132"/>
        <v>0</v>
      </c>
      <c r="K168" s="42">
        <f t="shared" si="132"/>
        <v>4.3518023646533806</v>
      </c>
      <c r="L168" s="42">
        <f t="shared" si="132"/>
        <v>0</v>
      </c>
      <c r="M168" s="42">
        <f t="shared" si="132"/>
        <v>0</v>
      </c>
      <c r="N168" s="42">
        <f t="shared" si="132"/>
        <v>0</v>
      </c>
      <c r="O168" s="42">
        <f t="shared" si="132"/>
        <v>0</v>
      </c>
      <c r="P168" s="42">
        <f t="shared" si="132"/>
        <v>0</v>
      </c>
      <c r="Q168" s="42">
        <f t="shared" si="132"/>
        <v>0</v>
      </c>
      <c r="R168" s="42">
        <f t="shared" si="132"/>
        <v>0</v>
      </c>
      <c r="S168" s="42">
        <f t="shared" si="132"/>
        <v>0</v>
      </c>
      <c r="T168" s="42">
        <f t="shared" si="132"/>
        <v>0</v>
      </c>
      <c r="U168" s="42">
        <f t="shared" si="132"/>
        <v>0</v>
      </c>
      <c r="V168" s="42">
        <f t="shared" si="132"/>
        <v>0</v>
      </c>
      <c r="W168" s="42">
        <f t="shared" si="132"/>
        <v>0</v>
      </c>
      <c r="X168" s="42">
        <f t="shared" si="132"/>
        <v>0</v>
      </c>
      <c r="Y168" s="42">
        <f t="shared" si="132"/>
        <v>0</v>
      </c>
      <c r="Z168" s="42">
        <f t="shared" si="132"/>
        <v>0</v>
      </c>
      <c r="AA168" s="42">
        <f t="shared" si="132"/>
        <v>0</v>
      </c>
      <c r="AB168" s="42">
        <f t="shared" si="132"/>
        <v>0</v>
      </c>
      <c r="AC168" s="42">
        <f t="shared" si="132"/>
        <v>0</v>
      </c>
      <c r="AD168" s="42">
        <f t="shared" si="132"/>
        <v>0</v>
      </c>
      <c r="AE168" s="42">
        <f t="shared" si="132"/>
        <v>0</v>
      </c>
      <c r="AF168" s="42">
        <f t="shared" si="132"/>
        <v>0</v>
      </c>
      <c r="AG168" s="42">
        <f t="shared" si="132"/>
        <v>0</v>
      </c>
      <c r="AH168" s="42">
        <f t="shared" si="132"/>
        <v>0</v>
      </c>
      <c r="AI168" s="42">
        <f t="shared" si="132"/>
        <v>0</v>
      </c>
      <c r="AJ168" s="42">
        <f t="shared" si="132"/>
        <v>0</v>
      </c>
      <c r="AK168" s="42">
        <f t="shared" si="132"/>
        <v>0</v>
      </c>
      <c r="AL168" s="42">
        <f t="shared" ref="AL168:BQ168" si="133">MIN(AL166-AL167,SubMax)</f>
        <v>0</v>
      </c>
      <c r="AM168" s="42">
        <f t="shared" si="133"/>
        <v>0</v>
      </c>
      <c r="AN168" s="42">
        <f t="shared" si="133"/>
        <v>0</v>
      </c>
      <c r="AO168" s="42">
        <f t="shared" si="133"/>
        <v>0</v>
      </c>
      <c r="AP168" s="42">
        <f t="shared" si="133"/>
        <v>0</v>
      </c>
      <c r="AQ168" s="42">
        <f t="shared" si="133"/>
        <v>0</v>
      </c>
      <c r="AR168" s="42">
        <f t="shared" si="133"/>
        <v>0</v>
      </c>
      <c r="AS168" s="42">
        <f t="shared" si="133"/>
        <v>0</v>
      </c>
      <c r="AT168" s="42">
        <f t="shared" si="133"/>
        <v>0</v>
      </c>
      <c r="AU168" s="42">
        <f t="shared" si="133"/>
        <v>0</v>
      </c>
      <c r="AV168" s="42">
        <f t="shared" si="133"/>
        <v>0</v>
      </c>
      <c r="AW168" s="42">
        <f t="shared" si="133"/>
        <v>0</v>
      </c>
      <c r="AX168" s="42">
        <f t="shared" si="133"/>
        <v>0</v>
      </c>
      <c r="AY168" s="42">
        <f t="shared" si="133"/>
        <v>0</v>
      </c>
      <c r="AZ168" s="42">
        <f t="shared" si="133"/>
        <v>0</v>
      </c>
      <c r="BA168" s="42">
        <f t="shared" si="133"/>
        <v>0</v>
      </c>
      <c r="BB168" s="42">
        <f t="shared" si="133"/>
        <v>0</v>
      </c>
      <c r="BC168" s="42">
        <f t="shared" si="133"/>
        <v>0</v>
      </c>
      <c r="BD168" s="42">
        <f t="shared" si="133"/>
        <v>0</v>
      </c>
      <c r="BE168" s="42">
        <f t="shared" si="133"/>
        <v>0</v>
      </c>
      <c r="BF168" s="42">
        <f t="shared" si="133"/>
        <v>0</v>
      </c>
      <c r="BG168" s="42">
        <f t="shared" si="133"/>
        <v>0</v>
      </c>
      <c r="BH168" s="42">
        <f t="shared" si="133"/>
        <v>0</v>
      </c>
      <c r="BI168" s="42">
        <f t="shared" si="133"/>
        <v>0</v>
      </c>
      <c r="BJ168" s="42">
        <f t="shared" si="133"/>
        <v>0</v>
      </c>
      <c r="BK168" s="42">
        <f t="shared" si="133"/>
        <v>0</v>
      </c>
      <c r="BL168" s="42">
        <f t="shared" si="133"/>
        <v>0</v>
      </c>
      <c r="BM168" s="42">
        <f t="shared" si="133"/>
        <v>0</v>
      </c>
    </row>
    <row r="169" spans="2:65" x14ac:dyDescent="0.45">
      <c r="B169" s="25" t="s">
        <v>236</v>
      </c>
      <c r="C169" s="26" t="s">
        <v>201</v>
      </c>
      <c r="D169" s="58">
        <f>SUM(F169:BM169)</f>
        <v>0</v>
      </c>
      <c r="E169" s="28"/>
      <c r="F169" s="42">
        <f t="shared" ref="F169:AK169" si="134">F166-F167-F168</f>
        <v>0</v>
      </c>
      <c r="G169" s="42">
        <f t="shared" si="134"/>
        <v>0</v>
      </c>
      <c r="H169" s="42">
        <f t="shared" si="134"/>
        <v>0</v>
      </c>
      <c r="I169" s="42">
        <f t="shared" si="134"/>
        <v>0</v>
      </c>
      <c r="J169" s="42">
        <f t="shared" si="134"/>
        <v>0</v>
      </c>
      <c r="K169" s="42">
        <f t="shared" si="134"/>
        <v>0</v>
      </c>
      <c r="L169" s="42">
        <f t="shared" si="134"/>
        <v>0</v>
      </c>
      <c r="M169" s="42">
        <f t="shared" si="134"/>
        <v>0</v>
      </c>
      <c r="N169" s="42">
        <f t="shared" si="134"/>
        <v>0</v>
      </c>
      <c r="O169" s="42">
        <f t="shared" si="134"/>
        <v>0</v>
      </c>
      <c r="P169" s="42">
        <f t="shared" si="134"/>
        <v>0</v>
      </c>
      <c r="Q169" s="42">
        <f t="shared" si="134"/>
        <v>0</v>
      </c>
      <c r="R169" s="42">
        <f t="shared" si="134"/>
        <v>0</v>
      </c>
      <c r="S169" s="42">
        <f t="shared" si="134"/>
        <v>0</v>
      </c>
      <c r="T169" s="42">
        <f t="shared" si="134"/>
        <v>0</v>
      </c>
      <c r="U169" s="42">
        <f t="shared" si="134"/>
        <v>0</v>
      </c>
      <c r="V169" s="42">
        <f t="shared" si="134"/>
        <v>0</v>
      </c>
      <c r="W169" s="42">
        <f t="shared" si="134"/>
        <v>0</v>
      </c>
      <c r="X169" s="42">
        <f t="shared" si="134"/>
        <v>0</v>
      </c>
      <c r="Y169" s="42">
        <f t="shared" si="134"/>
        <v>0</v>
      </c>
      <c r="Z169" s="42">
        <f t="shared" si="134"/>
        <v>0</v>
      </c>
      <c r="AA169" s="42">
        <f t="shared" si="134"/>
        <v>0</v>
      </c>
      <c r="AB169" s="42">
        <f t="shared" si="134"/>
        <v>0</v>
      </c>
      <c r="AC169" s="42">
        <f t="shared" si="134"/>
        <v>0</v>
      </c>
      <c r="AD169" s="42">
        <f t="shared" si="134"/>
        <v>0</v>
      </c>
      <c r="AE169" s="42">
        <f t="shared" si="134"/>
        <v>0</v>
      </c>
      <c r="AF169" s="42">
        <f t="shared" si="134"/>
        <v>0</v>
      </c>
      <c r="AG169" s="42">
        <f t="shared" si="134"/>
        <v>0</v>
      </c>
      <c r="AH169" s="42">
        <f t="shared" si="134"/>
        <v>0</v>
      </c>
      <c r="AI169" s="42">
        <f t="shared" si="134"/>
        <v>0</v>
      </c>
      <c r="AJ169" s="42">
        <f t="shared" si="134"/>
        <v>0</v>
      </c>
      <c r="AK169" s="42">
        <f t="shared" si="134"/>
        <v>0</v>
      </c>
      <c r="AL169" s="42">
        <f t="shared" ref="AL169:BQ169" si="135">AL166-AL167-AL168</f>
        <v>0</v>
      </c>
      <c r="AM169" s="42">
        <f t="shared" si="135"/>
        <v>0</v>
      </c>
      <c r="AN169" s="42">
        <f t="shared" si="135"/>
        <v>0</v>
      </c>
      <c r="AO169" s="42">
        <f t="shared" si="135"/>
        <v>0</v>
      </c>
      <c r="AP169" s="42">
        <f t="shared" si="135"/>
        <v>0</v>
      </c>
      <c r="AQ169" s="42">
        <f t="shared" si="135"/>
        <v>0</v>
      </c>
      <c r="AR169" s="42">
        <f t="shared" si="135"/>
        <v>0</v>
      </c>
      <c r="AS169" s="42">
        <f t="shared" si="135"/>
        <v>0</v>
      </c>
      <c r="AT169" s="42">
        <f t="shared" si="135"/>
        <v>0</v>
      </c>
      <c r="AU169" s="42">
        <f t="shared" si="135"/>
        <v>0</v>
      </c>
      <c r="AV169" s="42">
        <f t="shared" si="135"/>
        <v>0</v>
      </c>
      <c r="AW169" s="42">
        <f t="shared" si="135"/>
        <v>0</v>
      </c>
      <c r="AX169" s="42">
        <f t="shared" si="135"/>
        <v>0</v>
      </c>
      <c r="AY169" s="42">
        <f t="shared" si="135"/>
        <v>0</v>
      </c>
      <c r="AZ169" s="42">
        <f t="shared" si="135"/>
        <v>0</v>
      </c>
      <c r="BA169" s="42">
        <f t="shared" si="135"/>
        <v>0</v>
      </c>
      <c r="BB169" s="42">
        <f t="shared" si="135"/>
        <v>0</v>
      </c>
      <c r="BC169" s="42">
        <f t="shared" si="135"/>
        <v>0</v>
      </c>
      <c r="BD169" s="42">
        <f t="shared" si="135"/>
        <v>0</v>
      </c>
      <c r="BE169" s="42">
        <f t="shared" si="135"/>
        <v>0</v>
      </c>
      <c r="BF169" s="42">
        <f t="shared" si="135"/>
        <v>0</v>
      </c>
      <c r="BG169" s="42">
        <f t="shared" si="135"/>
        <v>0</v>
      </c>
      <c r="BH169" s="42">
        <f t="shared" si="135"/>
        <v>0</v>
      </c>
      <c r="BI169" s="42">
        <f t="shared" si="135"/>
        <v>0</v>
      </c>
      <c r="BJ169" s="42">
        <f t="shared" si="135"/>
        <v>0</v>
      </c>
      <c r="BK169" s="42">
        <f t="shared" si="135"/>
        <v>0</v>
      </c>
      <c r="BL169" s="42">
        <f t="shared" si="135"/>
        <v>0</v>
      </c>
      <c r="BM169" s="42">
        <f t="shared" si="135"/>
        <v>0</v>
      </c>
    </row>
    <row r="170" spans="2:65" x14ac:dyDescent="0.45">
      <c r="B170" s="25" t="s">
        <v>237</v>
      </c>
      <c r="C170" s="26" t="s">
        <v>170</v>
      </c>
      <c r="D170" s="42">
        <f>New_3*NetCapex</f>
        <v>791.65008177974823</v>
      </c>
      <c r="E170" s="28"/>
      <c r="F170" s="26" t="s">
        <v>238</v>
      </c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</row>
    <row r="171" spans="2:65" x14ac:dyDescent="0.45">
      <c r="B171" s="25" t="s">
        <v>239</v>
      </c>
      <c r="C171" s="26" t="s">
        <v>170</v>
      </c>
      <c r="D171" s="42">
        <f>PressFixed*SUMPRODUCT(F162:BM162,F26:BM26)</f>
        <v>525.33279478010741</v>
      </c>
      <c r="E171" s="28"/>
      <c r="F171" s="26" t="s">
        <v>240</v>
      </c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</row>
    <row r="172" spans="2:65" x14ac:dyDescent="0.45">
      <c r="B172" s="25" t="s">
        <v>241</v>
      </c>
      <c r="C172" s="26" t="s">
        <v>170</v>
      </c>
      <c r="D172" s="42">
        <f>OTCost*SUMPRODUCT(F167:BM167,F26:BM26)</f>
        <v>5.3998071953967752</v>
      </c>
      <c r="E172" s="28"/>
      <c r="F172" s="26" t="s">
        <v>242</v>
      </c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</row>
    <row r="173" spans="2:65" x14ac:dyDescent="0.45">
      <c r="B173" s="25" t="s">
        <v>243</v>
      </c>
      <c r="C173" s="26" t="s">
        <v>170</v>
      </c>
      <c r="D173" s="42">
        <f>SubCost*SUMPRODUCT(F168:BM168,F26:BM26)</f>
        <v>3.3500190222569053</v>
      </c>
      <c r="E173" s="28"/>
      <c r="F173" s="26" t="s">
        <v>244</v>
      </c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</row>
    <row r="174" spans="2:65" x14ac:dyDescent="0.45">
      <c r="B174" s="25" t="s">
        <v>245</v>
      </c>
      <c r="C174" s="26" t="s">
        <v>170</v>
      </c>
      <c r="D174" s="42">
        <f>LostCost*SUMPRODUCT(F169:BM169,F26:BM26)</f>
        <v>0</v>
      </c>
      <c r="E174" s="28"/>
      <c r="F174" s="26" t="s">
        <v>246</v>
      </c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</row>
    <row r="175" spans="2:65" x14ac:dyDescent="0.45">
      <c r="B175" s="59" t="s">
        <v>63</v>
      </c>
      <c r="C175" s="26" t="s">
        <v>170</v>
      </c>
      <c r="D175" s="58">
        <f>SUM(D170:D174)</f>
        <v>1325.7327027775093</v>
      </c>
      <c r="E175" s="28"/>
      <c r="F175" s="26" t="s">
        <v>247</v>
      </c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</row>
    <row r="176" spans="2:65" ht="8" customHeight="1" x14ac:dyDescent="0.45"/>
    <row r="177" spans="2:65" ht="22.05" customHeight="1" x14ac:dyDescent="0.5">
      <c r="B177" s="7" t="s">
        <v>260</v>
      </c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</row>
    <row r="178" spans="2:65" ht="18" customHeight="1" x14ac:dyDescent="0.45">
      <c r="B178" s="13" t="s">
        <v>261</v>
      </c>
    </row>
    <row r="179" spans="2:65" ht="18" customHeight="1" x14ac:dyDescent="0.45">
      <c r="B179" s="48" t="s">
        <v>262</v>
      </c>
      <c r="C179" s="48" t="s">
        <v>102</v>
      </c>
      <c r="D179" s="50" t="s">
        <v>191</v>
      </c>
      <c r="E179" s="5"/>
      <c r="F179" s="48" t="s">
        <v>263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</row>
    <row r="180" spans="2:65" x14ac:dyDescent="0.45">
      <c r="B180" s="25" t="s">
        <v>264</v>
      </c>
      <c r="C180" s="26" t="s">
        <v>170</v>
      </c>
      <c r="D180" s="61" cm="1">
        <f t="array" aca="1" ref="D180" ca="1">_xll.VoseOutput("Затраты, без нового пресса","тыс. долл.")+Total_0</f>
        <v>1322.2141331705855</v>
      </c>
      <c r="E180" s="28"/>
      <c r="F180" s="26" t="s">
        <v>265</v>
      </c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</row>
    <row r="181" spans="2:65" x14ac:dyDescent="0.45">
      <c r="B181" s="25" t="s">
        <v>266</v>
      </c>
      <c r="C181" s="26" t="s">
        <v>170</v>
      </c>
      <c r="D181" s="61" cm="1">
        <f t="array" aca="1" ref="D181" ca="1">_xll.VoseOutput("Затраты, один новый пресс","тыс. долл.")+Total_1</f>
        <v>750.58292795355169</v>
      </c>
      <c r="E181" s="28"/>
      <c r="F181" s="26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</row>
    <row r="182" spans="2:65" x14ac:dyDescent="0.45">
      <c r="B182" s="25" t="s">
        <v>267</v>
      </c>
      <c r="C182" s="26" t="s">
        <v>170</v>
      </c>
      <c r="D182" s="61" cm="1">
        <f t="array" aca="1" ref="D182" ca="1">_xll.VoseOutput("Затраты, два новых пресса","тыс. долл.")+Total_2</f>
        <v>905.65228587811805</v>
      </c>
      <c r="E182" s="28"/>
      <c r="F182" s="26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</row>
    <row r="183" spans="2:65" x14ac:dyDescent="0.45">
      <c r="B183" s="25" t="s">
        <v>268</v>
      </c>
      <c r="C183" s="26" t="s">
        <v>170</v>
      </c>
      <c r="D183" s="61" cm="1">
        <f t="array" aca="1" ref="D183" ca="1">_xll.VoseOutput("Затраты, три новых пресса","тыс. долл.")+Total_3</f>
        <v>1319.260937651932</v>
      </c>
      <c r="E183" s="28"/>
      <c r="F183" s="26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</row>
    <row r="184" spans="2:65" x14ac:dyDescent="0.45">
      <c r="B184" s="25" t="s">
        <v>269</v>
      </c>
      <c r="C184" s="26" t="s">
        <v>270</v>
      </c>
      <c r="D184" s="62" cm="1">
        <f t="array" aca="1" ref="D184" ca="1">_xll.VoseOutput("Спрос выполнен, без нового пресса","доля")+1-SUM(Lost_0)/SUM(Demand)</f>
        <v>0.89707112874309902</v>
      </c>
      <c r="E184" s="28"/>
      <c r="F184" s="26" t="s">
        <v>271</v>
      </c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</row>
    <row r="185" spans="2:65" x14ac:dyDescent="0.45">
      <c r="B185" s="25" t="s">
        <v>272</v>
      </c>
      <c r="C185" s="26" t="s">
        <v>270</v>
      </c>
      <c r="D185" s="62" cm="1">
        <f t="array" aca="1" ref="D185" ca="1">_xll.VoseOutput("Спрос выполнен, один новый пресс","доля")+1-SUM(Lost_1)/SUM(Demand)</f>
        <v>0.98534681167615856</v>
      </c>
      <c r="E185" s="28"/>
      <c r="F185" s="26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</row>
    <row r="186" spans="2:65" x14ac:dyDescent="0.45">
      <c r="B186" s="25" t="s">
        <v>273</v>
      </c>
      <c r="C186" s="26" t="s">
        <v>270</v>
      </c>
      <c r="D186" s="62" cm="1">
        <f t="array" aca="1" ref="D186" ca="1">_xll.VoseOutput("Спрос выполнен, два новых пресса","доля")+1-SUM(Lost_2)/SUM(Demand)</f>
        <v>1</v>
      </c>
      <c r="E186" s="28"/>
      <c r="F186" s="26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</row>
    <row r="187" spans="2:65" x14ac:dyDescent="0.45">
      <c r="B187" s="25" t="s">
        <v>274</v>
      </c>
      <c r="C187" s="26" t="s">
        <v>270</v>
      </c>
      <c r="D187" s="62" cm="1">
        <f t="array" aca="1" ref="D187" ca="1">_xll.VoseOutput("Спрос выполнен, три новых пресса","доля")+1-SUM(Lost_3)/SUM(Demand)</f>
        <v>1</v>
      </c>
      <c r="E187" s="28"/>
      <c r="F187" s="26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</row>
    <row r="188" spans="2:65" x14ac:dyDescent="0.45">
      <c r="B188" s="25" t="s">
        <v>275</v>
      </c>
      <c r="C188" s="26" t="s">
        <v>276</v>
      </c>
      <c r="D188" s="63" cm="1">
        <f t="array" aca="1" ref="D188" ca="1">_xll.VoseOutput("Дешевле всех: без нового пресса","1 = да")+IF(Cost_0=MIN(Cost_0,Cost_1,Cost_2,Cost_3),1,0)</f>
        <v>0</v>
      </c>
      <c r="E188" s="28"/>
      <c r="F188" s="26" t="s">
        <v>277</v>
      </c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</row>
    <row r="189" spans="2:65" x14ac:dyDescent="0.45">
      <c r="B189" s="25" t="s">
        <v>278</v>
      </c>
      <c r="C189" s="26" t="s">
        <v>276</v>
      </c>
      <c r="D189" s="63" cm="1">
        <f t="array" aca="1" ref="D189" ca="1">_xll.VoseOutput("Дешевле всех: один новый пресс","1 = да")+IF(Cost_1=MIN(Cost_0,Cost_1,Cost_2,Cost_3),1,0)</f>
        <v>1</v>
      </c>
      <c r="E189" s="28"/>
      <c r="F189" s="26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</row>
    <row r="190" spans="2:65" x14ac:dyDescent="0.45">
      <c r="B190" s="25" t="s">
        <v>279</v>
      </c>
      <c r="C190" s="26" t="s">
        <v>276</v>
      </c>
      <c r="D190" s="63" cm="1">
        <f t="array" aca="1" ref="D190" ca="1">_xll.VoseOutput("Дешевле всех: два новых пресса","1 = да")+IF(Cost_2=MIN(Cost_0,Cost_1,Cost_2,Cost_3),1,0)</f>
        <v>0</v>
      </c>
      <c r="E190" s="28"/>
      <c r="F190" s="26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</row>
    <row r="191" spans="2:65" x14ac:dyDescent="0.45">
      <c r="B191" s="25" t="s">
        <v>280</v>
      </c>
      <c r="C191" s="26" t="s">
        <v>276</v>
      </c>
      <c r="D191" s="63" cm="1">
        <f t="array" aca="1" ref="D191" ca="1">_xll.VoseOutput("Дешевле всех: три новых пресса","1 = да")+IF(Cost_3=MIN(Cost_0,Cost_1,Cost_2,Cost_3),1,0)</f>
        <v>0</v>
      </c>
      <c r="E191" s="28"/>
      <c r="F191" s="26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</row>
    <row r="192" spans="2:65" x14ac:dyDescent="0.45">
      <c r="B192" s="25" t="s">
        <v>281</v>
      </c>
      <c r="C192" s="26" t="s">
        <v>170</v>
      </c>
      <c r="D192" s="61" cm="1">
        <f t="array" aca="1" ref="D192" ca="1">_xll.VoseOutput("Экономия от одного пресса","тыс. долл.")+Cost_0-Cost_1</f>
        <v>571.63120521703377</v>
      </c>
      <c r="E192" s="28"/>
      <c r="F192" s="26" t="s">
        <v>282</v>
      </c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</row>
    <row r="193" spans="2:65" x14ac:dyDescent="0.45">
      <c r="B193" s="25" t="s">
        <v>283</v>
      </c>
      <c r="C193" s="26" t="s">
        <v>170</v>
      </c>
      <c r="D193" s="54">
        <f>PlanTotal_0</f>
        <v>426.21611053688957</v>
      </c>
      <c r="E193" s="28"/>
      <c r="F193" s="26" t="s">
        <v>284</v>
      </c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</row>
    <row r="194" spans="2:65" x14ac:dyDescent="0.45">
      <c r="B194" s="25" t="s">
        <v>285</v>
      </c>
      <c r="C194" s="26" t="s">
        <v>170</v>
      </c>
      <c r="D194" s="54">
        <f>PlanTotal_1</f>
        <v>471.26856547348348</v>
      </c>
      <c r="E194" s="28"/>
      <c r="F194" s="26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</row>
    <row r="195" spans="2:65" x14ac:dyDescent="0.45">
      <c r="B195" s="25" t="s">
        <v>286</v>
      </c>
      <c r="C195" s="26" t="s">
        <v>170</v>
      </c>
      <c r="D195" s="54">
        <f>PlanTotal_2</f>
        <v>886.73841059089068</v>
      </c>
      <c r="E195" s="28"/>
      <c r="F195" s="26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</row>
    <row r="196" spans="2:65" x14ac:dyDescent="0.45">
      <c r="B196" s="25" t="s">
        <v>287</v>
      </c>
      <c r="C196" s="26" t="s">
        <v>170</v>
      </c>
      <c r="D196" s="54">
        <f>PlanTotal_3</f>
        <v>1325.7327027775093</v>
      </c>
      <c r="E196" s="28"/>
      <c r="F196" s="26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</row>
    <row r="197" spans="2:65" ht="8" customHeight="1" x14ac:dyDescent="0.45"/>
    <row r="198" spans="2:65" ht="22.05" customHeight="1" x14ac:dyDescent="0.5">
      <c r="B198" s="7" t="s">
        <v>288</v>
      </c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</row>
    <row r="199" spans="2:65" ht="18" customHeight="1" x14ac:dyDescent="0.45">
      <c r="B199" s="13" t="s">
        <v>289</v>
      </c>
    </row>
    <row r="200" spans="2:65" x14ac:dyDescent="0.45">
      <c r="B200" s="25" t="s">
        <v>290</v>
      </c>
      <c r="C200" s="28"/>
      <c r="D200" s="64" t="str">
        <f>IF(COUNTIF(InputMeans,"✗*")=0,"ОК","ПРОВЕРИТЬ")</f>
        <v>ОК</v>
      </c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</row>
    <row r="201" spans="2:65" x14ac:dyDescent="0.45">
      <c r="B201" s="25" t="s">
        <v>291</v>
      </c>
      <c r="C201" s="28"/>
      <c r="D201" s="64" t="str">
        <f>IF(ABS(AVERAGE(Seasonality)-1)&lt;0.005,"ОК","ПРОВЕРИТЬ")</f>
        <v>ОК</v>
      </c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</row>
    <row r="202" spans="2:65" x14ac:dyDescent="0.45">
      <c r="B202" s="25" t="s">
        <v>292</v>
      </c>
      <c r="C202" s="28"/>
      <c r="D202" s="64" t="str">
        <f>IF(AND(PlantOEE_Lo-OEE_Dn&gt;0,PlantOEE_Hi+OEE_Up&lt;1),"ОК","ПРОВЕРИТЬ")</f>
        <v>ОК</v>
      </c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</row>
    <row r="203" spans="2:65" x14ac:dyDescent="0.45">
      <c r="B203" s="25" t="s">
        <v>293</v>
      </c>
      <c r="C203" s="28"/>
      <c r="D203" s="64" t="str">
        <f>IF(Lead_Hi&lt;Months,"ОК","ПРОВЕРИТЬ")</f>
        <v>ОК</v>
      </c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</row>
    <row r="204" spans="2:65" ht="14" customHeight="1" x14ac:dyDescent="0.45"/>
  </sheetData>
  <conditionalFormatting sqref="D200:D203">
    <cfRule type="expression" dxfId="5" priority="1">
      <formula>D200="CHECK"</formula>
    </cfRule>
  </conditionalFormatting>
  <hyperlinks>
    <hyperlink ref="B4" location="'Исходные данные'!A1" display="◂  Исходные данные" xr:uid="{00000000-0004-0000-0200-000000000000}"/>
    <hyperlink ref="BM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8" scale="80" fitToHeight="0" orientation="landscape" r:id="rId1"/>
  <headerFooter>
    <oddFooter>&amp;L&amp;K3F5876&amp;8&amp;F · &amp;A&amp;R&amp;K3F5876&amp;8Page &amp;P of &amp;N</oddFooter>
  </headerFooter>
  <rowBreaks count="5" manualBreakCount="5">
    <brk id="38" max="16383" man="1"/>
    <brk id="74" max="16383" man="1"/>
    <brk id="110" max="16383" man="1"/>
    <brk id="144" max="16383" man="1"/>
    <brk id="176" max="16383" man="1"/>
  </rowBreaks>
  <colBreaks count="2" manualBreakCount="2">
    <brk id="29" max="1048575" man="1"/>
    <brk id="5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86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294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295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5" t="str" cm="1">
        <f t="array" aca="1" ref="B6" ca="1">IF(ISNUMBER(_xll.VoseSimMean(Cost_1)),"✔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6"/>
      <c r="D6" s="66"/>
      <c r="E6" s="66"/>
      <c r="F6" s="66"/>
      <c r="G6" s="66"/>
    </row>
    <row r="7" spans="1:18" x14ac:dyDescent="0.45">
      <c r="B7" s="67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296</v>
      </c>
      <c r="C9" s="8"/>
      <c r="D9" s="8"/>
      <c r="E9" s="8"/>
      <c r="F9" s="8"/>
      <c r="G9" s="8"/>
      <c r="I9" s="68" t="s">
        <v>297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298</v>
      </c>
    </row>
    <row r="11" spans="1:18" ht="18" customHeight="1" x14ac:dyDescent="0.45">
      <c r="B11" s="69" t="s">
        <v>299</v>
      </c>
      <c r="C11" s="70" t="s">
        <v>65</v>
      </c>
      <c r="D11" s="70" t="s">
        <v>108</v>
      </c>
      <c r="E11" s="70" t="s">
        <v>300</v>
      </c>
      <c r="F11" s="70" t="s">
        <v>68</v>
      </c>
      <c r="G11" s="70" t="s">
        <v>301</v>
      </c>
    </row>
    <row r="12" spans="1:18" x14ac:dyDescent="0.45">
      <c r="B12" s="71"/>
      <c r="C12" s="71" t="s">
        <v>302</v>
      </c>
      <c r="D12" s="71" t="s">
        <v>303</v>
      </c>
      <c r="E12" s="71" t="s">
        <v>304</v>
      </c>
      <c r="F12" s="71" t="s">
        <v>305</v>
      </c>
      <c r="G12" s="71" t="s">
        <v>306</v>
      </c>
    </row>
    <row r="13" spans="1:18" x14ac:dyDescent="0.45">
      <c r="B13" s="25" t="s">
        <v>256</v>
      </c>
      <c r="C13" s="54">
        <f>Plan_0</f>
        <v>426.21611053688957</v>
      </c>
      <c r="D13" s="72" cm="1">
        <f t="array" aca="1" ref="D13" ca="1">_xll.VoseSimMean(Cost_0)</f>
        <v>920.37380288965255</v>
      </c>
      <c r="E13" s="72" cm="1">
        <f t="array" aca="1" ref="E13" ca="1">_xll.VoseSimPercentile(Cost_0,0.9)</f>
        <v>2313.0360068926611</v>
      </c>
      <c r="F13" s="73" cm="1">
        <f t="array" aca="1" ref="F13" ca="1">_xll.VoseSimMean(Fill_0)</f>
        <v>0.93679899380728215</v>
      </c>
      <c r="G13" s="74" cm="1">
        <f t="array" aca="1" ref="G13" ca="1">_xll.VoseSimMean(Best_0)</f>
        <v>0.46560000000000001</v>
      </c>
    </row>
    <row r="14" spans="1:18" x14ac:dyDescent="0.45">
      <c r="B14" s="59" t="s">
        <v>257</v>
      </c>
      <c r="C14" s="54">
        <f>Plan_1</f>
        <v>471.26856547348348</v>
      </c>
      <c r="D14" s="72" cm="1">
        <f t="array" aca="1" ref="D14" ca="1">_xll.VoseSimMean(Cost_1)</f>
        <v>764.59456822992149</v>
      </c>
      <c r="E14" s="72" cm="1">
        <f t="array" aca="1" ref="E14" ca="1">_xll.VoseSimPercentile(Cost_1,0.9)</f>
        <v>1437.1703527120783</v>
      </c>
      <c r="F14" s="73" cm="1">
        <f t="array" aca="1" ref="F14" ca="1">_xll.VoseSimMean(Fill_1)</f>
        <v>0.98025578827703252</v>
      </c>
      <c r="G14" s="74" cm="1">
        <f t="array" aca="1" ref="G14" ca="1">_xll.VoseSimMean(Best_1)</f>
        <v>0.35320000000000001</v>
      </c>
    </row>
    <row r="15" spans="1:18" x14ac:dyDescent="0.45">
      <c r="B15" s="25" t="s">
        <v>258</v>
      </c>
      <c r="C15" s="54">
        <f>Plan_2</f>
        <v>886.73841059089068</v>
      </c>
      <c r="D15" s="72" cm="1">
        <f t="array" aca="1" ref="D15" ca="1">_xll.VoseSimMean(Cost_2)</f>
        <v>994.43317747393496</v>
      </c>
      <c r="E15" s="72" cm="1">
        <f t="array" aca="1" ref="E15" ca="1">_xll.VoseSimPercentile(Cost_2,0.9)</f>
        <v>1190.3325155543453</v>
      </c>
      <c r="F15" s="73" cm="1">
        <f t="array" aca="1" ref="F15" ca="1">_xll.VoseSimMean(Fill_2)</f>
        <v>0.99389763857293567</v>
      </c>
      <c r="G15" s="74" cm="1">
        <f t="array" aca="1" ref="G15" ca="1">_xll.VoseSimMean(Best_2)</f>
        <v>0.13600000000000001</v>
      </c>
    </row>
    <row r="16" spans="1:18" x14ac:dyDescent="0.45">
      <c r="B16" s="25" t="s">
        <v>259</v>
      </c>
      <c r="C16" s="54">
        <f>Plan_3</f>
        <v>1325.7327027775093</v>
      </c>
      <c r="D16" s="72" cm="1">
        <f t="array" aca="1" ref="D16" ca="1">_xll.VoseSimMean(Cost_3)</f>
        <v>1364.1781005854896</v>
      </c>
      <c r="E16" s="72" cm="1">
        <f t="array" aca="1" ref="E16" ca="1">_xll.VoseSimPercentile(Cost_3,0.9)</f>
        <v>1397.8094225752302</v>
      </c>
      <c r="F16" s="73" cm="1">
        <f t="array" aca="1" ref="F16" ca="1">_xll.VoseSimMean(Fill_3)</f>
        <v>0.99796738519932937</v>
      </c>
      <c r="G16" s="74" cm="1">
        <f t="array" aca="1" ref="G16" ca="1">_xll.VoseSimMean(Best_3)</f>
        <v>4.5199999999999997E-2</v>
      </c>
    </row>
    <row r="17" spans="2:18" ht="8" customHeight="1" x14ac:dyDescent="0.45"/>
    <row r="18" spans="2:18" ht="18" customHeight="1" x14ac:dyDescent="0.45">
      <c r="B18" s="69" t="s">
        <v>307</v>
      </c>
      <c r="C18" s="70" t="s">
        <v>308</v>
      </c>
      <c r="D18" s="70" t="s">
        <v>309</v>
      </c>
      <c r="E18" s="70" t="s">
        <v>310</v>
      </c>
      <c r="F18" s="70" t="s">
        <v>311</v>
      </c>
      <c r="G18" s="70" t="s">
        <v>312</v>
      </c>
    </row>
    <row r="19" spans="2:18" x14ac:dyDescent="0.45">
      <c r="B19" s="71"/>
      <c r="C19" s="71" t="s">
        <v>313</v>
      </c>
      <c r="D19" s="71" t="s">
        <v>313</v>
      </c>
      <c r="E19" s="71" t="s">
        <v>314</v>
      </c>
      <c r="F19" s="71" t="s">
        <v>314</v>
      </c>
      <c r="G19" s="71" t="s">
        <v>315</v>
      </c>
    </row>
    <row r="20" spans="2:18" x14ac:dyDescent="0.45">
      <c r="B20" s="25" t="s">
        <v>237</v>
      </c>
      <c r="C20" s="54">
        <f>CostNew_0</f>
        <v>0</v>
      </c>
      <c r="D20" s="54">
        <f>CostNew_1</f>
        <v>263.88336059324939</v>
      </c>
      <c r="E20" s="54">
        <f>CostNew_2</f>
        <v>527.76672118649878</v>
      </c>
      <c r="F20" s="54">
        <f>CostNew_3</f>
        <v>791.65008177974823</v>
      </c>
      <c r="G20" s="72">
        <f t="shared" ref="G20:G25" si="0">IFERROR(C20-D20,"–")</f>
        <v>-263.88336059324939</v>
      </c>
    </row>
    <row r="21" spans="2:18" x14ac:dyDescent="0.45">
      <c r="B21" s="25" t="s">
        <v>316</v>
      </c>
      <c r="C21" s="72" cm="1">
        <f t="array" aca="1" ref="C21" ca="1">_xll.VoseSimMean(CostFix_0)</f>
        <v>0</v>
      </c>
      <c r="D21" s="72" cm="1">
        <f t="array" aca="1" ref="D21" ca="1">_xll.VoseSimMean(CostFix_1)</f>
        <v>173.89171512815369</v>
      </c>
      <c r="E21" s="72" cm="1">
        <f t="array" aca="1" ref="E21" ca="1">_xll.VoseSimMean(CostFix_2)</f>
        <v>347.78343025630738</v>
      </c>
      <c r="F21" s="72" cm="1">
        <f t="array" aca="1" ref="F21" ca="1">_xll.VoseSimMean(CostFix_3)</f>
        <v>521.67514538434136</v>
      </c>
      <c r="G21" s="72">
        <f t="shared" ca="1" si="0"/>
        <v>-173.89171512815369</v>
      </c>
    </row>
    <row r="22" spans="2:18" x14ac:dyDescent="0.45">
      <c r="B22" s="25" t="s">
        <v>241</v>
      </c>
      <c r="C22" s="72" cm="1">
        <f t="array" aca="1" ref="C22" ca="1">_xll.VoseSimMean(CostOT_0)</f>
        <v>71.890257756692435</v>
      </c>
      <c r="D22" s="72" cm="1">
        <f t="array" aca="1" ref="D22" ca="1">_xll.VoseSimMean(CostOT_1)</f>
        <v>39.639246240485519</v>
      </c>
      <c r="E22" s="72" cm="1">
        <f t="array" aca="1" ref="E22" ca="1">_xll.VoseSimMean(CostOT_2)</f>
        <v>20.069637895074994</v>
      </c>
      <c r="F22" s="72" cm="1">
        <f t="array" aca="1" ref="F22" ca="1">_xll.VoseSimMean(CostOT_3)</f>
        <v>11.405476819959476</v>
      </c>
      <c r="G22" s="72">
        <f t="shared" ca="1" si="0"/>
        <v>32.251011516206916</v>
      </c>
    </row>
    <row r="23" spans="2:18" x14ac:dyDescent="0.45">
      <c r="B23" s="25" t="s">
        <v>243</v>
      </c>
      <c r="C23" s="72" cm="1">
        <f t="array" aca="1" ref="C23" ca="1">_xll.VoseSimMean(CostSub_0)</f>
        <v>167.70967493754659</v>
      </c>
      <c r="D23" s="72" cm="1">
        <f t="array" aca="1" ref="D23" ca="1">_xll.VoseSimMean(CostSub_1)</f>
        <v>64.782326808098787</v>
      </c>
      <c r="E23" s="72" cm="1">
        <f t="array" aca="1" ref="E23" ca="1">_xll.VoseSimMean(CostSub_2)</f>
        <v>26.491805698255799</v>
      </c>
      <c r="F23" s="72" cm="1">
        <f t="array" aca="1" ref="F23" ca="1">_xll.VoseSimMean(CostSub_3)</f>
        <v>14.092309025500956</v>
      </c>
      <c r="G23" s="72">
        <f t="shared" ca="1" si="0"/>
        <v>102.92734812944781</v>
      </c>
    </row>
    <row r="24" spans="2:18" x14ac:dyDescent="0.45">
      <c r="B24" s="25" t="s">
        <v>245</v>
      </c>
      <c r="C24" s="72" cm="1">
        <f t="array" aca="1" ref="C24" ca="1">_xll.VoseSimMean(CostLost_0)</f>
        <v>680.77387019541334</v>
      </c>
      <c r="D24" s="72" cm="1">
        <f t="array" aca="1" ref="D24" ca="1">_xll.VoseSimMean(CostLost_1)</f>
        <v>222.39791945994958</v>
      </c>
      <c r="E24" s="72" cm="1">
        <f t="array" aca="1" ref="E24" ca="1">_xll.VoseSimMean(CostLost_2)</f>
        <v>72.321582437834138</v>
      </c>
      <c r="F24" s="72" cm="1">
        <f t="array" aca="1" ref="F24" ca="1">_xll.VoseSimMean(CostLost_3)</f>
        <v>25.3550875758791</v>
      </c>
      <c r="G24" s="72">
        <f t="shared" ca="1" si="0"/>
        <v>458.37595073546379</v>
      </c>
    </row>
    <row r="25" spans="2:18" x14ac:dyDescent="0.45">
      <c r="B25" s="59" t="s">
        <v>63</v>
      </c>
      <c r="C25" s="72" cm="1">
        <f t="array" aca="1" ref="C25" ca="1">_xll.VoseSimMean(Cost_0)</f>
        <v>920.37380288965255</v>
      </c>
      <c r="D25" s="72" cm="1">
        <f t="array" aca="1" ref="D25" ca="1">_xll.VoseSimMean(Cost_1)</f>
        <v>764.59456822992149</v>
      </c>
      <c r="E25" s="72" cm="1">
        <f t="array" aca="1" ref="E25" ca="1">_xll.VoseSimMean(Cost_2)</f>
        <v>994.43317747393496</v>
      </c>
      <c r="F25" s="72" cm="1">
        <f t="array" aca="1" ref="F25" ca="1">_xll.VoseSimMean(Cost_3)</f>
        <v>1364.1781005854896</v>
      </c>
      <c r="G25" s="72">
        <f t="shared" ca="1" si="0"/>
        <v>155.77923465973106</v>
      </c>
    </row>
    <row r="26" spans="2:18" ht="8" customHeight="1" x14ac:dyDescent="0.45"/>
    <row r="27" spans="2:18" ht="22.05" customHeight="1" x14ac:dyDescent="0.5">
      <c r="B27" s="7" t="s">
        <v>317</v>
      </c>
      <c r="C27" s="8"/>
      <c r="D27" s="8"/>
      <c r="E27" s="8"/>
      <c r="F27" s="8"/>
      <c r="G27" s="8"/>
      <c r="I27" s="68" t="s">
        <v>318</v>
      </c>
      <c r="J27" s="8"/>
      <c r="K27" s="8"/>
      <c r="L27" s="8"/>
      <c r="M27" s="8"/>
      <c r="N27" s="8"/>
      <c r="O27" s="8"/>
      <c r="P27" s="8"/>
      <c r="Q27" s="8"/>
      <c r="R27" s="8"/>
    </row>
    <row r="28" spans="2:18" ht="18" customHeight="1" x14ac:dyDescent="0.45">
      <c r="B28" s="13" t="s">
        <v>319</v>
      </c>
    </row>
    <row r="29" spans="2:18" ht="18" customHeight="1" x14ac:dyDescent="0.45">
      <c r="B29" s="23" t="s">
        <v>320</v>
      </c>
      <c r="C29" s="23" t="s">
        <v>102</v>
      </c>
      <c r="D29" s="24" t="s">
        <v>191</v>
      </c>
      <c r="E29" s="5"/>
      <c r="F29" s="5"/>
      <c r="G29" s="5"/>
    </row>
    <row r="30" spans="2:18" x14ac:dyDescent="0.45">
      <c r="B30" s="25" t="s">
        <v>321</v>
      </c>
      <c r="C30" s="26" t="s">
        <v>322</v>
      </c>
      <c r="D30" s="75">
        <f ca="1">IFERROR(D13/C13,"–")</f>
        <v>2.1594064141083025</v>
      </c>
      <c r="E30" s="28"/>
      <c r="F30" s="28"/>
      <c r="G30" s="28"/>
    </row>
    <row r="31" spans="2:18" x14ac:dyDescent="0.45">
      <c r="B31" s="25" t="s">
        <v>323</v>
      </c>
      <c r="C31" s="26" t="s">
        <v>170</v>
      </c>
      <c r="D31" s="72">
        <f>IFERROR(C13-C14,"–")</f>
        <v>-45.052454936593904</v>
      </c>
      <c r="E31" s="28"/>
      <c r="F31" s="28"/>
      <c r="G31" s="28"/>
    </row>
    <row r="32" spans="2:18" x14ac:dyDescent="0.45">
      <c r="B32" s="59" t="s">
        <v>324</v>
      </c>
      <c r="C32" s="26" t="s">
        <v>170</v>
      </c>
      <c r="D32" s="72">
        <f ca="1">IFERROR(D13-D14,"–")</f>
        <v>155.77923465973106</v>
      </c>
      <c r="E32" s="28"/>
      <c r="F32" s="28"/>
      <c r="G32" s="28"/>
    </row>
    <row r="33" spans="2:18" x14ac:dyDescent="0.45">
      <c r="B33" s="25" t="s">
        <v>325</v>
      </c>
      <c r="C33" s="26"/>
      <c r="D33" s="73" cm="1">
        <f t="array" aca="1" ref="D33" ca="1">IFERROR(1-_xll.VoseSimProbability(Save_1,0),"–")</f>
        <v>0.5344465553444655</v>
      </c>
      <c r="E33" s="28"/>
      <c r="F33" s="28"/>
      <c r="G33" s="28"/>
    </row>
    <row r="34" spans="2:18" x14ac:dyDescent="0.45">
      <c r="B34" s="25" t="s">
        <v>326</v>
      </c>
      <c r="C34" s="26" t="s">
        <v>170</v>
      </c>
      <c r="D34" s="72">
        <f ca="1">IFERROR(D15-D14,"–")</f>
        <v>229.83860924401347</v>
      </c>
      <c r="E34" s="28"/>
      <c r="F34" s="28"/>
      <c r="G34" s="28"/>
    </row>
    <row r="35" spans="2:18" x14ac:dyDescent="0.45">
      <c r="B35" s="25" t="s">
        <v>327</v>
      </c>
      <c r="C35" s="26" t="s">
        <v>170</v>
      </c>
      <c r="D35" s="72">
        <f ca="1">IFERROR(E14-E15,"–")</f>
        <v>246.83783715773302</v>
      </c>
      <c r="E35" s="28"/>
      <c r="F35" s="28"/>
      <c r="G35" s="28"/>
    </row>
    <row r="36" spans="2:18" ht="8" customHeight="1" x14ac:dyDescent="0.45"/>
    <row r="43" spans="2:18" ht="22.05" customHeight="1" x14ac:dyDescent="0.5">
      <c r="B43" s="7" t="s">
        <v>328</v>
      </c>
      <c r="C43" s="8"/>
      <c r="D43" s="8"/>
      <c r="E43" s="8"/>
      <c r="F43" s="8"/>
      <c r="G43" s="8"/>
      <c r="I43" s="68" t="s">
        <v>329</v>
      </c>
      <c r="J43" s="8"/>
      <c r="K43" s="8"/>
      <c r="L43" s="8"/>
      <c r="M43" s="8"/>
      <c r="N43" s="8"/>
      <c r="O43" s="8"/>
      <c r="P43" s="8"/>
      <c r="Q43" s="8"/>
      <c r="R43" s="8"/>
    </row>
    <row r="44" spans="2:18" ht="18" customHeight="1" x14ac:dyDescent="0.45">
      <c r="B44" s="13" t="s">
        <v>330</v>
      </c>
    </row>
    <row r="45" spans="2:18" ht="18" customHeight="1" x14ac:dyDescent="0.45">
      <c r="B45" s="23" t="s">
        <v>331</v>
      </c>
      <c r="C45" s="24" t="s">
        <v>332</v>
      </c>
      <c r="D45" s="24" t="s">
        <v>333</v>
      </c>
      <c r="E45" s="76" t="s">
        <v>334</v>
      </c>
      <c r="F45" s="5"/>
      <c r="G45" s="5"/>
    </row>
    <row r="46" spans="2:18" x14ac:dyDescent="0.45">
      <c r="B46" s="25" t="str">
        <f t="array" aca="1" ref="B46:E48" ca="1">_xll.VoseSimSensitivityMean(Save_1,10,1,FALSE)</f>
        <v>Рост спроса</v>
      </c>
      <c r="C46" s="72">
        <f ca="1"/>
        <v>-152.27679800263979</v>
      </c>
      <c r="D46" s="72">
        <f ca="1"/>
        <v>539.6502830149517</v>
      </c>
      <c r="E46" s="77">
        <f ca="1"/>
        <v>1</v>
      </c>
      <c r="F46" s="28"/>
      <c r="G46" s="28"/>
    </row>
    <row r="47" spans="2:18" x14ac:dyDescent="0.45">
      <c r="B47" s="25" t="str">
        <f ca="1"/>
        <v>ОЕЕ завода, устойчивая</v>
      </c>
      <c r="C47" s="72">
        <f ca="1"/>
        <v>53.642469381651615</v>
      </c>
      <c r="D47" s="72">
        <f ca="1"/>
        <v>265.5098423070782</v>
      </c>
      <c r="E47" s="77">
        <f ca="1"/>
        <v>2</v>
      </c>
      <c r="F47" s="28"/>
      <c r="G47" s="28"/>
    </row>
    <row r="48" spans="2:18" x14ac:dyDescent="0.45">
      <c r="B48" s="25" t="str">
        <f ca="1"/>
        <v>Поставка и монтаж</v>
      </c>
      <c r="C48" s="72">
        <f ca="1"/>
        <v>140.58258202659408</v>
      </c>
      <c r="D48" s="72">
        <f ca="1"/>
        <v>172.3477947254249</v>
      </c>
      <c r="E48" s="77">
        <f ca="1"/>
        <v>3</v>
      </c>
      <c r="F48" s="28"/>
      <c r="G48" s="28"/>
    </row>
    <row r="49" spans="2:7" ht="8" customHeight="1" x14ac:dyDescent="0.45"/>
    <row r="57" spans="2:7" ht="22.05" customHeight="1" x14ac:dyDescent="0.5">
      <c r="B57" s="7" t="s">
        <v>335</v>
      </c>
      <c r="C57" s="8"/>
      <c r="D57" s="8"/>
      <c r="E57" s="8"/>
      <c r="F57" s="8"/>
      <c r="G57" s="8"/>
    </row>
    <row r="58" spans="2:7" ht="45" customHeight="1" x14ac:dyDescent="0.45">
      <c r="B58" s="85" t="s">
        <v>336</v>
      </c>
      <c r="C58" s="86"/>
      <c r="D58" s="86"/>
      <c r="E58" s="86"/>
      <c r="F58" s="86"/>
      <c r="G58" s="86"/>
    </row>
    <row r="59" spans="2:7" ht="45" customHeight="1" x14ac:dyDescent="0.45">
      <c r="B59" s="85" t="s">
        <v>337</v>
      </c>
      <c r="C59" s="86"/>
      <c r="D59" s="86"/>
      <c r="E59" s="86"/>
      <c r="F59" s="86"/>
      <c r="G59" s="86"/>
    </row>
    <row r="60" spans="2:7" ht="58.05" customHeight="1" x14ac:dyDescent="0.45">
      <c r="B60" s="85" t="s">
        <v>338</v>
      </c>
      <c r="C60" s="86"/>
      <c r="D60" s="86"/>
      <c r="E60" s="86"/>
      <c r="F60" s="86"/>
      <c r="G60" s="86"/>
    </row>
    <row r="61" spans="2:7" ht="45" customHeight="1" x14ac:dyDescent="0.45">
      <c r="B61" s="85" t="s">
        <v>339</v>
      </c>
      <c r="C61" s="86"/>
      <c r="D61" s="86"/>
      <c r="E61" s="86"/>
      <c r="F61" s="86"/>
      <c r="G61" s="86"/>
    </row>
    <row r="62" spans="2:7" ht="45" customHeight="1" x14ac:dyDescent="0.45">
      <c r="B62" s="85" t="s">
        <v>340</v>
      </c>
      <c r="C62" s="86"/>
      <c r="D62" s="86"/>
      <c r="E62" s="86"/>
      <c r="F62" s="86"/>
      <c r="G62" s="86"/>
    </row>
    <row r="63" spans="2:7" ht="58.05" customHeight="1" x14ac:dyDescent="0.45">
      <c r="B63" s="85" t="s">
        <v>341</v>
      </c>
      <c r="C63" s="86"/>
      <c r="D63" s="86"/>
      <c r="E63" s="86"/>
      <c r="F63" s="86"/>
      <c r="G63" s="86"/>
    </row>
    <row r="64" spans="2:7" ht="14" customHeight="1" x14ac:dyDescent="0.45"/>
    <row r="65" spans="2:7" ht="14" customHeight="1" x14ac:dyDescent="0.45"/>
    <row r="66" spans="2:7" ht="22.05" customHeight="1" x14ac:dyDescent="0.5">
      <c r="B66" s="7" t="s">
        <v>342</v>
      </c>
      <c r="C66" s="8"/>
      <c r="D66" s="8"/>
      <c r="E66" s="8"/>
      <c r="F66" s="8"/>
      <c r="G66" s="8"/>
    </row>
    <row r="67" spans="2:7" ht="18" customHeight="1" x14ac:dyDescent="0.45">
      <c r="B67" s="13" t="s">
        <v>343</v>
      </c>
    </row>
    <row r="68" spans="2:7" ht="28.05" hidden="1" customHeight="1" outlineLevel="1" x14ac:dyDescent="0.45">
      <c r="B68" s="24" t="s">
        <v>344</v>
      </c>
      <c r="C68" s="24" t="s">
        <v>345</v>
      </c>
      <c r="D68" s="24" t="s">
        <v>346</v>
      </c>
      <c r="E68" s="24" t="s">
        <v>347</v>
      </c>
      <c r="F68" s="24" t="s">
        <v>348</v>
      </c>
      <c r="G68" s="24" t="s">
        <v>349</v>
      </c>
    </row>
    <row r="69" spans="2:7" hidden="1" outlineLevel="1" x14ac:dyDescent="0.45">
      <c r="B69" s="78">
        <v>0.01</v>
      </c>
      <c r="C69" s="78">
        <f t="shared" ref="C69:C100" si="1">1-B69</f>
        <v>0.99</v>
      </c>
      <c r="D69" s="79" cm="1">
        <f t="array" aca="1" ref="D69" ca="1">IF(ISNUMBER(_xll.VoseSimPercentile(Cost_0,$B69)),_xll.VoseSimPercentile(Cost_0,$B69),NA())</f>
        <v>2.3720772898686437</v>
      </c>
      <c r="E69" s="79" cm="1">
        <f t="array" aca="1" ref="E69" ca="1">IF(ISNUMBER(_xll.VoseSimPercentile(Cost_1,$B69)),_xll.VoseSimPercentile(Cost_1,$B69),NA())</f>
        <v>435.11114648118871</v>
      </c>
      <c r="F69" s="79" cm="1">
        <f t="array" aca="1" ref="F69" ca="1">IF(ISNUMBER(_xll.VoseSimPercentile(Cost_2,$B69)),_xll.VoseSimPercentile(Cost_2,$B69),NA())</f>
        <v>863.64392923939886</v>
      </c>
      <c r="G69" s="79" cm="1">
        <f t="array" aca="1" ref="G69" ca="1">IF(ISNUMBER(_xll.VoseSimPercentile(Cost_3,$B69)),_xll.VoseSimPercentile(Cost_3,$B69),NA())</f>
        <v>1294.1098503593109</v>
      </c>
    </row>
    <row r="70" spans="2:7" hidden="1" outlineLevel="1" x14ac:dyDescent="0.45">
      <c r="B70" s="78">
        <v>0.03</v>
      </c>
      <c r="C70" s="78">
        <f t="shared" si="1"/>
        <v>0.97</v>
      </c>
      <c r="D70" s="79" cm="1">
        <f t="array" aca="1" ref="D70" ca="1">IF(ISNUMBER(_xll.VoseSimPercentile(Cost_0,$B70)),_xll.VoseSimPercentile(Cost_0,$B70),NA())</f>
        <v>9.651281304237056</v>
      </c>
      <c r="E70" s="79" cm="1">
        <f t="array" aca="1" ref="E70" ca="1">IF(ISNUMBER(_xll.VoseSimPercentile(Cost_1,$B70)),_xll.VoseSimPercentile(Cost_1,$B70),NA())</f>
        <v>438.41690205632068</v>
      </c>
      <c r="F70" s="79" cm="1">
        <f t="array" aca="1" ref="F70" ca="1">IF(ISNUMBER(_xll.VoseSimPercentile(Cost_2,$B70)),_xll.VoseSimPercentile(Cost_2,$B70),NA())</f>
        <v>870.02120783953887</v>
      </c>
      <c r="G70" s="79" cm="1">
        <f t="array" aca="1" ref="G70" ca="1">IF(ISNUMBER(_xll.VoseSimPercentile(Cost_3,$B70)),_xll.VoseSimPercentile(Cost_3,$B70),NA())</f>
        <v>1299.529251254301</v>
      </c>
    </row>
    <row r="71" spans="2:7" hidden="1" outlineLevel="1" x14ac:dyDescent="0.45">
      <c r="B71" s="78">
        <v>0.05</v>
      </c>
      <c r="C71" s="78">
        <f t="shared" si="1"/>
        <v>0.95</v>
      </c>
      <c r="D71" s="79" cm="1">
        <f t="array" aca="1" ref="D71" ca="1">IF(ISNUMBER(_xll.VoseSimPercentile(Cost_0,$B71)),_xll.VoseSimPercentile(Cost_0,$B71),NA())</f>
        <v>17.828642170949216</v>
      </c>
      <c r="E71" s="79" cm="1">
        <f t="array" aca="1" ref="E71" ca="1">IF(ISNUMBER(_xll.VoseSimPercentile(Cost_1,$B71)),_xll.VoseSimPercentile(Cost_1,$B71),NA())</f>
        <v>440.19829144180642</v>
      </c>
      <c r="F71" s="79" cm="1">
        <f t="array" aca="1" ref="F71" ca="1">IF(ISNUMBER(_xll.VoseSimPercentile(Cost_2,$B71)),_xll.VoseSimPercentile(Cost_2,$B71),NA())</f>
        <v>872.07183803311943</v>
      </c>
      <c r="G71" s="79" cm="1">
        <f t="array" aca="1" ref="G71" ca="1">IF(ISNUMBER(_xll.VoseSimPercentile(Cost_3,$B71)),_xll.VoseSimPercentile(Cost_3,$B71),NA())</f>
        <v>1305.4356031532307</v>
      </c>
    </row>
    <row r="72" spans="2:7" hidden="1" outlineLevel="1" x14ac:dyDescent="0.45">
      <c r="B72" s="78">
        <v>7.0000000000000007E-2</v>
      </c>
      <c r="C72" s="78">
        <f t="shared" si="1"/>
        <v>0.92999999999999994</v>
      </c>
      <c r="D72" s="79" cm="1">
        <f t="array" aca="1" ref="D72" ca="1">IF(ISNUMBER(_xll.VoseSimPercentile(Cost_0,$B72)),_xll.VoseSimPercentile(Cost_0,$B72),NA())</f>
        <v>28.165537296328271</v>
      </c>
      <c r="E72" s="79" cm="1">
        <f t="array" aca="1" ref="E72" ca="1">IF(ISNUMBER(_xll.VoseSimPercentile(Cost_1,$B72)),_xll.VoseSimPercentile(Cost_1,$B72),NA())</f>
        <v>441.91285881089459</v>
      </c>
      <c r="F72" s="79" cm="1">
        <f t="array" aca="1" ref="F72" ca="1">IF(ISNUMBER(_xll.VoseSimPercentile(Cost_2,$B72)),_xll.VoseSimPercentile(Cost_2,$B72),NA())</f>
        <v>874.82247617123778</v>
      </c>
      <c r="G72" s="79" cm="1">
        <f t="array" aca="1" ref="G72" ca="1">IF(ISNUMBER(_xll.VoseSimPercentile(Cost_3,$B72)),_xll.VoseSimPercentile(Cost_3,$B72),NA())</f>
        <v>1307.2350461530855</v>
      </c>
    </row>
    <row r="73" spans="2:7" hidden="1" outlineLevel="1" x14ac:dyDescent="0.45">
      <c r="B73" s="78">
        <v>0.09</v>
      </c>
      <c r="C73" s="78">
        <f t="shared" si="1"/>
        <v>0.91</v>
      </c>
      <c r="D73" s="79" cm="1">
        <f t="array" aca="1" ref="D73" ca="1">IF(ISNUMBER(_xll.VoseSimPercentile(Cost_0,$B73)),_xll.VoseSimPercentile(Cost_0,$B73),NA())</f>
        <v>38.86451184516406</v>
      </c>
      <c r="E73" s="79" cm="1">
        <f t="array" aca="1" ref="E73" ca="1">IF(ISNUMBER(_xll.VoseSimPercentile(Cost_1,$B73)),_xll.VoseSimPercentile(Cost_1,$B73),NA())</f>
        <v>443.21004040650939</v>
      </c>
      <c r="F73" s="79" cm="1">
        <f t="array" aca="1" ref="F73" ca="1">IF(ISNUMBER(_xll.VoseSimPercentile(Cost_2,$B73)),_xll.VoseSimPercentile(Cost_2,$B73),NA())</f>
        <v>877.39901139945141</v>
      </c>
      <c r="G73" s="79" cm="1">
        <f t="array" aca="1" ref="G73" ca="1">IF(ISNUMBER(_xll.VoseSimPercentile(Cost_3,$B73)),_xll.VoseSimPercentile(Cost_3,$B73),NA())</f>
        <v>1309.4126206808201</v>
      </c>
    </row>
    <row r="74" spans="2:7" hidden="1" outlineLevel="1" x14ac:dyDescent="0.45">
      <c r="B74" s="78">
        <v>0.11</v>
      </c>
      <c r="C74" s="78">
        <f t="shared" si="1"/>
        <v>0.89</v>
      </c>
      <c r="D74" s="79" cm="1">
        <f t="array" aca="1" ref="D74" ca="1">IF(ISNUMBER(_xll.VoseSimPercentile(Cost_0,$B74)),_xll.VoseSimPercentile(Cost_0,$B74),NA())</f>
        <v>49.421543231587201</v>
      </c>
      <c r="E74" s="79" cm="1">
        <f t="array" aca="1" ref="E74" ca="1">IF(ISNUMBER(_xll.VoseSimPercentile(Cost_1,$B74)),_xll.VoseSimPercentile(Cost_1,$B74),NA())</f>
        <v>444.44476111632696</v>
      </c>
      <c r="F74" s="79" cm="1">
        <f t="array" aca="1" ref="F74" ca="1">IF(ISNUMBER(_xll.VoseSimPercentile(Cost_2,$B74)),_xll.VoseSimPercentile(Cost_2,$B74),NA())</f>
        <v>878.61194151853215</v>
      </c>
      <c r="G74" s="79" cm="1">
        <f t="array" aca="1" ref="G74" ca="1">IF(ISNUMBER(_xll.VoseSimPercentile(Cost_3,$B74)),_xll.VoseSimPercentile(Cost_3,$B74),NA())</f>
        <v>1311.4710548391943</v>
      </c>
    </row>
    <row r="75" spans="2:7" hidden="1" outlineLevel="1" x14ac:dyDescent="0.45">
      <c r="B75" s="78">
        <v>0.13</v>
      </c>
      <c r="C75" s="78">
        <f t="shared" si="1"/>
        <v>0.87</v>
      </c>
      <c r="D75" s="79" cm="1">
        <f t="array" aca="1" ref="D75" ca="1">IF(ISNUMBER(_xll.VoseSimPercentile(Cost_0,$B75)),_xll.VoseSimPercentile(Cost_0,$B75),NA())</f>
        <v>61.573467987092172</v>
      </c>
      <c r="E75" s="79" cm="1">
        <f t="array" aca="1" ref="E75" ca="1">IF(ISNUMBER(_xll.VoseSimPercentile(Cost_1,$B75)),_xll.VoseSimPercentile(Cost_1,$B75),NA())</f>
        <v>445.55437691004897</v>
      </c>
      <c r="F75" s="79" cm="1">
        <f t="array" aca="1" ref="F75" ca="1">IF(ISNUMBER(_xll.VoseSimPercentile(Cost_2,$B75)),_xll.VoseSimPercentile(Cost_2,$B75),NA())</f>
        <v>879.76604575855777</v>
      </c>
      <c r="G75" s="79" cm="1">
        <f t="array" aca="1" ref="G75" ca="1">IF(ISNUMBER(_xll.VoseSimPercentile(Cost_3,$B75)),_xll.VoseSimPercentile(Cost_3,$B75),NA())</f>
        <v>1313.6598904536431</v>
      </c>
    </row>
    <row r="76" spans="2:7" hidden="1" outlineLevel="1" x14ac:dyDescent="0.45">
      <c r="B76" s="78">
        <v>0.15</v>
      </c>
      <c r="C76" s="78">
        <f t="shared" si="1"/>
        <v>0.85</v>
      </c>
      <c r="D76" s="79" cm="1">
        <f t="array" aca="1" ref="D76" ca="1">IF(ISNUMBER(_xll.VoseSimPercentile(Cost_0,$B76)),_xll.VoseSimPercentile(Cost_0,$B76),NA())</f>
        <v>74.960461332174589</v>
      </c>
      <c r="E76" s="79" cm="1">
        <f t="array" aca="1" ref="E76" ca="1">IF(ISNUMBER(_xll.VoseSimPercentile(Cost_1,$B76)),_xll.VoseSimPercentile(Cost_1,$B76),NA())</f>
        <v>446.84130473486169</v>
      </c>
      <c r="F76" s="79" cm="1">
        <f t="array" aca="1" ref="F76" ca="1">IF(ISNUMBER(_xll.VoseSimPercentile(Cost_2,$B76)),_xll.VoseSimPercentile(Cost_2,$B76),NA())</f>
        <v>880.70596570120802</v>
      </c>
      <c r="G76" s="79" cm="1">
        <f t="array" aca="1" ref="G76" ca="1">IF(ISNUMBER(_xll.VoseSimPercentile(Cost_3,$B76)),_xll.VoseSimPercentile(Cost_3,$B76),NA())</f>
        <v>1315.9097578951043</v>
      </c>
    </row>
    <row r="77" spans="2:7" hidden="1" outlineLevel="1" x14ac:dyDescent="0.45">
      <c r="B77" s="78">
        <v>0.17</v>
      </c>
      <c r="C77" s="78">
        <f t="shared" si="1"/>
        <v>0.83</v>
      </c>
      <c r="D77" s="79" cm="1">
        <f t="array" aca="1" ref="D77" ca="1">IF(ISNUMBER(_xll.VoseSimPercentile(Cost_0,$B77)),_xll.VoseSimPercentile(Cost_0,$B77),NA())</f>
        <v>90.333491469871149</v>
      </c>
      <c r="E77" s="79" cm="1">
        <f t="array" aca="1" ref="E77" ca="1">IF(ISNUMBER(_xll.VoseSimPercentile(Cost_1,$B77)),_xll.VoseSimPercentile(Cost_1,$B77),NA())</f>
        <v>447.97929121009616</v>
      </c>
      <c r="F77" s="79" cm="1">
        <f t="array" aca="1" ref="F77" ca="1">IF(ISNUMBER(_xll.VoseSimPercentile(Cost_2,$B77)),_xll.VoseSimPercentile(Cost_2,$B77),NA())</f>
        <v>881.94859541856817</v>
      </c>
      <c r="G77" s="79" cm="1">
        <f t="array" aca="1" ref="G77" ca="1">IF(ISNUMBER(_xll.VoseSimPercentile(Cost_3,$B77)),_xll.VoseSimPercentile(Cost_3,$B77),NA())</f>
        <v>1317.2552771742619</v>
      </c>
    </row>
    <row r="78" spans="2:7" hidden="1" outlineLevel="1" x14ac:dyDescent="0.45">
      <c r="B78" s="78">
        <v>0.19</v>
      </c>
      <c r="C78" s="78">
        <f t="shared" si="1"/>
        <v>0.81</v>
      </c>
      <c r="D78" s="79" cm="1">
        <f t="array" aca="1" ref="D78" ca="1">IF(ISNUMBER(_xll.VoseSimPercentile(Cost_0,$B78)),_xll.VoseSimPercentile(Cost_0,$B78),NA())</f>
        <v>105.534507695371</v>
      </c>
      <c r="E78" s="79" cm="1">
        <f t="array" aca="1" ref="E78" ca="1">IF(ISNUMBER(_xll.VoseSimPercentile(Cost_1,$B78)),_xll.VoseSimPercentile(Cost_1,$B78),NA())</f>
        <v>449.40386701722809</v>
      </c>
      <c r="F78" s="79" cm="1">
        <f t="array" aca="1" ref="F78" ca="1">IF(ISNUMBER(_xll.VoseSimPercentile(Cost_2,$B78)),_xll.VoseSimPercentile(Cost_2,$B78),NA())</f>
        <v>883.19214698415396</v>
      </c>
      <c r="G78" s="79" cm="1">
        <f t="array" aca="1" ref="G78" ca="1">IF(ISNUMBER(_xll.VoseSimPercentile(Cost_3,$B78)),_xll.VoseSimPercentile(Cost_3,$B78),NA())</f>
        <v>1318.3483123961307</v>
      </c>
    </row>
    <row r="79" spans="2:7" hidden="1" outlineLevel="1" x14ac:dyDescent="0.45">
      <c r="B79" s="78">
        <v>0.21</v>
      </c>
      <c r="C79" s="78">
        <f t="shared" si="1"/>
        <v>0.79</v>
      </c>
      <c r="D79" s="79" cm="1">
        <f t="array" aca="1" ref="D79" ca="1">IF(ISNUMBER(_xll.VoseSimPercentile(Cost_0,$B79)),_xll.VoseSimPercentile(Cost_0,$B79),NA())</f>
        <v>123.62459585508084</v>
      </c>
      <c r="E79" s="79" cm="1">
        <f t="array" aca="1" ref="E79" ca="1">IF(ISNUMBER(_xll.VoseSimPercentile(Cost_1,$B79)),_xll.VoseSimPercentile(Cost_1,$B79),NA())</f>
        <v>451.02014820906533</v>
      </c>
      <c r="F79" s="79" cm="1">
        <f t="array" aca="1" ref="F79" ca="1">IF(ISNUMBER(_xll.VoseSimPercentile(Cost_2,$B79)),_xll.VoseSimPercentile(Cost_2,$B79),NA())</f>
        <v>884.3426532934061</v>
      </c>
      <c r="G79" s="79" cm="1">
        <f t="array" aca="1" ref="G79" ca="1">IF(ISNUMBER(_xll.VoseSimPercentile(Cost_3,$B79)),_xll.VoseSimPercentile(Cost_3,$B79),NA())</f>
        <v>1319.2781338607938</v>
      </c>
    </row>
    <row r="80" spans="2:7" hidden="1" outlineLevel="1" x14ac:dyDescent="0.45">
      <c r="B80" s="78">
        <v>0.23</v>
      </c>
      <c r="C80" s="78">
        <f t="shared" si="1"/>
        <v>0.77</v>
      </c>
      <c r="D80" s="79" cm="1">
        <f t="array" aca="1" ref="D80" ca="1">IF(ISNUMBER(_xll.VoseSimPercentile(Cost_0,$B80)),_xll.VoseSimPercentile(Cost_0,$B80),NA())</f>
        <v>145.28131750885495</v>
      </c>
      <c r="E80" s="79" cm="1">
        <f t="array" aca="1" ref="E80" ca="1">IF(ISNUMBER(_xll.VoseSimPercentile(Cost_1,$B80)),_xll.VoseSimPercentile(Cost_1,$B80),NA())</f>
        <v>452.63780902757219</v>
      </c>
      <c r="F80" s="79" cm="1">
        <f t="array" aca="1" ref="F80" ca="1">IF(ISNUMBER(_xll.VoseSimPercentile(Cost_2,$B80)),_xll.VoseSimPercentile(Cost_2,$B80),NA())</f>
        <v>885.56643019122419</v>
      </c>
      <c r="G80" s="79" cm="1">
        <f t="array" aca="1" ref="G80" ca="1">IF(ISNUMBER(_xll.VoseSimPercentile(Cost_3,$B80)),_xll.VoseSimPercentile(Cost_3,$B80),NA())</f>
        <v>1320.1208855837788</v>
      </c>
    </row>
    <row r="81" spans="2:7" hidden="1" outlineLevel="1" x14ac:dyDescent="0.45">
      <c r="B81" s="78">
        <v>0.25</v>
      </c>
      <c r="C81" s="78">
        <f t="shared" si="1"/>
        <v>0.75</v>
      </c>
      <c r="D81" s="79" cm="1">
        <f t="array" aca="1" ref="D81" ca="1">IF(ISNUMBER(_xll.VoseSimPercentile(Cost_0,$B81)),_xll.VoseSimPercentile(Cost_0,$B81),NA())</f>
        <v>166.66859013640646</v>
      </c>
      <c r="E81" s="79" cm="1">
        <f t="array" aca="1" ref="E81" ca="1">IF(ISNUMBER(_xll.VoseSimPercentile(Cost_1,$B81)),_xll.VoseSimPercentile(Cost_1,$B81),NA())</f>
        <v>454.90869133531413</v>
      </c>
      <c r="F81" s="79" cm="1">
        <f t="array" aca="1" ref="F81" ca="1">IF(ISNUMBER(_xll.VoseSimPercentile(Cost_2,$B81)),_xll.VoseSimPercentile(Cost_2,$B81),NA())</f>
        <v>885.96561332840008</v>
      </c>
      <c r="G81" s="79" cm="1">
        <f t="array" aca="1" ref="G81" ca="1">IF(ISNUMBER(_xll.VoseSimPercentile(Cost_3,$B81)),_xll.VoseSimPercentile(Cost_3,$B81),NA())</f>
        <v>1321.1507104832256</v>
      </c>
    </row>
    <row r="82" spans="2:7" hidden="1" outlineLevel="1" x14ac:dyDescent="0.45">
      <c r="B82" s="78">
        <v>0.27</v>
      </c>
      <c r="C82" s="78">
        <f t="shared" si="1"/>
        <v>0.73</v>
      </c>
      <c r="D82" s="79" cm="1">
        <f t="array" aca="1" ref="D82" ca="1">IF(ISNUMBER(_xll.VoseSimPercentile(Cost_0,$B82)),_xll.VoseSimPercentile(Cost_0,$B82),NA())</f>
        <v>192.40684180976268</v>
      </c>
      <c r="E82" s="79" cm="1">
        <f t="array" aca="1" ref="E82" ca="1">IF(ISNUMBER(_xll.VoseSimPercentile(Cost_1,$B82)),_xll.VoseSimPercentile(Cost_1,$B82),NA())</f>
        <v>457.01700814297112</v>
      </c>
      <c r="F82" s="79" cm="1">
        <f t="array" aca="1" ref="F82" ca="1">IF(ISNUMBER(_xll.VoseSimPercentile(Cost_2,$B82)),_xll.VoseSimPercentile(Cost_2,$B82),NA())</f>
        <v>886.65011470008972</v>
      </c>
      <c r="G82" s="79" cm="1">
        <f t="array" aca="1" ref="G82" ca="1">IF(ISNUMBER(_xll.VoseSimPercentile(Cost_3,$B82)),_xll.VoseSimPercentile(Cost_3,$B82),NA())</f>
        <v>1322.251399314632</v>
      </c>
    </row>
    <row r="83" spans="2:7" hidden="1" outlineLevel="1" x14ac:dyDescent="0.45">
      <c r="B83" s="78">
        <v>0.28999999999999998</v>
      </c>
      <c r="C83" s="78">
        <f t="shared" si="1"/>
        <v>0.71</v>
      </c>
      <c r="D83" s="79" cm="1">
        <f t="array" aca="1" ref="D83" ca="1">IF(ISNUMBER(_xll.VoseSimPercentile(Cost_0,$B83)),_xll.VoseSimPercentile(Cost_0,$B83),NA())</f>
        <v>217.487818925677</v>
      </c>
      <c r="E83" s="79" cm="1">
        <f t="array" aca="1" ref="E83" ca="1">IF(ISNUMBER(_xll.VoseSimPercentile(Cost_1,$B83)),_xll.VoseSimPercentile(Cost_1,$B83),NA())</f>
        <v>459.56734060627542</v>
      </c>
      <c r="F83" s="79" cm="1">
        <f t="array" aca="1" ref="F83" ca="1">IF(ISNUMBER(_xll.VoseSimPercentile(Cost_2,$B83)),_xll.VoseSimPercentile(Cost_2,$B83),NA())</f>
        <v>887.35736481842821</v>
      </c>
      <c r="G83" s="79" cm="1">
        <f t="array" aca="1" ref="G83" ca="1">IF(ISNUMBER(_xll.VoseSimPercentile(Cost_3,$B83)),_xll.VoseSimPercentile(Cost_3,$B83),NA())</f>
        <v>1323.2583816568508</v>
      </c>
    </row>
    <row r="84" spans="2:7" hidden="1" outlineLevel="1" x14ac:dyDescent="0.45">
      <c r="B84" s="78">
        <v>0.31</v>
      </c>
      <c r="C84" s="78">
        <f t="shared" si="1"/>
        <v>0.69</v>
      </c>
      <c r="D84" s="79" cm="1">
        <f t="array" aca="1" ref="D84" ca="1">IF(ISNUMBER(_xll.VoseSimPercentile(Cost_0,$B84)),_xll.VoseSimPercentile(Cost_0,$B84),NA())</f>
        <v>243.42909247031216</v>
      </c>
      <c r="E84" s="79" cm="1">
        <f t="array" aca="1" ref="E84" ca="1">IF(ISNUMBER(_xll.VoseSimPercentile(Cost_1,$B84)),_xll.VoseSimPercentile(Cost_1,$B84),NA())</f>
        <v>462.39090039319598</v>
      </c>
      <c r="F84" s="79" cm="1">
        <f t="array" aca="1" ref="F84" ca="1">IF(ISNUMBER(_xll.VoseSimPercentile(Cost_2,$B84)),_xll.VoseSimPercentile(Cost_2,$B84),NA())</f>
        <v>888.02703810273863</v>
      </c>
      <c r="G84" s="79" cm="1">
        <f t="array" aca="1" ref="G84" ca="1">IF(ISNUMBER(_xll.VoseSimPercentile(Cost_3,$B84)),_xll.VoseSimPercentile(Cost_3,$B84),NA())</f>
        <v>1324.3207725306254</v>
      </c>
    </row>
    <row r="85" spans="2:7" hidden="1" outlineLevel="1" x14ac:dyDescent="0.45">
      <c r="B85" s="78">
        <v>0.33</v>
      </c>
      <c r="C85" s="78">
        <f t="shared" si="1"/>
        <v>0.66999999999999993</v>
      </c>
      <c r="D85" s="79" cm="1">
        <f t="array" aca="1" ref="D85" ca="1">IF(ISNUMBER(_xll.VoseSimPercentile(Cost_0,$B85)),_xll.VoseSimPercentile(Cost_0,$B85),NA())</f>
        <v>271.97248910535166</v>
      </c>
      <c r="E85" s="79" cm="1">
        <f t="array" aca="1" ref="E85" ca="1">IF(ISNUMBER(_xll.VoseSimPercentile(Cost_1,$B85)),_xll.VoseSimPercentile(Cost_1,$B85),NA())</f>
        <v>465.07378198029045</v>
      </c>
      <c r="F85" s="79" cm="1">
        <f t="array" aca="1" ref="F85" ca="1">IF(ISNUMBER(_xll.VoseSimPercentile(Cost_2,$B85)),_xll.VoseSimPercentile(Cost_2,$B85),NA())</f>
        <v>888.82508671493633</v>
      </c>
      <c r="G85" s="79" cm="1">
        <f t="array" aca="1" ref="G85" ca="1">IF(ISNUMBER(_xll.VoseSimPercentile(Cost_3,$B85)),_xll.VoseSimPercentile(Cost_3,$B85),NA())</f>
        <v>1325.4860147298439</v>
      </c>
    </row>
    <row r="86" spans="2:7" hidden="1" outlineLevel="1" x14ac:dyDescent="0.45">
      <c r="B86" s="78">
        <v>0.35</v>
      </c>
      <c r="C86" s="78">
        <f t="shared" si="1"/>
        <v>0.65</v>
      </c>
      <c r="D86" s="79" cm="1">
        <f t="array" aca="1" ref="D86" ca="1">IF(ISNUMBER(_xll.VoseSimPercentile(Cost_0,$B86)),_xll.VoseSimPercentile(Cost_0,$B86),NA())</f>
        <v>303.72526454039087</v>
      </c>
      <c r="E86" s="79" cm="1">
        <f t="array" aca="1" ref="E86" ca="1">IF(ISNUMBER(_xll.VoseSimPercentile(Cost_1,$B86)),_xll.VoseSimPercentile(Cost_1,$B86),NA())</f>
        <v>468.85211638147507</v>
      </c>
      <c r="F86" s="79" cm="1">
        <f t="array" aca="1" ref="F86" ca="1">IF(ISNUMBER(_xll.VoseSimPercentile(Cost_2,$B86)),_xll.VoseSimPercentile(Cost_2,$B86),NA())</f>
        <v>889.75195148921978</v>
      </c>
      <c r="G86" s="79" cm="1">
        <f t="array" aca="1" ref="G86" ca="1">IF(ISNUMBER(_xll.VoseSimPercentile(Cost_3,$B86)),_xll.VoseSimPercentile(Cost_3,$B86),NA())</f>
        <v>1326.7418474880224</v>
      </c>
    </row>
    <row r="87" spans="2:7" hidden="1" outlineLevel="1" x14ac:dyDescent="0.45">
      <c r="B87" s="78">
        <v>0.37</v>
      </c>
      <c r="C87" s="78">
        <f t="shared" si="1"/>
        <v>0.63</v>
      </c>
      <c r="D87" s="79" cm="1">
        <f t="array" aca="1" ref="D87" ca="1">IF(ISNUMBER(_xll.VoseSimPercentile(Cost_0,$B87)),_xll.VoseSimPercentile(Cost_0,$B87),NA())</f>
        <v>335.31630323283787</v>
      </c>
      <c r="E87" s="79" cm="1">
        <f t="array" aca="1" ref="E87" ca="1">IF(ISNUMBER(_xll.VoseSimPercentile(Cost_1,$B87)),_xll.VoseSimPercentile(Cost_1,$B87),NA())</f>
        <v>472.84916925256653</v>
      </c>
      <c r="F87" s="79" cm="1">
        <f t="array" aca="1" ref="F87" ca="1">IF(ISNUMBER(_xll.VoseSimPercentile(Cost_2,$B87)),_xll.VoseSimPercentile(Cost_2,$B87),NA())</f>
        <v>890.60361761521824</v>
      </c>
      <c r="G87" s="79" cm="1">
        <f t="array" aca="1" ref="G87" ca="1">IF(ISNUMBER(_xll.VoseSimPercentile(Cost_3,$B87)),_xll.VoseSimPercentile(Cost_3,$B87),NA())</f>
        <v>1328.1467302838334</v>
      </c>
    </row>
    <row r="88" spans="2:7" hidden="1" outlineLevel="1" x14ac:dyDescent="0.45">
      <c r="B88" s="78">
        <v>0.39</v>
      </c>
      <c r="C88" s="78">
        <f t="shared" si="1"/>
        <v>0.61</v>
      </c>
      <c r="D88" s="79" cm="1">
        <f t="array" aca="1" ref="D88" ca="1">IF(ISNUMBER(_xll.VoseSimPercentile(Cost_0,$B88)),_xll.VoseSimPercentile(Cost_0,$B88),NA())</f>
        <v>369.04382844916438</v>
      </c>
      <c r="E88" s="79" cm="1">
        <f t="array" aca="1" ref="E88" ca="1">IF(ISNUMBER(_xll.VoseSimPercentile(Cost_1,$B88)),_xll.VoseSimPercentile(Cost_1,$B88),NA())</f>
        <v>477.77512240641551</v>
      </c>
      <c r="F88" s="79" cm="1">
        <f t="array" aca="1" ref="F88" ca="1">IF(ISNUMBER(_xll.VoseSimPercentile(Cost_2,$B88)),_xll.VoseSimPercentile(Cost_2,$B88),NA())</f>
        <v>891.68822719900606</v>
      </c>
      <c r="G88" s="79" cm="1">
        <f t="array" aca="1" ref="G88" ca="1">IF(ISNUMBER(_xll.VoseSimPercentile(Cost_3,$B88)),_xll.VoseSimPercentile(Cost_3,$B88),NA())</f>
        <v>1328.5776183389205</v>
      </c>
    </row>
    <row r="89" spans="2:7" hidden="1" outlineLevel="1" x14ac:dyDescent="0.45">
      <c r="B89" s="78">
        <v>0.41</v>
      </c>
      <c r="C89" s="78">
        <f t="shared" si="1"/>
        <v>0.59000000000000008</v>
      </c>
      <c r="D89" s="79" cm="1">
        <f t="array" aca="1" ref="D89" ca="1">IF(ISNUMBER(_xll.VoseSimPercentile(Cost_0,$B89)),_xll.VoseSimPercentile(Cost_0,$B89),NA())</f>
        <v>405.58676891241555</v>
      </c>
      <c r="E89" s="79" cm="1">
        <f t="array" aca="1" ref="E89" ca="1">IF(ISNUMBER(_xll.VoseSimPercentile(Cost_1,$B89)),_xll.VoseSimPercentile(Cost_1,$B89),NA())</f>
        <v>483.01707304123812</v>
      </c>
      <c r="F89" s="79" cm="1">
        <f t="array" aca="1" ref="F89" ca="1">IF(ISNUMBER(_xll.VoseSimPercentile(Cost_2,$B89)),_xll.VoseSimPercentile(Cost_2,$B89),NA())</f>
        <v>892.67311235806881</v>
      </c>
      <c r="G89" s="79" cm="1">
        <f t="array" aca="1" ref="G89" ca="1">IF(ISNUMBER(_xll.VoseSimPercentile(Cost_3,$B89)),_xll.VoseSimPercentile(Cost_3,$B89),NA())</f>
        <v>1329.1943233203531</v>
      </c>
    </row>
    <row r="90" spans="2:7" hidden="1" outlineLevel="1" x14ac:dyDescent="0.45">
      <c r="B90" s="78">
        <v>0.43</v>
      </c>
      <c r="C90" s="78">
        <f t="shared" si="1"/>
        <v>0.57000000000000006</v>
      </c>
      <c r="D90" s="79" cm="1">
        <f t="array" aca="1" ref="D90" ca="1">IF(ISNUMBER(_xll.VoseSimPercentile(Cost_0,$B90)),_xll.VoseSimPercentile(Cost_0,$B90),NA())</f>
        <v>440.51048861221415</v>
      </c>
      <c r="E90" s="79" cm="1">
        <f t="array" aca="1" ref="E90" ca="1">IF(ISNUMBER(_xll.VoseSimPercentile(Cost_1,$B90)),_xll.VoseSimPercentile(Cost_1,$B90),NA())</f>
        <v>488.09005547625242</v>
      </c>
      <c r="F90" s="79" cm="1">
        <f t="array" aca="1" ref="F90" ca="1">IF(ISNUMBER(_xll.VoseSimPercentile(Cost_2,$B90)),_xll.VoseSimPercentile(Cost_2,$B90),NA())</f>
        <v>893.62185518727426</v>
      </c>
      <c r="G90" s="79" cm="1">
        <f t="array" aca="1" ref="G90" ca="1">IF(ISNUMBER(_xll.VoseSimPercentile(Cost_3,$B90)),_xll.VoseSimPercentile(Cost_3,$B90),NA())</f>
        <v>1329.7929834916031</v>
      </c>
    </row>
    <row r="91" spans="2:7" hidden="1" outlineLevel="1" x14ac:dyDescent="0.45">
      <c r="B91" s="78">
        <v>0.45</v>
      </c>
      <c r="C91" s="78">
        <f t="shared" si="1"/>
        <v>0.55000000000000004</v>
      </c>
      <c r="D91" s="79" cm="1">
        <f t="array" aca="1" ref="D91" ca="1">IF(ISNUMBER(_xll.VoseSimPercentile(Cost_0,$B91)),_xll.VoseSimPercentile(Cost_0,$B91),NA())</f>
        <v>478.03626359324051</v>
      </c>
      <c r="E91" s="79" cm="1">
        <f t="array" aca="1" ref="E91" ca="1">IF(ISNUMBER(_xll.VoseSimPercentile(Cost_1,$B91)),_xll.VoseSimPercentile(Cost_1,$B91),NA())</f>
        <v>495.06539629057232</v>
      </c>
      <c r="F91" s="79" cm="1">
        <f t="array" aca="1" ref="F91" ca="1">IF(ISNUMBER(_xll.VoseSimPercentile(Cost_2,$B91)),_xll.VoseSimPercentile(Cost_2,$B91),NA())</f>
        <v>894.55650206299822</v>
      </c>
      <c r="G91" s="79" cm="1">
        <f t="array" aca="1" ref="G91" ca="1">IF(ISNUMBER(_xll.VoseSimPercentile(Cost_3,$B91)),_xll.VoseSimPercentile(Cost_3,$B91),NA())</f>
        <v>1330.3265170274647</v>
      </c>
    </row>
    <row r="92" spans="2:7" hidden="1" outlineLevel="1" x14ac:dyDescent="0.45">
      <c r="B92" s="78">
        <v>0.47</v>
      </c>
      <c r="C92" s="78">
        <f t="shared" si="1"/>
        <v>0.53</v>
      </c>
      <c r="D92" s="79" cm="1">
        <f t="array" aca="1" ref="D92" ca="1">IF(ISNUMBER(_xll.VoseSimPercentile(Cost_0,$B92)),_xll.VoseSimPercentile(Cost_0,$B92),NA())</f>
        <v>516.50232235053704</v>
      </c>
      <c r="E92" s="79" cm="1">
        <f t="array" aca="1" ref="E92" ca="1">IF(ISNUMBER(_xll.VoseSimPercentile(Cost_1,$B92)),_xll.VoseSimPercentile(Cost_1,$B92),NA())</f>
        <v>502.69155148705937</v>
      </c>
      <c r="F92" s="79" cm="1">
        <f t="array" aca="1" ref="F92" ca="1">IF(ISNUMBER(_xll.VoseSimPercentile(Cost_2,$B92)),_xll.VoseSimPercentile(Cost_2,$B92),NA())</f>
        <v>895.69703729426158</v>
      </c>
      <c r="G92" s="79" cm="1">
        <f t="array" aca="1" ref="G92" ca="1">IF(ISNUMBER(_xll.VoseSimPercentile(Cost_3,$B92)),_xll.VoseSimPercentile(Cost_3,$B92),NA())</f>
        <v>1330.8513491825477</v>
      </c>
    </row>
    <row r="93" spans="2:7" hidden="1" outlineLevel="1" x14ac:dyDescent="0.45">
      <c r="B93" s="78">
        <v>0.49</v>
      </c>
      <c r="C93" s="78">
        <f t="shared" si="1"/>
        <v>0.51</v>
      </c>
      <c r="D93" s="79" cm="1">
        <f t="array" aca="1" ref="D93" ca="1">IF(ISNUMBER(_xll.VoseSimPercentile(Cost_0,$B93)),_xll.VoseSimPercentile(Cost_0,$B93),NA())</f>
        <v>554.73423971616307</v>
      </c>
      <c r="E93" s="79" cm="1">
        <f t="array" aca="1" ref="E93" ca="1">IF(ISNUMBER(_xll.VoseSimPercentile(Cost_1,$B93)),_xll.VoseSimPercentile(Cost_1,$B93),NA())</f>
        <v>511.67762093531115</v>
      </c>
      <c r="F93" s="79" cm="1">
        <f t="array" aca="1" ref="F93" ca="1">IF(ISNUMBER(_xll.VoseSimPercentile(Cost_2,$B93)),_xll.VoseSimPercentile(Cost_2,$B93),NA())</f>
        <v>897.15410930909707</v>
      </c>
      <c r="G93" s="79" cm="1">
        <f t="array" aca="1" ref="G93" ca="1">IF(ISNUMBER(_xll.VoseSimPercentile(Cost_3,$B93)),_xll.VoseSimPercentile(Cost_3,$B93),NA())</f>
        <v>1331.5882533344493</v>
      </c>
    </row>
    <row r="94" spans="2:7" hidden="1" outlineLevel="1" x14ac:dyDescent="0.45">
      <c r="B94" s="78">
        <v>0.51</v>
      </c>
      <c r="C94" s="78">
        <f t="shared" si="1"/>
        <v>0.49</v>
      </c>
      <c r="D94" s="79" cm="1">
        <f t="array" aca="1" ref="D94" ca="1">IF(ISNUMBER(_xll.VoseSimPercentile(Cost_0,$B94)),_xll.VoseSimPercentile(Cost_0,$B94),NA())</f>
        <v>593.88386945255445</v>
      </c>
      <c r="E94" s="79" cm="1">
        <f t="array" aca="1" ref="E94" ca="1">IF(ISNUMBER(_xll.VoseSimPercentile(Cost_1,$B94)),_xll.VoseSimPercentile(Cost_1,$B94),NA())</f>
        <v>520.9265964166151</v>
      </c>
      <c r="F94" s="79" cm="1">
        <f t="array" aca="1" ref="F94" ca="1">IF(ISNUMBER(_xll.VoseSimPercentile(Cost_2,$B94)),_xll.VoseSimPercentile(Cost_2,$B94),NA())</f>
        <v>898.66085795989363</v>
      </c>
      <c r="G94" s="79" cm="1">
        <f t="array" aca="1" ref="G94" ca="1">IF(ISNUMBER(_xll.VoseSimPercentile(Cost_3,$B94)),_xll.VoseSimPercentile(Cost_3,$B94),NA())</f>
        <v>1332.5137384016718</v>
      </c>
    </row>
    <row r="95" spans="2:7" hidden="1" outlineLevel="1" x14ac:dyDescent="0.45">
      <c r="B95" s="78">
        <v>0.53</v>
      </c>
      <c r="C95" s="78">
        <f t="shared" si="1"/>
        <v>0.47</v>
      </c>
      <c r="D95" s="79" cm="1">
        <f t="array" aca="1" ref="D95" ca="1">IF(ISNUMBER(_xll.VoseSimPercentile(Cost_0,$B95)),_xll.VoseSimPercentile(Cost_0,$B95),NA())</f>
        <v>644.7158009045736</v>
      </c>
      <c r="E95" s="79" cm="1">
        <f t="array" aca="1" ref="E95" ca="1">IF(ISNUMBER(_xll.VoseSimPercentile(Cost_1,$B95)),_xll.VoseSimPercentile(Cost_1,$B95),NA())</f>
        <v>532.67869159231566</v>
      </c>
      <c r="F95" s="79" cm="1">
        <f t="array" aca="1" ref="F95" ca="1">IF(ISNUMBER(_xll.VoseSimPercentile(Cost_2,$B95)),_xll.VoseSimPercentile(Cost_2,$B95),NA())</f>
        <v>900.27297484216297</v>
      </c>
      <c r="G95" s="79" cm="1">
        <f t="array" aca="1" ref="G95" ca="1">IF(ISNUMBER(_xll.VoseSimPercentile(Cost_3,$B95)),_xll.VoseSimPercentile(Cost_3,$B95),NA())</f>
        <v>1333.2693509116784</v>
      </c>
    </row>
    <row r="96" spans="2:7" hidden="1" outlineLevel="1" x14ac:dyDescent="0.45">
      <c r="B96" s="78">
        <v>0.55000000000000004</v>
      </c>
      <c r="C96" s="78">
        <f t="shared" si="1"/>
        <v>0.44999999999999996</v>
      </c>
      <c r="D96" s="79" cm="1">
        <f t="array" aca="1" ref="D96" ca="1">IF(ISNUMBER(_xll.VoseSimPercentile(Cost_0,$B96)),_xll.VoseSimPercentile(Cost_0,$B96),NA())</f>
        <v>702.07951293419069</v>
      </c>
      <c r="E96" s="79" cm="1">
        <f t="array" aca="1" ref="E96" ca="1">IF(ISNUMBER(_xll.VoseSimPercentile(Cost_1,$B96)),_xll.VoseSimPercentile(Cost_1,$B96),NA())</f>
        <v>545.12039348010944</v>
      </c>
      <c r="F96" s="79" cm="1">
        <f t="array" aca="1" ref="F96" ca="1">IF(ISNUMBER(_xll.VoseSimPercentile(Cost_2,$B96)),_xll.VoseSimPercentile(Cost_2,$B96),NA())</f>
        <v>902.05813047281322</v>
      </c>
      <c r="G96" s="79" cm="1">
        <f t="array" aca="1" ref="G96" ca="1">IF(ISNUMBER(_xll.VoseSimPercentile(Cost_3,$B96)),_xll.VoseSimPercentile(Cost_3,$B96),NA())</f>
        <v>1334.1557503871193</v>
      </c>
    </row>
    <row r="97" spans="2:7" hidden="1" outlineLevel="1" x14ac:dyDescent="0.45">
      <c r="B97" s="78">
        <v>0.56999999999999995</v>
      </c>
      <c r="C97" s="78">
        <f t="shared" si="1"/>
        <v>0.43000000000000005</v>
      </c>
      <c r="D97" s="79" cm="1">
        <f t="array" aca="1" ref="D97" ca="1">IF(ISNUMBER(_xll.VoseSimPercentile(Cost_0,$B97)),_xll.VoseSimPercentile(Cost_0,$B97),NA())</f>
        <v>749.46750808151273</v>
      </c>
      <c r="E97" s="79" cm="1">
        <f t="array" aca="1" ref="E97" ca="1">IF(ISNUMBER(_xll.VoseSimPercentile(Cost_1,$B97)),_xll.VoseSimPercentile(Cost_1,$B97),NA())</f>
        <v>560.86585971320346</v>
      </c>
      <c r="F97" s="79" cm="1">
        <f t="array" aca="1" ref="F97" ca="1">IF(ISNUMBER(_xll.VoseSimPercentile(Cost_2,$B97)),_xll.VoseSimPercentile(Cost_2,$B97),NA())</f>
        <v>904.31559987963215</v>
      </c>
      <c r="G97" s="79" cm="1">
        <f t="array" aca="1" ref="G97" ca="1">IF(ISNUMBER(_xll.VoseSimPercentile(Cost_3,$B97)),_xll.VoseSimPercentile(Cost_3,$B97),NA())</f>
        <v>1335.0628798130251</v>
      </c>
    </row>
    <row r="98" spans="2:7" hidden="1" outlineLevel="1" x14ac:dyDescent="0.45">
      <c r="B98" s="78">
        <v>0.59</v>
      </c>
      <c r="C98" s="78">
        <f t="shared" si="1"/>
        <v>0.41000000000000003</v>
      </c>
      <c r="D98" s="79" cm="1">
        <f t="array" aca="1" ref="D98" ca="1">IF(ISNUMBER(_xll.VoseSimPercentile(Cost_0,$B98)),_xll.VoseSimPercentile(Cost_0,$B98),NA())</f>
        <v>808.74800644501954</v>
      </c>
      <c r="E98" s="79" cm="1">
        <f t="array" aca="1" ref="E98" ca="1">IF(ISNUMBER(_xll.VoseSimPercentile(Cost_1,$B98)),_xll.VoseSimPercentile(Cost_1,$B98),NA())</f>
        <v>579.70094271098731</v>
      </c>
      <c r="F98" s="79" cm="1">
        <f t="array" aca="1" ref="F98" ca="1">IF(ISNUMBER(_xll.VoseSimPercentile(Cost_2,$B98)),_xll.VoseSimPercentile(Cost_2,$B98),NA())</f>
        <v>906.9492465236508</v>
      </c>
      <c r="G98" s="79" cm="1">
        <f t="array" aca="1" ref="G98" ca="1">IF(ISNUMBER(_xll.VoseSimPercentile(Cost_3,$B98)),_xll.VoseSimPercentile(Cost_3,$B98),NA())</f>
        <v>1336.2098106111528</v>
      </c>
    </row>
    <row r="99" spans="2:7" hidden="1" outlineLevel="1" x14ac:dyDescent="0.45">
      <c r="B99" s="78">
        <v>0.61</v>
      </c>
      <c r="C99" s="78">
        <f t="shared" si="1"/>
        <v>0.39</v>
      </c>
      <c r="D99" s="79" cm="1">
        <f t="array" aca="1" ref="D99" ca="1">IF(ISNUMBER(_xll.VoseSimPercentile(Cost_0,$B99)),_xll.VoseSimPercentile(Cost_0,$B99),NA())</f>
        <v>861.08624505755483</v>
      </c>
      <c r="E99" s="79" cm="1">
        <f t="array" aca="1" ref="E99" ca="1">IF(ISNUMBER(_xll.VoseSimPercentile(Cost_1,$B99)),_xll.VoseSimPercentile(Cost_1,$B99),NA())</f>
        <v>598.32001322694794</v>
      </c>
      <c r="F99" s="79" cm="1">
        <f t="array" aca="1" ref="F99" ca="1">IF(ISNUMBER(_xll.VoseSimPercentile(Cost_2,$B99)),_xll.VoseSimPercentile(Cost_2,$B99),NA())</f>
        <v>910.14185258801149</v>
      </c>
      <c r="G99" s="79" cm="1">
        <f t="array" aca="1" ref="G99" ca="1">IF(ISNUMBER(_xll.VoseSimPercentile(Cost_3,$B99)),_xll.VoseSimPercentile(Cost_3,$B99),NA())</f>
        <v>1337.4152623636726</v>
      </c>
    </row>
    <row r="100" spans="2:7" hidden="1" outlineLevel="1" x14ac:dyDescent="0.45">
      <c r="B100" s="78">
        <v>0.63</v>
      </c>
      <c r="C100" s="78">
        <f t="shared" si="1"/>
        <v>0.37</v>
      </c>
      <c r="D100" s="79" cm="1">
        <f t="array" aca="1" ref="D100" ca="1">IF(ISNUMBER(_xll.VoseSimPercentile(Cost_0,$B100)),_xll.VoseSimPercentile(Cost_0,$B100),NA())</f>
        <v>917.9477263981405</v>
      </c>
      <c r="E100" s="79" cm="1">
        <f t="array" aca="1" ref="E100" ca="1">IF(ISNUMBER(_xll.VoseSimPercentile(Cost_1,$B100)),_xll.VoseSimPercentile(Cost_1,$B100),NA())</f>
        <v>619.64370896991045</v>
      </c>
      <c r="F100" s="79" cm="1">
        <f t="array" aca="1" ref="F100" ca="1">IF(ISNUMBER(_xll.VoseSimPercentile(Cost_2,$B100)),_xll.VoseSimPercentile(Cost_2,$B100),NA())</f>
        <v>912.87739422502511</v>
      </c>
      <c r="G100" s="79" cm="1">
        <f t="array" aca="1" ref="G100" ca="1">IF(ISNUMBER(_xll.VoseSimPercentile(Cost_3,$B100)),_xll.VoseSimPercentile(Cost_3,$B100),NA())</f>
        <v>1338.6881426229188</v>
      </c>
    </row>
    <row r="101" spans="2:7" hidden="1" outlineLevel="1" x14ac:dyDescent="0.45">
      <c r="B101" s="78">
        <v>0.65</v>
      </c>
      <c r="C101" s="78">
        <f t="shared" ref="C101:C132" si="2">1-B101</f>
        <v>0.35</v>
      </c>
      <c r="D101" s="79" cm="1">
        <f t="array" aca="1" ref="D101" ca="1">IF(ISNUMBER(_xll.VoseSimPercentile(Cost_0,$B101)),_xll.VoseSimPercentile(Cost_0,$B101),NA())</f>
        <v>983.68800548819388</v>
      </c>
      <c r="E101" s="79" cm="1">
        <f t="array" aca="1" ref="E101" ca="1">IF(ISNUMBER(_xll.VoseSimPercentile(Cost_1,$B101)),_xll.VoseSimPercentile(Cost_1,$B101),NA())</f>
        <v>644.18884573219975</v>
      </c>
      <c r="F101" s="79" cm="1">
        <f t="array" aca="1" ref="F101" ca="1">IF(ISNUMBER(_xll.VoseSimPercentile(Cost_2,$B101)),_xll.VoseSimPercentile(Cost_2,$B101),NA())</f>
        <v>916.13896666824576</v>
      </c>
      <c r="G101" s="79" cm="1">
        <f t="array" aca="1" ref="G101" ca="1">IF(ISNUMBER(_xll.VoseSimPercentile(Cost_3,$B101)),_xll.VoseSimPercentile(Cost_3,$B101),NA())</f>
        <v>1340.058427574279</v>
      </c>
    </row>
    <row r="102" spans="2:7" hidden="1" outlineLevel="1" x14ac:dyDescent="0.45">
      <c r="B102" s="78">
        <v>0.67</v>
      </c>
      <c r="C102" s="78">
        <f t="shared" si="2"/>
        <v>0.32999999999999996</v>
      </c>
      <c r="D102" s="79" cm="1">
        <f t="array" aca="1" ref="D102" ca="1">IF(ISNUMBER(_xll.VoseSimPercentile(Cost_0,$B102)),_xll.VoseSimPercentile(Cost_0,$B102),NA())</f>
        <v>1046.0753779972856</v>
      </c>
      <c r="E102" s="79" cm="1">
        <f t="array" aca="1" ref="E102" ca="1">IF(ISNUMBER(_xll.VoseSimPercentile(Cost_1,$B102)),_xll.VoseSimPercentile(Cost_1,$B102),NA())</f>
        <v>668.25403325974048</v>
      </c>
      <c r="F102" s="79" cm="1">
        <f t="array" aca="1" ref="F102" ca="1">IF(ISNUMBER(_xll.VoseSimPercentile(Cost_2,$B102)),_xll.VoseSimPercentile(Cost_2,$B102),NA())</f>
        <v>920.29697656950191</v>
      </c>
      <c r="G102" s="79" cm="1">
        <f t="array" aca="1" ref="G102" ca="1">IF(ISNUMBER(_xll.VoseSimPercentile(Cost_3,$B102)),_xll.VoseSimPercentile(Cost_3,$B102),NA())</f>
        <v>1340.8599317145736</v>
      </c>
    </row>
    <row r="103" spans="2:7" hidden="1" outlineLevel="1" x14ac:dyDescent="0.45">
      <c r="B103" s="78">
        <v>0.69</v>
      </c>
      <c r="C103" s="78">
        <f t="shared" si="2"/>
        <v>0.31000000000000005</v>
      </c>
      <c r="D103" s="79" cm="1">
        <f t="array" aca="1" ref="D103" ca="1">IF(ISNUMBER(_xll.VoseSimPercentile(Cost_0,$B103)),_xll.VoseSimPercentile(Cost_0,$B103),NA())</f>
        <v>1121.8100008342669</v>
      </c>
      <c r="E103" s="79" cm="1">
        <f t="array" aca="1" ref="E103" ca="1">IF(ISNUMBER(_xll.VoseSimPercentile(Cost_1,$B103)),_xll.VoseSimPercentile(Cost_1,$B103),NA())</f>
        <v>697.91531481140737</v>
      </c>
      <c r="F103" s="79" cm="1">
        <f t="array" aca="1" ref="F103" ca="1">IF(ISNUMBER(_xll.VoseSimPercentile(Cost_2,$B103)),_xll.VoseSimPercentile(Cost_2,$B103),NA())</f>
        <v>924.85719298782033</v>
      </c>
      <c r="G103" s="79" cm="1">
        <f t="array" aca="1" ref="G103" ca="1">IF(ISNUMBER(_xll.VoseSimPercentile(Cost_3,$B103)),_xll.VoseSimPercentile(Cost_3,$B103),NA())</f>
        <v>1342.2538243125277</v>
      </c>
    </row>
    <row r="104" spans="2:7" hidden="1" outlineLevel="1" x14ac:dyDescent="0.45">
      <c r="B104" s="78">
        <v>0.71</v>
      </c>
      <c r="C104" s="78">
        <f t="shared" si="2"/>
        <v>0.29000000000000004</v>
      </c>
      <c r="D104" s="79" cm="1">
        <f t="array" aca="1" ref="D104" ca="1">IF(ISNUMBER(_xll.VoseSimPercentile(Cost_0,$B104)),_xll.VoseSimPercentile(Cost_0,$B104),NA())</f>
        <v>1195.9496743928585</v>
      </c>
      <c r="E104" s="79" cm="1">
        <f t="array" aca="1" ref="E104" ca="1">IF(ISNUMBER(_xll.VoseSimPercentile(Cost_1,$B104)),_xll.VoseSimPercentile(Cost_1,$B104),NA())</f>
        <v>734.21840193038008</v>
      </c>
      <c r="F104" s="79" cm="1">
        <f t="array" aca="1" ref="F104" ca="1">IF(ISNUMBER(_xll.VoseSimPercentile(Cost_2,$B104)),_xll.VoseSimPercentile(Cost_2,$B104),NA())</f>
        <v>931.18768646015349</v>
      </c>
      <c r="G104" s="79" cm="1">
        <f t="array" aca="1" ref="G104" ca="1">IF(ISNUMBER(_xll.VoseSimPercentile(Cost_3,$B104)),_xll.VoseSimPercentile(Cost_3,$B104),NA())</f>
        <v>1343.7941684497664</v>
      </c>
    </row>
    <row r="105" spans="2:7" hidden="1" outlineLevel="1" x14ac:dyDescent="0.45">
      <c r="B105" s="78">
        <v>0.73</v>
      </c>
      <c r="C105" s="78">
        <f t="shared" si="2"/>
        <v>0.27</v>
      </c>
      <c r="D105" s="79" cm="1">
        <f t="array" aca="1" ref="D105" ca="1">IF(ISNUMBER(_xll.VoseSimPercentile(Cost_0,$B105)),_xll.VoseSimPercentile(Cost_0,$B105),NA())</f>
        <v>1274.1404458362076</v>
      </c>
      <c r="E105" s="79" cm="1">
        <f t="array" aca="1" ref="E105" ca="1">IF(ISNUMBER(_xll.VoseSimPercentile(Cost_1,$B105)),_xll.VoseSimPercentile(Cost_1,$B105),NA())</f>
        <v>770.2053376758829</v>
      </c>
      <c r="F105" s="79" cm="1">
        <f t="array" aca="1" ref="F105" ca="1">IF(ISNUMBER(_xll.VoseSimPercentile(Cost_2,$B105)),_xll.VoseSimPercentile(Cost_2,$B105),NA())</f>
        <v>938.84995631490165</v>
      </c>
      <c r="G105" s="79" cm="1">
        <f t="array" aca="1" ref="G105" ca="1">IF(ISNUMBER(_xll.VoseSimPercentile(Cost_3,$B105)),_xll.VoseSimPercentile(Cost_3,$B105),NA())</f>
        <v>1345.8197281861653</v>
      </c>
    </row>
    <row r="106" spans="2:7" hidden="1" outlineLevel="1" x14ac:dyDescent="0.45">
      <c r="B106" s="78">
        <v>0.75</v>
      </c>
      <c r="C106" s="78">
        <f t="shared" si="2"/>
        <v>0.25</v>
      </c>
      <c r="D106" s="79" cm="1">
        <f t="array" aca="1" ref="D106" ca="1">IF(ISNUMBER(_xll.VoseSimPercentile(Cost_0,$B106)),_xll.VoseSimPercentile(Cost_0,$B106),NA())</f>
        <v>1350.821581400827</v>
      </c>
      <c r="E106" s="79" cm="1">
        <f t="array" aca="1" ref="E106" ca="1">IF(ISNUMBER(_xll.VoseSimPercentile(Cost_1,$B106)),_xll.VoseSimPercentile(Cost_1,$B106),NA())</f>
        <v>812.24804428462744</v>
      </c>
      <c r="F106" s="79" cm="1">
        <f t="array" aca="1" ref="F106" ca="1">IF(ISNUMBER(_xll.VoseSimPercentile(Cost_2,$B106)),_xll.VoseSimPercentile(Cost_2,$B106),NA())</f>
        <v>947.33281735674427</v>
      </c>
      <c r="G106" s="79" cm="1">
        <f t="array" aca="1" ref="G106" ca="1">IF(ISNUMBER(_xll.VoseSimPercentile(Cost_3,$B106)),_xll.VoseSimPercentile(Cost_3,$B106),NA())</f>
        <v>1348.2611132404725</v>
      </c>
    </row>
    <row r="107" spans="2:7" hidden="1" outlineLevel="1" x14ac:dyDescent="0.45">
      <c r="B107" s="78">
        <v>0.77</v>
      </c>
      <c r="C107" s="78">
        <f t="shared" si="2"/>
        <v>0.22999999999999998</v>
      </c>
      <c r="D107" s="79" cm="1">
        <f t="array" aca="1" ref="D107" ca="1">IF(ISNUMBER(_xll.VoseSimPercentile(Cost_0,$B107)),_xll.VoseSimPercentile(Cost_0,$B107),NA())</f>
        <v>1443.5788733298725</v>
      </c>
      <c r="E107" s="79" cm="1">
        <f t="array" aca="1" ref="E107" ca="1">IF(ISNUMBER(_xll.VoseSimPercentile(Cost_1,$B107)),_xll.VoseSimPercentile(Cost_1,$B107),NA())</f>
        <v>860.53258276929091</v>
      </c>
      <c r="F107" s="79" cm="1">
        <f t="array" aca="1" ref="F107" ca="1">IF(ISNUMBER(_xll.VoseSimPercentile(Cost_2,$B107)),_xll.VoseSimPercentile(Cost_2,$B107),NA())</f>
        <v>959.64843597027345</v>
      </c>
      <c r="G107" s="79" cm="1">
        <f t="array" aca="1" ref="G107" ca="1">IF(ISNUMBER(_xll.VoseSimPercentile(Cost_3,$B107)),_xll.VoseSimPercentile(Cost_3,$B107),NA())</f>
        <v>1351.1568633566337</v>
      </c>
    </row>
    <row r="108" spans="2:7" hidden="1" outlineLevel="1" x14ac:dyDescent="0.45">
      <c r="B108" s="78">
        <v>0.79</v>
      </c>
      <c r="C108" s="78">
        <f t="shared" si="2"/>
        <v>0.20999999999999996</v>
      </c>
      <c r="D108" s="79" cm="1">
        <f t="array" aca="1" ref="D108" ca="1">IF(ISNUMBER(_xll.VoseSimPercentile(Cost_0,$B108)),_xll.VoseSimPercentile(Cost_0,$B108),NA())</f>
        <v>1534.4313880146415</v>
      </c>
      <c r="E108" s="79" cm="1">
        <f t="array" aca="1" ref="E108" ca="1">IF(ISNUMBER(_xll.VoseSimPercentile(Cost_1,$B108)),_xll.VoseSimPercentile(Cost_1,$B108),NA())</f>
        <v>913.56562797914717</v>
      </c>
      <c r="F108" s="79" cm="1">
        <f t="array" aca="1" ref="F108" ca="1">IF(ISNUMBER(_xll.VoseSimPercentile(Cost_2,$B108)),_xll.VoseSimPercentile(Cost_2,$B108),NA())</f>
        <v>973.70595728663682</v>
      </c>
      <c r="G108" s="79" cm="1">
        <f t="array" aca="1" ref="G108" ca="1">IF(ISNUMBER(_xll.VoseSimPercentile(Cost_3,$B108)),_xll.VoseSimPercentile(Cost_3,$B108),NA())</f>
        <v>1354.4522099722126</v>
      </c>
    </row>
    <row r="109" spans="2:7" hidden="1" outlineLevel="1" x14ac:dyDescent="0.45">
      <c r="B109" s="78">
        <v>0.81</v>
      </c>
      <c r="C109" s="78">
        <f t="shared" si="2"/>
        <v>0.18999999999999995</v>
      </c>
      <c r="D109" s="79" cm="1">
        <f t="array" aca="1" ref="D109" ca="1">IF(ISNUMBER(_xll.VoseSimPercentile(Cost_0,$B109)),_xll.VoseSimPercentile(Cost_0,$B109),NA())</f>
        <v>1633.151486782494</v>
      </c>
      <c r="E109" s="79" cm="1">
        <f t="array" aca="1" ref="E109" ca="1">IF(ISNUMBER(_xll.VoseSimPercentile(Cost_1,$B109)),_xll.VoseSimPercentile(Cost_1,$B109),NA())</f>
        <v>971.23904755344688</v>
      </c>
      <c r="F109" s="79" cm="1">
        <f t="array" aca="1" ref="F109" ca="1">IF(ISNUMBER(_xll.VoseSimPercentile(Cost_2,$B109)),_xll.VoseSimPercentile(Cost_2,$B109),NA())</f>
        <v>991.69440303012004</v>
      </c>
      <c r="G109" s="79" cm="1">
        <f t="array" aca="1" ref="G109" ca="1">IF(ISNUMBER(_xll.VoseSimPercentile(Cost_3,$B109)),_xll.VoseSimPercentile(Cost_3,$B109),NA())</f>
        <v>1358.4100318842916</v>
      </c>
    </row>
    <row r="110" spans="2:7" hidden="1" outlineLevel="1" x14ac:dyDescent="0.45">
      <c r="B110" s="78">
        <v>0.83</v>
      </c>
      <c r="C110" s="78">
        <f t="shared" si="2"/>
        <v>0.17000000000000004</v>
      </c>
      <c r="D110" s="79" cm="1">
        <f t="array" aca="1" ref="D110" ca="1">IF(ISNUMBER(_xll.VoseSimPercentile(Cost_0,$B110)),_xll.VoseSimPercentile(Cost_0,$B110),NA())</f>
        <v>1746.760560974762</v>
      </c>
      <c r="E110" s="79" cm="1">
        <f t="array" aca="1" ref="E110" ca="1">IF(ISNUMBER(_xll.VoseSimPercentile(Cost_1,$B110)),_xll.VoseSimPercentile(Cost_1,$B110),NA())</f>
        <v>1040.7785148341484</v>
      </c>
      <c r="F110" s="79" cm="1">
        <f t="array" aca="1" ref="F110" ca="1">IF(ISNUMBER(_xll.VoseSimPercentile(Cost_2,$B110)),_xll.VoseSimPercentile(Cost_2,$B110),NA())</f>
        <v>1017.5567966848422</v>
      </c>
      <c r="G110" s="79" cm="1">
        <f t="array" aca="1" ref="G110" ca="1">IF(ISNUMBER(_xll.VoseSimPercentile(Cost_3,$B110)),_xll.VoseSimPercentile(Cost_3,$B110),NA())</f>
        <v>1363.7253046756425</v>
      </c>
    </row>
    <row r="111" spans="2:7" hidden="1" outlineLevel="1" x14ac:dyDescent="0.45">
      <c r="B111" s="78">
        <v>0.85</v>
      </c>
      <c r="C111" s="78">
        <f t="shared" si="2"/>
        <v>0.15000000000000002</v>
      </c>
      <c r="D111" s="79" cm="1">
        <f t="array" aca="1" ref="D111" ca="1">IF(ISNUMBER(_xll.VoseSimPercentile(Cost_0,$B111)),_xll.VoseSimPercentile(Cost_0,$B111),NA())</f>
        <v>1881.4755503502918</v>
      </c>
      <c r="E111" s="79" cm="1">
        <f t="array" aca="1" ref="E111" ca="1">IF(ISNUMBER(_xll.VoseSimPercentile(Cost_1,$B111)),_xll.VoseSimPercentile(Cost_1,$B111),NA())</f>
        <v>1137.073186254361</v>
      </c>
      <c r="F111" s="79" cm="1">
        <f t="array" aca="1" ref="F111" ca="1">IF(ISNUMBER(_xll.VoseSimPercentile(Cost_2,$B111)),_xll.VoseSimPercentile(Cost_2,$B111),NA())</f>
        <v>1052.0981029674672</v>
      </c>
      <c r="G111" s="79" cm="1">
        <f t="array" aca="1" ref="G111" ca="1">IF(ISNUMBER(_xll.VoseSimPercentile(Cost_3,$B111)),_xll.VoseSimPercentile(Cost_3,$B111),NA())</f>
        <v>1370.1853948201215</v>
      </c>
    </row>
    <row r="112" spans="2:7" hidden="1" outlineLevel="1" x14ac:dyDescent="0.45">
      <c r="B112" s="78">
        <v>0.87</v>
      </c>
      <c r="C112" s="78">
        <f t="shared" si="2"/>
        <v>0.13</v>
      </c>
      <c r="D112" s="79" cm="1">
        <f t="array" aca="1" ref="D112" ca="1">IF(ISNUMBER(_xll.VoseSimPercentile(Cost_0,$B112)),_xll.VoseSimPercentile(Cost_0,$B112),NA())</f>
        <v>2020.7222607619155</v>
      </c>
      <c r="E112" s="79" cm="1">
        <f t="array" aca="1" ref="E112" ca="1">IF(ISNUMBER(_xll.VoseSimPercentile(Cost_1,$B112)),_xll.VoseSimPercentile(Cost_1,$B112),NA())</f>
        <v>1234.9432888581364</v>
      </c>
      <c r="F112" s="79" cm="1">
        <f t="array" aca="1" ref="F112" ca="1">IF(ISNUMBER(_xll.VoseSimPercentile(Cost_2,$B112)),_xll.VoseSimPercentile(Cost_2,$B112),NA())</f>
        <v>1100.8664812840186</v>
      </c>
      <c r="G112" s="79" cm="1">
        <f t="array" aca="1" ref="G112" ca="1">IF(ISNUMBER(_xll.VoseSimPercentile(Cost_3,$B112)),_xll.VoseSimPercentile(Cost_3,$B112),NA())</f>
        <v>1378.1506095326981</v>
      </c>
    </row>
    <row r="113" spans="2:8" hidden="1" outlineLevel="1" x14ac:dyDescent="0.45">
      <c r="B113" s="78">
        <v>0.89</v>
      </c>
      <c r="C113" s="78">
        <f t="shared" si="2"/>
        <v>0.10999999999999999</v>
      </c>
      <c r="D113" s="79" cm="1">
        <f t="array" aca="1" ref="D113" ca="1">IF(ISNUMBER(_xll.VoseSimPercentile(Cost_0,$B113)),_xll.VoseSimPercentile(Cost_0,$B113),NA())</f>
        <v>2197.364101829543</v>
      </c>
      <c r="E113" s="79" cm="1">
        <f t="array" aca="1" ref="E113" ca="1">IF(ISNUMBER(_xll.VoseSimPercentile(Cost_1,$B113)),_xll.VoseSimPercentile(Cost_1,$B113),NA())</f>
        <v>1363.3219222243495</v>
      </c>
      <c r="F113" s="79" cm="1">
        <f t="array" aca="1" ref="F113" ca="1">IF(ISNUMBER(_xll.VoseSimPercentile(Cost_2,$B113)),_xll.VoseSimPercentile(Cost_2,$B113),NA())</f>
        <v>1156.6677325798016</v>
      </c>
      <c r="G113" s="79" cm="1">
        <f t="array" aca="1" ref="G113" ca="1">IF(ISNUMBER(_xll.VoseSimPercentile(Cost_3,$B113)),_xll.VoseSimPercentile(Cost_3,$B113),NA())</f>
        <v>1389.0683529856703</v>
      </c>
    </row>
    <row r="114" spans="2:8" hidden="1" outlineLevel="1" x14ac:dyDescent="0.45">
      <c r="B114" s="78">
        <v>0.91</v>
      </c>
      <c r="C114" s="78">
        <f t="shared" si="2"/>
        <v>8.9999999999999969E-2</v>
      </c>
      <c r="D114" s="79" cm="1">
        <f t="array" aca="1" ref="D114" ca="1">IF(ISNUMBER(_xll.VoseSimPercentile(Cost_0,$B114)),_xll.VoseSimPercentile(Cost_0,$B114),NA())</f>
        <v>2422.0222555686137</v>
      </c>
      <c r="E114" s="79" cm="1">
        <f t="array" aca="1" ref="E114" ca="1">IF(ISNUMBER(_xll.VoseSimPercentile(Cost_1,$B114)),_xll.VoseSimPercentile(Cost_1,$B114),NA())</f>
        <v>1515.2104346793972</v>
      </c>
      <c r="F114" s="79" cm="1">
        <f t="array" aca="1" ref="F114" ca="1">IF(ISNUMBER(_xll.VoseSimPercentile(Cost_2,$B114)),_xll.VoseSimPercentile(Cost_2,$B114),NA())</f>
        <v>1226.3199687172621</v>
      </c>
      <c r="G114" s="79" cm="1">
        <f t="array" aca="1" ref="G114" ca="1">IF(ISNUMBER(_xll.VoseSimPercentile(Cost_3,$B114)),_xll.VoseSimPercentile(Cost_3,$B114),NA())</f>
        <v>1408.48635435356</v>
      </c>
    </row>
    <row r="115" spans="2:8" hidden="1" outlineLevel="1" x14ac:dyDescent="0.45">
      <c r="B115" s="78">
        <v>0.93</v>
      </c>
      <c r="C115" s="78">
        <f t="shared" si="2"/>
        <v>6.9999999999999951E-2</v>
      </c>
      <c r="D115" s="79" cm="1">
        <f t="array" aca="1" ref="D115" ca="1">IF(ISNUMBER(_xll.VoseSimPercentile(Cost_0,$B115)),_xll.VoseSimPercentile(Cost_0,$B115),NA())</f>
        <v>2638.5883512049995</v>
      </c>
      <c r="E115" s="79" cm="1">
        <f t="array" aca="1" ref="E115" ca="1">IF(ISNUMBER(_xll.VoseSimPercentile(Cost_1,$B115)),_xll.VoseSimPercentile(Cost_1,$B115),NA())</f>
        <v>1680.2058438144068</v>
      </c>
      <c r="F115" s="79" cm="1">
        <f t="array" aca="1" ref="F115" ca="1">IF(ISNUMBER(_xll.VoseSimPercentile(Cost_2,$B115)),_xll.VoseSimPercentile(Cost_2,$B115),NA())</f>
        <v>1327.4348240124941</v>
      </c>
      <c r="G115" s="79" cm="1">
        <f t="array" aca="1" ref="G115" ca="1">IF(ISNUMBER(_xll.VoseSimPercentile(Cost_3,$B115)),_xll.VoseSimPercentile(Cost_3,$B115),NA())</f>
        <v>1442.8982511461736</v>
      </c>
    </row>
    <row r="116" spans="2:8" hidden="1" outlineLevel="1" x14ac:dyDescent="0.45">
      <c r="B116" s="78">
        <v>0.95</v>
      </c>
      <c r="C116" s="78">
        <f t="shared" si="2"/>
        <v>5.0000000000000044E-2</v>
      </c>
      <c r="D116" s="79" cm="1">
        <f t="array" aca="1" ref="D116" ca="1">IF(ISNUMBER(_xll.VoseSimPercentile(Cost_0,$B116)),_xll.VoseSimPercentile(Cost_0,$B116),NA())</f>
        <v>2950.8197801870192</v>
      </c>
      <c r="E116" s="79" cm="1">
        <f t="array" aca="1" ref="E116" ca="1">IF(ISNUMBER(_xll.VoseSimPercentile(Cost_1,$B116)),_xll.VoseSimPercentile(Cost_1,$B116),NA())</f>
        <v>1927.8217253116643</v>
      </c>
      <c r="F116" s="79" cm="1">
        <f t="array" aca="1" ref="F116" ca="1">IF(ISNUMBER(_xll.VoseSimPercentile(Cost_2,$B116)),_xll.VoseSimPercentile(Cost_2,$B116),NA())</f>
        <v>1477.5339562549095</v>
      </c>
      <c r="G116" s="79" cm="1">
        <f t="array" aca="1" ref="G116" ca="1">IF(ISNUMBER(_xll.VoseSimPercentile(Cost_3,$B116)),_xll.VoseSimPercentile(Cost_3,$B116),NA())</f>
        <v>1509.1837361463672</v>
      </c>
    </row>
    <row r="117" spans="2:8" hidden="1" outlineLevel="1" x14ac:dyDescent="0.45">
      <c r="B117" s="78">
        <v>0.97</v>
      </c>
      <c r="C117" s="78">
        <f t="shared" si="2"/>
        <v>3.0000000000000027E-2</v>
      </c>
      <c r="D117" s="79" cm="1">
        <f t="array" aca="1" ref="D117" ca="1">IF(ISNUMBER(_xll.VoseSimPercentile(Cost_0,$B117)),_xll.VoseSimPercentile(Cost_0,$B117),NA())</f>
        <v>3415.4715608356673</v>
      </c>
      <c r="E117" s="79" cm="1">
        <f t="array" aca="1" ref="E117" ca="1">IF(ISNUMBER(_xll.VoseSimPercentile(Cost_1,$B117)),_xll.VoseSimPercentile(Cost_1,$B117),NA())</f>
        <v>2299.2988839737181</v>
      </c>
      <c r="F117" s="79" cm="1">
        <f t="array" aca="1" ref="F117" ca="1">IF(ISNUMBER(_xll.VoseSimPercentile(Cost_2,$B117)),_xll.VoseSimPercentile(Cost_2,$B117),NA())</f>
        <v>1758.178436447781</v>
      </c>
      <c r="G117" s="79" cm="1">
        <f t="array" aca="1" ref="G117" ca="1">IF(ISNUMBER(_xll.VoseSimPercentile(Cost_3,$B117)),_xll.VoseSimPercentile(Cost_3,$B117),NA())</f>
        <v>1643.0222437446268</v>
      </c>
    </row>
    <row r="118" spans="2:8" hidden="1" outlineLevel="1" x14ac:dyDescent="0.45">
      <c r="B118" s="78">
        <v>0.99</v>
      </c>
      <c r="C118" s="78">
        <f t="shared" si="2"/>
        <v>1.0000000000000009E-2</v>
      </c>
      <c r="D118" s="79" cm="1">
        <f t="array" aca="1" ref="D118" ca="1">IF(ISNUMBER(_xll.VoseSimPercentile(Cost_0,$B118)),_xll.VoseSimPercentile(Cost_0,$B118),NA())</f>
        <v>4377.0070039067623</v>
      </c>
      <c r="E118" s="79" cm="1">
        <f t="array" aca="1" ref="E118" ca="1">IF(ISNUMBER(_xll.VoseSimPercentile(Cost_1,$B118)),_xll.VoseSimPercentile(Cost_1,$B118),NA())</f>
        <v>3169.5195470261497</v>
      </c>
      <c r="F118" s="79" cm="1">
        <f t="array" aca="1" ref="F118" ca="1">IF(ISNUMBER(_xll.VoseSimPercentile(Cost_2,$B118)),_xll.VoseSimPercentile(Cost_2,$B118),NA())</f>
        <v>2417.4521565831583</v>
      </c>
      <c r="G118" s="79" cm="1">
        <f t="array" aca="1" ref="G118" ca="1">IF(ISNUMBER(_xll.VoseSimPercentile(Cost_3,$B118)),_xll.VoseSimPercentile(Cost_3,$B118),NA())</f>
        <v>2072.0981719790516</v>
      </c>
    </row>
    <row r="119" spans="2:8" hidden="1" outlineLevel="1" x14ac:dyDescent="0.45"/>
    <row r="120" spans="2:8" hidden="1" outlineLevel="1" x14ac:dyDescent="0.45">
      <c r="B120" s="80" t="s">
        <v>350</v>
      </c>
      <c r="D120" s="81" cm="1">
        <f t="array" aca="1" ref="D120" ca="1">_xll.VoseSimMean(Save_1)</f>
        <v>155.7792346597337</v>
      </c>
    </row>
    <row r="121" spans="2:8" ht="18" hidden="1" customHeight="1" outlineLevel="1" x14ac:dyDescent="0.45">
      <c r="B121" s="23" t="s">
        <v>351</v>
      </c>
      <c r="C121" s="5"/>
      <c r="D121" s="5"/>
      <c r="E121" s="5"/>
      <c r="F121" s="24" t="s">
        <v>352</v>
      </c>
      <c r="G121" s="24" t="s">
        <v>353</v>
      </c>
    </row>
    <row r="122" spans="2:8" hidden="1" outlineLevel="1" x14ac:dyDescent="0.45">
      <c r="B122" s="82" t="str">
        <f ca="1">B46</f>
        <v>Рост спроса</v>
      </c>
      <c r="F122" s="83">
        <f ca="1">IFERROR(D46-$D$120,NA())</f>
        <v>383.87104835521802</v>
      </c>
      <c r="G122" s="83">
        <f ca="1">IFERROR(C46-$D$120,NA())</f>
        <v>-308.05603266237347</v>
      </c>
    </row>
    <row r="123" spans="2:8" hidden="1" outlineLevel="1" x14ac:dyDescent="0.45">
      <c r="B123" s="82" t="str">
        <f ca="1">B47</f>
        <v>ОЕЕ завода, устойчивая</v>
      </c>
      <c r="F123" s="83">
        <f ca="1">IFERROR(D47-$D$120,NA())</f>
        <v>109.7306076473445</v>
      </c>
      <c r="G123" s="83">
        <f ca="1">IFERROR(C47-$D$120,NA())</f>
        <v>-102.13676527808209</v>
      </c>
    </row>
    <row r="124" spans="2:8" hidden="1" outlineLevel="1" x14ac:dyDescent="0.45">
      <c r="B124" s="82" t="str">
        <f ca="1">B48</f>
        <v>Поставка и монтаж</v>
      </c>
      <c r="F124" s="83">
        <f ca="1">IFERROR(D48-$D$120,NA())</f>
        <v>16.568560065691202</v>
      </c>
      <c r="G124" s="83">
        <f ca="1">IFERROR(C48-$D$120,NA())</f>
        <v>-15.196652633139621</v>
      </c>
    </row>
    <row r="125" spans="2:8" hidden="1" outlineLevel="1" x14ac:dyDescent="0.45"/>
    <row r="126" spans="2:8" ht="28.05" hidden="1" customHeight="1" outlineLevel="1" x14ac:dyDescent="0.45">
      <c r="B126" s="23" t="s">
        <v>354</v>
      </c>
      <c r="C126" s="24" t="s">
        <v>355</v>
      </c>
      <c r="D126" s="24" t="s">
        <v>356</v>
      </c>
      <c r="E126" s="24" t="s">
        <v>357</v>
      </c>
      <c r="F126" s="24" t="s">
        <v>108</v>
      </c>
      <c r="G126" s="24" t="s">
        <v>358</v>
      </c>
      <c r="H126" s="24" t="s">
        <v>359</v>
      </c>
    </row>
    <row r="127" spans="2:8" hidden="1" outlineLevel="1" x14ac:dyDescent="0.45">
      <c r="B127" s="84">
        <f>'Мощность'!F7</f>
        <v>46388</v>
      </c>
      <c r="C127" s="79" cm="1">
        <f t="array" aca="1" ref="C127" ca="1">IF(ISNUMBER(_xll.VoseSimPercentile('Мощность'!F22,0.1)),_xll.VoseSimPercentile('Мощность'!F22,0.1),NA())</f>
        <v>64.118292191870836</v>
      </c>
      <c r="D127" s="79" cm="1">
        <f t="array" aca="1" ref="D127" ca="1">IF(ISNUMBER(_xll.VoseSimPercentile('Мощность'!F22,0.5)),_xll.VoseSimPercentile('Мощность'!F22,0.5),NA())</f>
        <v>66.644757539634213</v>
      </c>
      <c r="E127" s="79" cm="1">
        <f t="array" aca="1" ref="E127" ca="1">IF(ISNUMBER(_xll.VoseSimPercentile('Мощность'!F22,0.9)),_xll.VoseSimPercentile('Мощность'!F22,0.9),NA())</f>
        <v>69.256710614843541</v>
      </c>
      <c r="F127" s="79" cm="1">
        <f t="array" aca="1" ref="F127" ca="1">IF(ISNUMBER(_xll.VoseSimMean('Мощность'!F22)),_xll.VoseSimMean('Мощность'!F22),NA())</f>
        <v>66.674625824541494</v>
      </c>
      <c r="G127" s="79">
        <f t="shared" ref="G127:G158" si="3">Presses*PressRate*PlantOEE_ML*(1+OTMax)+SubMax</f>
        <v>98</v>
      </c>
      <c r="H127" s="79">
        <f>(Presses+IF(1&gt;LeadPlan,1,0))*PressRate*PlantOEE_ML*(1+OTMax)+SubMax</f>
        <v>98</v>
      </c>
    </row>
    <row r="128" spans="2:8" hidden="1" outlineLevel="1" x14ac:dyDescent="0.45">
      <c r="B128" s="84">
        <f>'Мощность'!G7</f>
        <v>46419</v>
      </c>
      <c r="C128" s="79" cm="1">
        <f t="array" aca="1" ref="C128" ca="1">IF(ISNUMBER(_xll.VoseSimPercentile('Мощность'!G22,0.1)),_xll.VoseSimPercentile('Мощность'!G22,0.1),NA())</f>
        <v>65.618325289483323</v>
      </c>
      <c r="D128" s="79" cm="1">
        <f t="array" aca="1" ref="D128" ca="1">IF(ISNUMBER(_xll.VoseSimPercentile('Мощность'!G22,0.5)),_xll.VoseSimPercentile('Мощность'!G22,0.5),NA())</f>
        <v>69.350385392156127</v>
      </c>
      <c r="E128" s="79" cm="1">
        <f t="array" aca="1" ref="E128" ca="1">IF(ISNUMBER(_xll.VoseSimPercentile('Мощность'!G22,0.9)),_xll.VoseSimPercentile('Мощность'!G22,0.9),NA())</f>
        <v>73.205921239277828</v>
      </c>
      <c r="F128" s="79" cm="1">
        <f t="array" aca="1" ref="F128" ca="1">IF(ISNUMBER(_xll.VoseSimMean('Мощность'!G22)),_xll.VoseSimMean('Мощность'!G22),NA())</f>
        <v>69.405897541972038</v>
      </c>
      <c r="G128" s="79">
        <f t="shared" si="3"/>
        <v>98</v>
      </c>
      <c r="H128" s="79">
        <f>(Presses+IF(2&gt;LeadPlan,1,0))*PressRate*PlantOEE_ML*(1+OTMax)+SubMax</f>
        <v>98</v>
      </c>
    </row>
    <row r="129" spans="2:8" hidden="1" outlineLevel="1" x14ac:dyDescent="0.45">
      <c r="B129" s="84">
        <f>'Мощность'!H7</f>
        <v>46447</v>
      </c>
      <c r="C129" s="79" cm="1">
        <f t="array" aca="1" ref="C129" ca="1">IF(ISNUMBER(_xll.VoseSimPercentile('Мощность'!H22,0.1)),_xll.VoseSimPercentile('Мощность'!H22,0.1),NA())</f>
        <v>72.597763015857652</v>
      </c>
      <c r="D129" s="79" cm="1">
        <f t="array" aca="1" ref="D129" ca="1">IF(ISNUMBER(_xll.VoseSimPercentile('Мощность'!H22,0.5)),_xll.VoseSimPercentile('Мощность'!H22,0.5),NA())</f>
        <v>77.63442831541883</v>
      </c>
      <c r="E129" s="79" cm="1">
        <f t="array" aca="1" ref="E129" ca="1">IF(ISNUMBER(_xll.VoseSimPercentile('Мощность'!H22,0.9)),_xll.VoseSimPercentile('Мощность'!H22,0.9),NA())</f>
        <v>83.099741681269307</v>
      </c>
      <c r="F129" s="79" cm="1">
        <f t="array" aca="1" ref="F129" ca="1">IF(ISNUMBER(_xll.VoseSimMean('Мощность'!H22)),_xll.VoseSimMean('Мощность'!H22),NA())</f>
        <v>77.738191085298325</v>
      </c>
      <c r="G129" s="79">
        <f t="shared" si="3"/>
        <v>98</v>
      </c>
      <c r="H129" s="79">
        <f>(Presses+IF(3&gt;LeadPlan,1,0))*PressRate*PlantOEE_ML*(1+OTMax)+SubMax</f>
        <v>98</v>
      </c>
    </row>
    <row r="130" spans="2:8" hidden="1" outlineLevel="1" x14ac:dyDescent="0.45">
      <c r="B130" s="84">
        <f>'Мощность'!I7</f>
        <v>46478</v>
      </c>
      <c r="C130" s="79" cm="1">
        <f t="array" aca="1" ref="C130" ca="1">IF(ISNUMBER(_xll.VoseSimPercentile('Мощность'!I22,0.1)),_xll.VoseSimPercentile('Мощность'!I22,0.1),NA())</f>
        <v>76.578815248816255</v>
      </c>
      <c r="D130" s="79" cm="1">
        <f t="array" aca="1" ref="D130" ca="1">IF(ISNUMBER(_xll.VoseSimPercentile('Мощность'!I22,0.5)),_xll.VoseSimPercentile('Мощность'!I22,0.5),NA())</f>
        <v>82.781443317981555</v>
      </c>
      <c r="E130" s="79" cm="1">
        <f t="array" aca="1" ref="E130" ca="1">IF(ISNUMBER(_xll.VoseSimPercentile('Мощность'!I22,0.9)),_xll.VoseSimPercentile('Мощность'!I22,0.9),NA())</f>
        <v>89.462018741385762</v>
      </c>
      <c r="F130" s="79" cm="1">
        <f t="array" aca="1" ref="F130" ca="1">IF(ISNUMBER(_xll.VoseSimMean('Мощность'!I22)),_xll.VoseSimMean('Мощность'!I22),NA())</f>
        <v>82.89247640739562</v>
      </c>
      <c r="G130" s="79">
        <f t="shared" si="3"/>
        <v>98</v>
      </c>
      <c r="H130" s="79">
        <f>(Presses+IF(4&gt;LeadPlan,1,0))*PressRate*PlantOEE_ML*(1+OTMax)+SubMax</f>
        <v>98</v>
      </c>
    </row>
    <row r="131" spans="2:8" hidden="1" outlineLevel="1" x14ac:dyDescent="0.45">
      <c r="B131" s="84">
        <f>'Мощность'!J7</f>
        <v>46508</v>
      </c>
      <c r="C131" s="79" cm="1">
        <f t="array" aca="1" ref="C131" ca="1">IF(ISNUMBER(_xll.VoseSimPercentile('Мощность'!J22,0.1)),_xll.VoseSimPercentile('Мощность'!J22,0.1),NA())</f>
        <v>80.570490135353012</v>
      </c>
      <c r="D131" s="79" cm="1">
        <f t="array" aca="1" ref="D131" ca="1">IF(ISNUMBER(_xll.VoseSimPercentile('Мощность'!J22,0.5)),_xll.VoseSimPercentile('Мощность'!J22,0.5),NA())</f>
        <v>88.026531769225031</v>
      </c>
      <c r="E131" s="79" cm="1">
        <f t="array" aca="1" ref="E131" ca="1">IF(ISNUMBER(_xll.VoseSimPercentile('Мощность'!J22,0.9)),_xll.VoseSimPercentile('Мощность'!J22,0.9),NA())</f>
        <v>95.837434161798029</v>
      </c>
      <c r="F131" s="79" cm="1">
        <f t="array" aca="1" ref="F131" ca="1">IF(ISNUMBER(_xll.VoseSimMean('Мощность'!J22)),_xll.VoseSimMean('Мощность'!J22),NA())</f>
        <v>88.145773387096853</v>
      </c>
      <c r="G131" s="79">
        <f t="shared" si="3"/>
        <v>98</v>
      </c>
      <c r="H131" s="79">
        <f>(Presses+IF(5&gt;LeadPlan,1,0))*PressRate*PlantOEE_ML*(1+OTMax)+SubMax</f>
        <v>98</v>
      </c>
    </row>
    <row r="132" spans="2:8" hidden="1" outlineLevel="1" x14ac:dyDescent="0.45">
      <c r="B132" s="84">
        <f>'Мощность'!K7</f>
        <v>46539</v>
      </c>
      <c r="C132" s="79" cm="1">
        <f t="array" aca="1" ref="C132" ca="1">IF(ISNUMBER(_xll.VoseSimPercentile('Мощность'!K22,0.1)),_xll.VoseSimPercentile('Мощность'!K22,0.1),NA())</f>
        <v>83.901718935061353</v>
      </c>
      <c r="D132" s="79" cm="1">
        <f t="array" aca="1" ref="D132" ca="1">IF(ISNUMBER(_xll.VoseSimPercentile('Мощность'!K22,0.5)),_xll.VoseSimPercentile('Мощность'!K22,0.5),NA())</f>
        <v>92.348887695026704</v>
      </c>
      <c r="E132" s="79" cm="1">
        <f t="array" aca="1" ref="E132" ca="1">IF(ISNUMBER(_xll.VoseSimPercentile('Мощность'!K22,0.9)),_xll.VoseSimPercentile('Мощность'!K22,0.9),NA())</f>
        <v>101.55009972657288</v>
      </c>
      <c r="F132" s="79" cm="1">
        <f t="array" aca="1" ref="F132" ca="1">IF(ISNUMBER(_xll.VoseSimMean('Мощность'!K22)),_xll.VoseSimMean('Мощность'!K22),NA())</f>
        <v>92.56604105388503</v>
      </c>
      <c r="G132" s="79">
        <f t="shared" si="3"/>
        <v>98</v>
      </c>
      <c r="H132" s="79">
        <f>(Presses+IF(6&gt;LeadPlan,1,0))*PressRate*PlantOEE_ML*(1+OTMax)+SubMax</f>
        <v>98</v>
      </c>
    </row>
    <row r="133" spans="2:8" hidden="1" outlineLevel="1" x14ac:dyDescent="0.45">
      <c r="B133" s="84">
        <f>'Мощность'!L7</f>
        <v>46569</v>
      </c>
      <c r="C133" s="79" cm="1">
        <f t="array" aca="1" ref="C133" ca="1">IF(ISNUMBER(_xll.VoseSimPercentile('Мощность'!L22,0.1)),_xll.VoseSimPercentile('Мощность'!L22,0.1),NA())</f>
        <v>81.413718563813362</v>
      </c>
      <c r="D133" s="79" cm="1">
        <f t="array" aca="1" ref="D133" ca="1">IF(ISNUMBER(_xll.VoseSimPercentile('Мощность'!L22,0.5)),_xll.VoseSimPercentile('Мощность'!L22,0.5),NA())</f>
        <v>90.362822648467287</v>
      </c>
      <c r="E133" s="79" cm="1">
        <f t="array" aca="1" ref="E133" ca="1">IF(ISNUMBER(_xll.VoseSimPercentile('Мощность'!L22,0.9)),_xll.VoseSimPercentile('Мощность'!L22,0.9),NA())</f>
        <v>100.32247844627327</v>
      </c>
      <c r="F133" s="79" cm="1">
        <f t="array" aca="1" ref="F133" ca="1">IF(ISNUMBER(_xll.VoseSimMean('Мощность'!L22)),_xll.VoseSimMean('Мощность'!L22),NA())</f>
        <v>90.662418412966559</v>
      </c>
      <c r="G133" s="79">
        <f t="shared" si="3"/>
        <v>98</v>
      </c>
      <c r="H133" s="79">
        <f>(Presses+IF(7&gt;LeadPlan,1,0))*PressRate*PlantOEE_ML*(1+OTMax)+SubMax</f>
        <v>120.00000000000001</v>
      </c>
    </row>
    <row r="134" spans="2:8" hidden="1" outlineLevel="1" x14ac:dyDescent="0.45">
      <c r="B134" s="84">
        <f>'Мощность'!M7</f>
        <v>46600</v>
      </c>
      <c r="C134" s="79" cm="1">
        <f t="array" aca="1" ref="C134" ca="1">IF(ISNUMBER(_xll.VoseSimPercentile('Мощность'!M22,0.1)),_xll.VoseSimPercentile('Мощность'!M22,0.1),NA())</f>
        <v>76.323796222645527</v>
      </c>
      <c r="D134" s="79" cm="1">
        <f t="array" aca="1" ref="D134" ca="1">IF(ISNUMBER(_xll.VoseSimPercentile('Мощность'!M22,0.5)),_xll.VoseSimPercentile('Мощность'!M22,0.5),NA())</f>
        <v>85.088613031334233</v>
      </c>
      <c r="E134" s="79" cm="1">
        <f t="array" aca="1" ref="E134" ca="1">IF(ISNUMBER(_xll.VoseSimPercentile('Мощность'!M22,0.9)),_xll.VoseSimPercentile('Мощность'!M22,0.9),NA())</f>
        <v>95.107467427138701</v>
      </c>
      <c r="F134" s="79" cm="1">
        <f t="array" aca="1" ref="F134" ca="1">IF(ISNUMBER(_xll.VoseSimMean('Мощность'!M22)),_xll.VoseSimMean('Мощность'!M22),NA())</f>
        <v>85.420581570548848</v>
      </c>
      <c r="G134" s="79">
        <f t="shared" si="3"/>
        <v>98</v>
      </c>
      <c r="H134" s="79">
        <f>(Presses+IF(8&gt;LeadPlan,1,0))*PressRate*PlantOEE_ML*(1+OTMax)+SubMax</f>
        <v>120.00000000000001</v>
      </c>
    </row>
    <row r="135" spans="2:8" hidden="1" outlineLevel="1" x14ac:dyDescent="0.45">
      <c r="B135" s="84">
        <f>'Мощность'!N7</f>
        <v>46631</v>
      </c>
      <c r="C135" s="79" cm="1">
        <f t="array" aca="1" ref="C135" ca="1">IF(ISNUMBER(_xll.VoseSimPercentile('Мощность'!N22,0.1)),_xll.VoseSimPercentile('Мощность'!N22,0.1),NA())</f>
        <v>73.901108916406912</v>
      </c>
      <c r="D135" s="79" cm="1">
        <f t="array" aca="1" ref="D135" ca="1">IF(ISNUMBER(_xll.VoseSimPercentile('Мощность'!N22,0.5)),_xll.VoseSimPercentile('Мощность'!N22,0.5),NA())</f>
        <v>83.106473137659094</v>
      </c>
      <c r="E135" s="79" cm="1">
        <f t="array" aca="1" ref="E135" ca="1">IF(ISNUMBER(_xll.VoseSimPercentile('Мощность'!N22,0.9)),_xll.VoseSimPercentile('Мощность'!N22,0.9),NA())</f>
        <v>93.373038299083362</v>
      </c>
      <c r="F135" s="79" cm="1">
        <f t="array" aca="1" ref="F135" ca="1">IF(ISNUMBER(_xll.VoseSimMean('Мощность'!N22)),_xll.VoseSimMean('Мощность'!N22),NA())</f>
        <v>83.433851908434178</v>
      </c>
      <c r="G135" s="79">
        <f t="shared" si="3"/>
        <v>98</v>
      </c>
      <c r="H135" s="79">
        <f>(Presses+IF(9&gt;LeadPlan,1,0))*PressRate*PlantOEE_ML*(1+OTMax)+SubMax</f>
        <v>120.00000000000001</v>
      </c>
    </row>
    <row r="136" spans="2:8" hidden="1" outlineLevel="1" x14ac:dyDescent="0.45">
      <c r="B136" s="84">
        <f>'Мощность'!O7</f>
        <v>46661</v>
      </c>
      <c r="C136" s="79" cm="1">
        <f t="array" aca="1" ref="C136" ca="1">IF(ISNUMBER(_xll.VoseSimPercentile('Мощность'!O22,0.1)),_xll.VoseSimPercentile('Мощность'!O22,0.1),NA())</f>
        <v>70.891996775120447</v>
      </c>
      <c r="D136" s="79" cm="1">
        <f t="array" aca="1" ref="D136" ca="1">IF(ISNUMBER(_xll.VoseSimPercentile('Мощность'!O22,0.5)),_xll.VoseSimPercentile('Мощность'!O22,0.5),NA())</f>
        <v>80.240565994062379</v>
      </c>
      <c r="E136" s="79" cm="1">
        <f t="array" aca="1" ref="E136" ca="1">IF(ISNUMBER(_xll.VoseSimPercentile('Мощность'!O22,0.9)),_xll.VoseSimPercentile('Мощность'!O22,0.9),NA())</f>
        <v>90.77277569402699</v>
      </c>
      <c r="F136" s="79" cm="1">
        <f t="array" aca="1" ref="F136" ca="1">IF(ISNUMBER(_xll.VoseSimMean('Мощность'!O22)),_xll.VoseSimMean('Мощность'!O22),NA())</f>
        <v>80.629943429087902</v>
      </c>
      <c r="G136" s="79">
        <f t="shared" si="3"/>
        <v>98</v>
      </c>
      <c r="H136" s="79">
        <f>(Presses+IF(10&gt;LeadPlan,1,0))*PressRate*PlantOEE_ML*(1+OTMax)+SubMax</f>
        <v>120.00000000000001</v>
      </c>
    </row>
    <row r="137" spans="2:8" hidden="1" outlineLevel="1" x14ac:dyDescent="0.45">
      <c r="B137" s="84">
        <f>'Мощность'!P7</f>
        <v>46692</v>
      </c>
      <c r="C137" s="79" cm="1">
        <f t="array" aca="1" ref="C137" ca="1">IF(ISNUMBER(_xll.VoseSimPercentile('Мощность'!P22,0.1)),_xll.VoseSimPercentile('Мощность'!P22,0.1),NA())</f>
        <v>68.47481742129753</v>
      </c>
      <c r="D137" s="79" cm="1">
        <f t="array" aca="1" ref="D137" ca="1">IF(ISNUMBER(_xll.VoseSimPercentile('Мощность'!P22,0.5)),_xll.VoseSimPercentile('Мощность'!P22,0.5),NA())</f>
        <v>78.217301840905705</v>
      </c>
      <c r="E137" s="79" cm="1">
        <f t="array" aca="1" ref="E137" ca="1">IF(ISNUMBER(_xll.VoseSimPercentile('Мощность'!P22,0.9)),_xll.VoseSimPercentile('Мощность'!P22,0.9),NA())</f>
        <v>89.175086083375533</v>
      </c>
      <c r="F137" s="79" cm="1">
        <f t="array" aca="1" ref="F137" ca="1">IF(ISNUMBER(_xll.VoseSimMean('Мощность'!P22)),_xll.VoseSimMean('Мощность'!P22),NA())</f>
        <v>78.598243295066396</v>
      </c>
      <c r="G137" s="79">
        <f t="shared" si="3"/>
        <v>98</v>
      </c>
      <c r="H137" s="79">
        <f>(Presses+IF(11&gt;LeadPlan,1,0))*PressRate*PlantOEE_ML*(1+OTMax)+SubMax</f>
        <v>120.00000000000001</v>
      </c>
    </row>
    <row r="138" spans="2:8" hidden="1" outlineLevel="1" x14ac:dyDescent="0.45">
      <c r="B138" s="84">
        <f>'Мощность'!Q7</f>
        <v>46722</v>
      </c>
      <c r="C138" s="79" cm="1">
        <f t="array" aca="1" ref="C138" ca="1">IF(ISNUMBER(_xll.VoseSimPercentile('Мощность'!Q22,0.1)),_xll.VoseSimPercentile('Мощность'!Q22,0.1),NA())</f>
        <v>63.482151069228607</v>
      </c>
      <c r="D138" s="79" cm="1">
        <f t="array" aca="1" ref="D138" ca="1">IF(ISNUMBER(_xll.VoseSimPercentile('Мощность'!Q22,0.5)),_xll.VoseSimPercentile('Мощность'!Q22,0.5),NA())</f>
        <v>72.91517397975268</v>
      </c>
      <c r="E138" s="79" cm="1">
        <f t="array" aca="1" ref="E138" ca="1">IF(ISNUMBER(_xll.VoseSimPercentile('Мощность'!Q22,0.9)),_xll.VoseSimPercentile('Мощность'!Q22,0.9),NA())</f>
        <v>83.470185382371128</v>
      </c>
      <c r="F138" s="79" cm="1">
        <f t="array" aca="1" ref="F138" ca="1">IF(ISNUMBER(_xll.VoseSimMean('Мощность'!Q22)),_xll.VoseSimMean('Мощность'!Q22),NA())</f>
        <v>73.195389461656276</v>
      </c>
      <c r="G138" s="79">
        <f t="shared" si="3"/>
        <v>98</v>
      </c>
      <c r="H138" s="79">
        <f>(Presses+IF(12&gt;LeadPlan,1,0))*PressRate*PlantOEE_ML*(1+OTMax)+SubMax</f>
        <v>120.00000000000001</v>
      </c>
    </row>
    <row r="139" spans="2:8" hidden="1" outlineLevel="1" x14ac:dyDescent="0.45">
      <c r="B139" s="84">
        <f>'Мощность'!R7</f>
        <v>46753</v>
      </c>
      <c r="C139" s="79" cm="1">
        <f t="array" aca="1" ref="C139" ca="1">IF(ISNUMBER(_xll.VoseSimPercentile('Мощность'!R22,0.1)),_xll.VoseSimPercentile('Мощность'!R22,0.1),NA())</f>
        <v>61.24891137564272</v>
      </c>
      <c r="D139" s="79" cm="1">
        <f t="array" aca="1" ref="D139" ca="1">IF(ISNUMBER(_xll.VoseSimPercentile('Мощность'!R22,0.5)),_xll.VoseSimPercentile('Мощность'!R22,0.5),NA())</f>
        <v>70.551802924455743</v>
      </c>
      <c r="E139" s="79" cm="1">
        <f t="array" aca="1" ref="E139" ca="1">IF(ISNUMBER(_xll.VoseSimPercentile('Мощность'!R22,0.9)),_xll.VoseSimPercentile('Мощность'!R22,0.9),NA())</f>
        <v>81.305955694004226</v>
      </c>
      <c r="F139" s="79" cm="1">
        <f t="array" aca="1" ref="F139" ca="1">IF(ISNUMBER(_xll.VoseSimMean('Мощность'!R22)),_xll.VoseSimMean('Мощность'!R22),NA())</f>
        <v>71.02012444174774</v>
      </c>
      <c r="G139" s="79">
        <f t="shared" si="3"/>
        <v>98</v>
      </c>
      <c r="H139" s="79">
        <f>(Presses+IF(13&gt;LeadPlan,1,0))*PressRate*PlantOEE_ML*(1+OTMax)+SubMax</f>
        <v>120.00000000000001</v>
      </c>
    </row>
    <row r="140" spans="2:8" hidden="1" outlineLevel="1" x14ac:dyDescent="0.45">
      <c r="B140" s="84">
        <f>'Мощность'!S7</f>
        <v>46784</v>
      </c>
      <c r="C140" s="79" cm="1">
        <f t="array" aca="1" ref="C140" ca="1">IF(ISNUMBER(_xll.VoseSimPercentile('Мощность'!S22,0.1)),_xll.VoseSimPercentile('Мощность'!S22,0.1),NA())</f>
        <v>63.299390677827368</v>
      </c>
      <c r="D140" s="79" cm="1">
        <f t="array" aca="1" ref="D140" ca="1">IF(ISNUMBER(_xll.VoseSimPercentile('Мощность'!S22,0.5)),_xll.VoseSimPercentile('Мощность'!S22,0.5),NA())</f>
        <v>73.41071421493622</v>
      </c>
      <c r="E140" s="79" cm="1">
        <f t="array" aca="1" ref="E140" ca="1">IF(ISNUMBER(_xll.VoseSimPercentile('Мощность'!S22,0.9)),_xll.VoseSimPercentile('Мощность'!S22,0.9),NA())</f>
        <v>85.174316417154117</v>
      </c>
      <c r="F140" s="79" cm="1">
        <f t="array" aca="1" ref="F140" ca="1">IF(ISNUMBER(_xll.VoseSimMean('Мощность'!S22)),_xll.VoseSimMean('Мощность'!S22),NA())</f>
        <v>73.958019044560487</v>
      </c>
      <c r="G140" s="79">
        <f t="shared" si="3"/>
        <v>98</v>
      </c>
      <c r="H140" s="79">
        <f>(Presses+IF(14&gt;LeadPlan,1,0))*PressRate*PlantOEE_ML*(1+OTMax)+SubMax</f>
        <v>120.00000000000001</v>
      </c>
    </row>
    <row r="141" spans="2:8" hidden="1" outlineLevel="1" x14ac:dyDescent="0.45">
      <c r="B141" s="84">
        <f>'Мощность'!T7</f>
        <v>46813</v>
      </c>
      <c r="C141" s="79" cm="1">
        <f t="array" aca="1" ref="C141" ca="1">IF(ISNUMBER(_xll.VoseSimPercentile('Мощность'!T22,0.1)),_xll.VoseSimPercentile('Мощность'!T22,0.1),NA())</f>
        <v>70.437334051760075</v>
      </c>
      <c r="D141" s="79" cm="1">
        <f t="array" aca="1" ref="D141" ca="1">IF(ISNUMBER(_xll.VoseSimPercentile('Мощность'!T22,0.5)),_xll.VoseSimPercentile('Мощность'!T22,0.5),NA())</f>
        <v>82.182630202658117</v>
      </c>
      <c r="E141" s="79" cm="1">
        <f t="array" aca="1" ref="E141" ca="1">IF(ISNUMBER(_xll.VoseSimPercentile('Мощность'!T22,0.9)),_xll.VoseSimPercentile('Мощность'!T22,0.9),NA())</f>
        <v>95.772724440778205</v>
      </c>
      <c r="F141" s="79" cm="1">
        <f t="array" aca="1" ref="F141" ca="1">IF(ISNUMBER(_xll.VoseSimMean('Мощность'!T22)),_xll.VoseSimMean('Мощность'!T22),NA())</f>
        <v>82.794733095254301</v>
      </c>
      <c r="G141" s="79">
        <f t="shared" si="3"/>
        <v>98</v>
      </c>
      <c r="H141" s="79">
        <f>(Presses+IF(15&gt;LeadPlan,1,0))*PressRate*PlantOEE_ML*(1+OTMax)+SubMax</f>
        <v>120.00000000000001</v>
      </c>
    </row>
    <row r="142" spans="2:8" hidden="1" outlineLevel="1" x14ac:dyDescent="0.45">
      <c r="B142" s="84">
        <f>'Мощность'!U7</f>
        <v>46844</v>
      </c>
      <c r="C142" s="79" cm="1">
        <f t="array" aca="1" ref="C142" ca="1">IF(ISNUMBER(_xll.VoseSimPercentile('Мощность'!U22,0.1)),_xll.VoseSimPercentile('Мощность'!U22,0.1),NA())</f>
        <v>74.609736671465413</v>
      </c>
      <c r="D142" s="79" cm="1">
        <f t="array" aca="1" ref="D142" ca="1">IF(ISNUMBER(_xll.VoseSimPercentile('Мощность'!U22,0.5)),_xll.VoseSimPercentile('Мощность'!U22,0.5),NA())</f>
        <v>87.694905144787626</v>
      </c>
      <c r="E142" s="79" cm="1">
        <f t="array" aca="1" ref="E142" ca="1">IF(ISNUMBER(_xll.VoseSimPercentile('Мощность'!U22,0.9)),_xll.VoseSimPercentile('Мощность'!U22,0.9),NA())</f>
        <v>102.69652399135836</v>
      </c>
      <c r="F142" s="79" cm="1">
        <f t="array" aca="1" ref="F142" ca="1">IF(ISNUMBER(_xll.VoseSimMean('Мощность'!U22)),_xll.VoseSimMean('Мощность'!U22),NA())</f>
        <v>88.371868212763175</v>
      </c>
      <c r="G142" s="79">
        <f t="shared" si="3"/>
        <v>98</v>
      </c>
      <c r="H142" s="79">
        <f>(Presses+IF(16&gt;LeadPlan,1,0))*PressRate*PlantOEE_ML*(1+OTMax)+SubMax</f>
        <v>120.00000000000001</v>
      </c>
    </row>
    <row r="143" spans="2:8" hidden="1" outlineLevel="1" x14ac:dyDescent="0.45">
      <c r="B143" s="84">
        <f>'Мощность'!V7</f>
        <v>46874</v>
      </c>
      <c r="C143" s="79" cm="1">
        <f t="array" aca="1" ref="C143" ca="1">IF(ISNUMBER(_xll.VoseSimPercentile('Мощность'!V22,0.1)),_xll.VoseSimPercentile('Мощность'!V22,0.1),NA())</f>
        <v>78.886320503972456</v>
      </c>
      <c r="D143" s="79" cm="1">
        <f t="array" aca="1" ref="D143" ca="1">IF(ISNUMBER(_xll.VoseSimPercentile('Мощность'!V22,0.5)),_xll.VoseSimPercentile('Мощность'!V22,0.5),NA())</f>
        <v>93.241133903239728</v>
      </c>
      <c r="E143" s="79" cm="1">
        <f t="array" aca="1" ref="E143" ca="1">IF(ISNUMBER(_xll.VoseSimPercentile('Мощность'!V22,0.9)),_xll.VoseSimPercentile('Мощность'!V22,0.9),NA())</f>
        <v>110.09071227291567</v>
      </c>
      <c r="F143" s="79" cm="1">
        <f t="array" aca="1" ref="F143" ca="1">IF(ISNUMBER(_xll.VoseSimMean('Мощность'!V22)),_xll.VoseSimMean('Мощность'!V22),NA())</f>
        <v>93.943256182474045</v>
      </c>
      <c r="G143" s="79">
        <f t="shared" si="3"/>
        <v>98</v>
      </c>
      <c r="H143" s="79">
        <f>(Presses+IF(17&gt;LeadPlan,1,0))*PressRate*PlantOEE_ML*(1+OTMax)+SubMax</f>
        <v>120.00000000000001</v>
      </c>
    </row>
    <row r="144" spans="2:8" hidden="1" outlineLevel="1" x14ac:dyDescent="0.45">
      <c r="B144" s="84">
        <f>'Мощность'!W7</f>
        <v>46905</v>
      </c>
      <c r="C144" s="79" cm="1">
        <f t="array" aca="1" ref="C144" ca="1">IF(ISNUMBER(_xll.VoseSimPercentile('Мощность'!W22,0.1)),_xll.VoseSimPercentile('Мощность'!W22,0.1),NA())</f>
        <v>82.268462665591173</v>
      </c>
      <c r="D144" s="79" cm="1">
        <f t="array" aca="1" ref="D144" ca="1">IF(ISNUMBER(_xll.VoseSimPercentile('Мощность'!W22,0.5)),_xll.VoseSimPercentile('Мощность'!W22,0.5),NA())</f>
        <v>97.969931486177217</v>
      </c>
      <c r="E144" s="79" cm="1">
        <f t="array" aca="1" ref="E144" ca="1">IF(ISNUMBER(_xll.VoseSimPercentile('Мощность'!W22,0.9)),_xll.VoseSimPercentile('Мощность'!W22,0.9),NA())</f>
        <v>116.11565008372652</v>
      </c>
      <c r="F144" s="79" cm="1">
        <f t="array" aca="1" ref="F144" ca="1">IF(ISNUMBER(_xll.VoseSimMean('Мощность'!W22)),_xll.VoseSimMean('Мощность'!W22),NA())</f>
        <v>98.72465393173043</v>
      </c>
      <c r="G144" s="79">
        <f t="shared" si="3"/>
        <v>98</v>
      </c>
      <c r="H144" s="79">
        <f>(Presses+IF(18&gt;LeadPlan,1,0))*PressRate*PlantOEE_ML*(1+OTMax)+SubMax</f>
        <v>120.00000000000001</v>
      </c>
    </row>
    <row r="145" spans="2:8" hidden="1" outlineLevel="1" x14ac:dyDescent="0.45">
      <c r="B145" s="84">
        <f>'Мощность'!X7</f>
        <v>46935</v>
      </c>
      <c r="C145" s="79" cm="1">
        <f t="array" aca="1" ref="C145" ca="1">IF(ISNUMBER(_xll.VoseSimPercentile('Мощность'!X22,0.1)),_xll.VoseSimPercentile('Мощность'!X22,0.1),NA())</f>
        <v>80.33129649798569</v>
      </c>
      <c r="D145" s="79" cm="1">
        <f t="array" aca="1" ref="D145" ca="1">IF(ISNUMBER(_xll.VoseSimPercentile('Мощность'!X22,0.5)),_xll.VoseSimPercentile('Мощность'!X22,0.5),NA())</f>
        <v>95.845596235821361</v>
      </c>
      <c r="E145" s="79" cm="1">
        <f t="array" aca="1" ref="E145" ca="1">IF(ISNUMBER(_xll.VoseSimPercentile('Мощность'!X22,0.9)),_xll.VoseSimPercentile('Мощность'!X22,0.9),NA())</f>
        <v>114.18769482660204</v>
      </c>
      <c r="F145" s="79" cm="1">
        <f t="array" aca="1" ref="F145" ca="1">IF(ISNUMBER(_xll.VoseSimMean('Мощность'!X22)),_xll.VoseSimMean('Мощность'!X22),NA())</f>
        <v>96.62683038749924</v>
      </c>
      <c r="G145" s="79">
        <f t="shared" si="3"/>
        <v>98</v>
      </c>
      <c r="H145" s="79">
        <f>(Presses+IF(19&gt;LeadPlan,1,0))*PressRate*PlantOEE_ML*(1+OTMax)+SubMax</f>
        <v>120.00000000000001</v>
      </c>
    </row>
    <row r="146" spans="2:8" hidden="1" outlineLevel="1" x14ac:dyDescent="0.45">
      <c r="B146" s="84">
        <f>'Мощность'!Y7</f>
        <v>46966</v>
      </c>
      <c r="C146" s="79" cm="1">
        <f t="array" aca="1" ref="C146" ca="1">IF(ISNUMBER(_xll.VoseSimPercentile('Мощность'!Y22,0.1)),_xll.VoseSimPercentile('Мощность'!Y22,0.1),NA())</f>
        <v>75.294570835773527</v>
      </c>
      <c r="D146" s="79" cm="1">
        <f t="array" aca="1" ref="D146" ca="1">IF(ISNUMBER(_xll.VoseSimPercentile('Мощность'!Y22,0.5)),_xll.VoseSimPercentile('Мощность'!Y22,0.5),NA())</f>
        <v>90.311353830819371</v>
      </c>
      <c r="E146" s="79" cm="1">
        <f t="array" aca="1" ref="E146" ca="1">IF(ISNUMBER(_xll.VoseSimPercentile('Мощность'!Y22,0.9)),_xll.VoseSimPercentile('Мощность'!Y22,0.9),NA())</f>
        <v>107.85343137036094</v>
      </c>
      <c r="F146" s="79" cm="1">
        <f t="array" aca="1" ref="F146" ca="1">IF(ISNUMBER(_xll.VoseSimMean('Мощность'!Y22)),_xll.VoseSimMean('Мощность'!Y22),NA())</f>
        <v>91.079527219184698</v>
      </c>
      <c r="G146" s="79">
        <f t="shared" si="3"/>
        <v>98</v>
      </c>
      <c r="H146" s="79">
        <f>(Presses+IF(20&gt;LeadPlan,1,0))*PressRate*PlantOEE_ML*(1+OTMax)+SubMax</f>
        <v>120.00000000000001</v>
      </c>
    </row>
    <row r="147" spans="2:8" hidden="1" outlineLevel="1" x14ac:dyDescent="0.45">
      <c r="B147" s="84">
        <f>'Мощность'!Z7</f>
        <v>46997</v>
      </c>
      <c r="C147" s="79" cm="1">
        <f t="array" aca="1" ref="C147" ca="1">IF(ISNUMBER(_xll.VoseSimPercentile('Мощность'!Z22,0.1)),_xll.VoseSimPercentile('Мощность'!Z22,0.1),NA())</f>
        <v>73.084203554621354</v>
      </c>
      <c r="D147" s="79" cm="1">
        <f t="array" aca="1" ref="D147" ca="1">IF(ISNUMBER(_xll.VoseSimPercentile('Мощность'!Z22,0.5)),_xll.VoseSimPercentile('Мощность'!Z22,0.5),NA())</f>
        <v>88.238325391388514</v>
      </c>
      <c r="E147" s="79" cm="1">
        <f t="array" aca="1" ref="E147" ca="1">IF(ISNUMBER(_xll.VoseSimPercentile('Мощность'!Z22,0.9)),_xll.VoseSimPercentile('Мощность'!Z22,0.9),NA())</f>
        <v>105.87333719497465</v>
      </c>
      <c r="F147" s="79" cm="1">
        <f t="array" aca="1" ref="F147" ca="1">IF(ISNUMBER(_xll.VoseSimMean('Мощность'!Z22)),_xll.VoseSimMean('Мощность'!Z22),NA())</f>
        <v>88.987865167987763</v>
      </c>
      <c r="G147" s="79">
        <f t="shared" si="3"/>
        <v>98</v>
      </c>
      <c r="H147" s="79">
        <f>(Presses+IF(21&gt;LeadPlan,1,0))*PressRate*PlantOEE_ML*(1+OTMax)+SubMax</f>
        <v>120.00000000000001</v>
      </c>
    </row>
    <row r="148" spans="2:8" hidden="1" outlineLevel="1" x14ac:dyDescent="0.45">
      <c r="B148" s="84">
        <f>'Мощность'!AA7</f>
        <v>47027</v>
      </c>
      <c r="C148" s="79" cm="1">
        <f t="array" aca="1" ref="C148" ca="1">IF(ISNUMBER(_xll.VoseSimPercentile('Мощность'!AA22,0.1)),_xll.VoseSimPercentile('Мощность'!AA22,0.1),NA())</f>
        <v>70.3960850137492</v>
      </c>
      <c r="D148" s="79" cm="1">
        <f t="array" aca="1" ref="D148" ca="1">IF(ISNUMBER(_xll.VoseSimPercentile('Мощность'!AA22,0.5)),_xll.VoseSimPercentile('Мощность'!AA22,0.5),NA())</f>
        <v>85.100171803463084</v>
      </c>
      <c r="E148" s="79" cm="1">
        <f t="array" aca="1" ref="E148" ca="1">IF(ISNUMBER(_xll.VoseSimPercentile('Мощность'!AA22,0.9)),_xll.VoseSimPercentile('Мощность'!AA22,0.9),NA())</f>
        <v>102.86463855565154</v>
      </c>
      <c r="F148" s="79" cm="1">
        <f t="array" aca="1" ref="F148" ca="1">IF(ISNUMBER(_xll.VoseSimMean('Мощность'!AA22)),_xll.VoseSimMean('Мощность'!AA22),NA())</f>
        <v>85.941686782352647</v>
      </c>
      <c r="G148" s="79">
        <f t="shared" si="3"/>
        <v>98</v>
      </c>
      <c r="H148" s="79">
        <f>(Presses+IF(22&gt;LeadPlan,1,0))*PressRate*PlantOEE_ML*(1+OTMax)+SubMax</f>
        <v>120.00000000000001</v>
      </c>
    </row>
    <row r="149" spans="2:8" hidden="1" outlineLevel="1" x14ac:dyDescent="0.45">
      <c r="B149" s="84">
        <f>'Мощность'!AB7</f>
        <v>47058</v>
      </c>
      <c r="C149" s="79" cm="1">
        <f t="array" aca="1" ref="C149" ca="1">IF(ISNUMBER(_xll.VoseSimPercentile('Мощность'!AB22,0.1)),_xll.VoseSimPercentile('Мощность'!AB22,0.1),NA())</f>
        <v>68.09291816823611</v>
      </c>
      <c r="D149" s="79" cm="1">
        <f t="array" aca="1" ref="D149" ca="1">IF(ISNUMBER(_xll.VoseSimPercentile('Мощность'!AB22,0.5)),_xll.VoseSimPercentile('Мощность'!AB22,0.5),NA())</f>
        <v>82.828462993074353</v>
      </c>
      <c r="E149" s="79" cm="1">
        <f t="array" aca="1" ref="E149" ca="1">IF(ISNUMBER(_xll.VoseSimPercentile('Мощность'!AB22,0.9)),_xll.VoseSimPercentile('Мощность'!AB22,0.9),NA())</f>
        <v>100.7068473440912</v>
      </c>
      <c r="F149" s="79" cm="1">
        <f t="array" aca="1" ref="F149" ca="1">IF(ISNUMBER(_xll.VoseSimMean('Мощность'!AB22)),_xll.VoseSimMean('Мощность'!AB22),NA())</f>
        <v>83.763141254945239</v>
      </c>
      <c r="G149" s="79">
        <f t="shared" si="3"/>
        <v>98</v>
      </c>
      <c r="H149" s="79">
        <f>(Presses+IF(23&gt;LeadPlan,1,0))*PressRate*PlantOEE_ML*(1+OTMax)+SubMax</f>
        <v>120.00000000000001</v>
      </c>
    </row>
    <row r="150" spans="2:8" hidden="1" outlineLevel="1" x14ac:dyDescent="0.45">
      <c r="B150" s="84">
        <f>'Мощность'!AC7</f>
        <v>47088</v>
      </c>
      <c r="C150" s="79" cm="1">
        <f t="array" aca="1" ref="C150" ca="1">IF(ISNUMBER(_xll.VoseSimPercentile('Мощность'!AC22,0.1)),_xll.VoseSimPercentile('Мощность'!AC22,0.1),NA())</f>
        <v>63.088921588334102</v>
      </c>
      <c r="D150" s="79" cm="1">
        <f t="array" aca="1" ref="D150" ca="1">IF(ISNUMBER(_xll.VoseSimPercentile('Мощность'!AC22,0.5)),_xll.VoseSimPercentile('Мощность'!AC22,0.5),NA())</f>
        <v>77.217438190546488</v>
      </c>
      <c r="E150" s="79" cm="1">
        <f t="array" aca="1" ref="E150" ca="1">IF(ISNUMBER(_xll.VoseSimPercentile('Мощность'!AC22,0.9)),_xll.VoseSimPercentile('Мощность'!AC22,0.9),NA())</f>
        <v>94.140431455592591</v>
      </c>
      <c r="F150" s="79" cm="1">
        <f t="array" aca="1" ref="F150" ca="1">IF(ISNUMBER(_xll.VoseSimMean('Мощность'!AC22)),_xll.VoseSimMean('Мощность'!AC22),NA())</f>
        <v>78.014262391282429</v>
      </c>
      <c r="G150" s="79">
        <f t="shared" si="3"/>
        <v>98</v>
      </c>
      <c r="H150" s="79">
        <f>(Presses+IF(24&gt;LeadPlan,1,0))*PressRate*PlantOEE_ML*(1+OTMax)+SubMax</f>
        <v>120.00000000000001</v>
      </c>
    </row>
    <row r="151" spans="2:8" hidden="1" outlineLevel="1" x14ac:dyDescent="0.45">
      <c r="B151" s="84">
        <f>'Мощность'!AD7</f>
        <v>47119</v>
      </c>
      <c r="C151" s="79" cm="1">
        <f t="array" aca="1" ref="C151" ca="1">IF(ISNUMBER(_xll.VoseSimPercentile('Мощность'!AD22,0.1)),_xll.VoseSimPercentile('Мощность'!AD22,0.1),NA())</f>
        <v>60.97305633565022</v>
      </c>
      <c r="D151" s="79" cm="1">
        <f t="array" aca="1" ref="D151" ca="1">IF(ISNUMBER(_xll.VoseSimPercentile('Мощность'!AD22,0.5)),_xll.VoseSimPercentile('Мощность'!AD22,0.5),NA())</f>
        <v>74.900806060426433</v>
      </c>
      <c r="E151" s="79" cm="1">
        <f t="array" aca="1" ref="E151" ca="1">IF(ISNUMBER(_xll.VoseSimPercentile('Мощность'!AD22,0.9)),_xll.VoseSimPercentile('Мощность'!AD22,0.9),NA())</f>
        <v>91.644607808913008</v>
      </c>
      <c r="F151" s="79" cm="1">
        <f t="array" aca="1" ref="F151" ca="1">IF(ISNUMBER(_xll.VoseSimMean('Мощность'!AD22)),_xll.VoseSimMean('Мощность'!AD22),NA())</f>
        <v>75.771203823825303</v>
      </c>
      <c r="G151" s="79">
        <f t="shared" si="3"/>
        <v>98</v>
      </c>
      <c r="H151" s="79">
        <f>(Presses+IF(25&gt;LeadPlan,1,0))*PressRate*PlantOEE_ML*(1+OTMax)+SubMax</f>
        <v>120.00000000000001</v>
      </c>
    </row>
    <row r="152" spans="2:8" hidden="1" outlineLevel="1" x14ac:dyDescent="0.45">
      <c r="B152" s="84">
        <f>'Мощность'!AE7</f>
        <v>47150</v>
      </c>
      <c r="C152" s="79" cm="1">
        <f t="array" aca="1" ref="C152" ca="1">IF(ISNUMBER(_xll.VoseSimPercentile('Мощность'!AE22,0.1)),_xll.VoseSimPercentile('Мощность'!AE22,0.1),NA())</f>
        <v>63.195558742047282</v>
      </c>
      <c r="D152" s="79" cm="1">
        <f t="array" aca="1" ref="D152" ca="1">IF(ISNUMBER(_xll.VoseSimPercentile('Мощность'!AE22,0.5)),_xll.VoseSimPercentile('Мощность'!AE22,0.5),NA())</f>
        <v>77.821163015909804</v>
      </c>
      <c r="E152" s="79" cm="1">
        <f t="array" aca="1" ref="E152" ca="1">IF(ISNUMBER(_xll.VoseSimPercentile('Мощность'!AE22,0.9)),_xll.VoseSimPercentile('Мощность'!AE22,0.9),NA())</f>
        <v>95.815247823086963</v>
      </c>
      <c r="F152" s="79" cm="1">
        <f t="array" aca="1" ref="F152" ca="1">IF(ISNUMBER(_xll.VoseSimMean('Мощность'!AE22)),_xll.VoseSimMean('Мощность'!AE22),NA())</f>
        <v>78.866996132305928</v>
      </c>
      <c r="G152" s="79">
        <f t="shared" si="3"/>
        <v>98</v>
      </c>
      <c r="H152" s="79">
        <f>(Presses+IF(26&gt;LeadPlan,1,0))*PressRate*PlantOEE_ML*(1+OTMax)+SubMax</f>
        <v>120.00000000000001</v>
      </c>
    </row>
    <row r="153" spans="2:8" hidden="1" outlineLevel="1" x14ac:dyDescent="0.45">
      <c r="B153" s="84">
        <f>'Мощность'!AF7</f>
        <v>47178</v>
      </c>
      <c r="C153" s="79" cm="1">
        <f t="array" aca="1" ref="C153" ca="1">IF(ISNUMBER(_xll.VoseSimPercentile('Мощность'!AF22,0.1)),_xll.VoseSimPercentile('Мощность'!AF22,0.1),NA())</f>
        <v>70.217158316765691</v>
      </c>
      <c r="D153" s="79" cm="1">
        <f t="array" aca="1" ref="D153" ca="1">IF(ISNUMBER(_xll.VoseSimPercentile('Мощность'!AF22,0.5)),_xll.VoseSimPercentile('Мощность'!AF22,0.5),NA())</f>
        <v>87.250817471238207</v>
      </c>
      <c r="E153" s="79" cm="1">
        <f t="array" aca="1" ref="E153" ca="1">IF(ISNUMBER(_xll.VoseSimPercentile('Мощность'!AF22,0.9)),_xll.VoseSimPercentile('Мощность'!AF22,0.9),NA())</f>
        <v>107.71265595028645</v>
      </c>
      <c r="F153" s="79" cm="1">
        <f t="array" aca="1" ref="F153" ca="1">IF(ISNUMBER(_xll.VoseSimMean('Мощность'!AF22)),_xll.VoseSimMean('Мощность'!AF22),NA())</f>
        <v>88.291466903919456</v>
      </c>
      <c r="G153" s="79">
        <f t="shared" si="3"/>
        <v>98</v>
      </c>
      <c r="H153" s="79">
        <f>(Presses+IF(27&gt;LeadPlan,1,0))*PressRate*PlantOEE_ML*(1+OTMax)+SubMax</f>
        <v>120.00000000000001</v>
      </c>
    </row>
    <row r="154" spans="2:8" hidden="1" outlineLevel="1" x14ac:dyDescent="0.45">
      <c r="B154" s="84">
        <f>'Мощность'!AG7</f>
        <v>47209</v>
      </c>
      <c r="C154" s="79" cm="1">
        <f t="array" aca="1" ref="C154" ca="1">IF(ISNUMBER(_xll.VoseSimPercentile('Мощность'!AG22,0.1)),_xll.VoseSimPercentile('Мощность'!AG22,0.1),NA())</f>
        <v>74.570219749299625</v>
      </c>
      <c r="D154" s="79" cm="1">
        <f t="array" aca="1" ref="D154" ca="1">IF(ISNUMBER(_xll.VoseSimPercentile('Мощность'!AG22,0.5)),_xll.VoseSimPercentile('Мощность'!AG22,0.5),NA())</f>
        <v>92.848486452759076</v>
      </c>
      <c r="E154" s="79" cm="1">
        <f t="array" aca="1" ref="E154" ca="1">IF(ISNUMBER(_xll.VoseSimPercentile('Мощность'!AG22,0.9)),_xll.VoseSimPercentile('Мощность'!AG22,0.9),NA())</f>
        <v>115.19010353716837</v>
      </c>
      <c r="F154" s="79" cm="1">
        <f t="array" aca="1" ref="F154" ca="1">IF(ISNUMBER(_xll.VoseSimMean('Мощность'!AG22)),_xll.VoseSimMean('Мощность'!AG22),NA())</f>
        <v>94.190281060356043</v>
      </c>
      <c r="G154" s="79">
        <f t="shared" si="3"/>
        <v>98</v>
      </c>
      <c r="H154" s="79">
        <f>(Presses+IF(28&gt;LeadPlan,1,0))*PressRate*PlantOEE_ML*(1+OTMax)+SubMax</f>
        <v>120.00000000000001</v>
      </c>
    </row>
    <row r="155" spans="2:8" hidden="1" outlineLevel="1" x14ac:dyDescent="0.45">
      <c r="B155" s="84">
        <f>'Мощность'!AH7</f>
        <v>47239</v>
      </c>
      <c r="C155" s="79" cm="1">
        <f t="array" aca="1" ref="C155" ca="1">IF(ISNUMBER(_xll.VoseSimPercentile('Мощность'!AH22,0.1)),_xll.VoseSimPercentile('Мощность'!AH22,0.1),NA())</f>
        <v>78.852201282096289</v>
      </c>
      <c r="D155" s="79" cm="1">
        <f t="array" aca="1" ref="D155" ca="1">IF(ISNUMBER(_xll.VoseSimPercentile('Мощность'!AH22,0.5)),_xll.VoseSimPercentile('Мощность'!AH22,0.5),NA())</f>
        <v>98.808922662247696</v>
      </c>
      <c r="E155" s="79" cm="1">
        <f t="array" aca="1" ref="E155" ca="1">IF(ISNUMBER(_xll.VoseSimPercentile('Мощность'!AH22,0.9)),_xll.VoseSimPercentile('Мощность'!AH22,0.9),NA())</f>
        <v>123.04727322450003</v>
      </c>
      <c r="F155" s="79" cm="1">
        <f t="array" aca="1" ref="F155" ca="1">IF(ISNUMBER(_xll.VoseSimMean('Мощность'!AH22)),_xll.VoseSimMean('Мощность'!AH22),NA())</f>
        <v>100.15556450863691</v>
      </c>
      <c r="G155" s="79">
        <f t="shared" si="3"/>
        <v>98</v>
      </c>
      <c r="H155" s="79">
        <f>(Presses+IF(29&gt;LeadPlan,1,0))*PressRate*PlantOEE_ML*(1+OTMax)+SubMax</f>
        <v>120.00000000000001</v>
      </c>
    </row>
    <row r="156" spans="2:8" hidden="1" outlineLevel="1" x14ac:dyDescent="0.45">
      <c r="B156" s="84">
        <f>'Мощность'!AI7</f>
        <v>47270</v>
      </c>
      <c r="C156" s="79" cm="1">
        <f t="array" aca="1" ref="C156" ca="1">IF(ISNUMBER(_xll.VoseSimPercentile('Мощность'!AI22,0.1)),_xll.VoseSimPercentile('Мощность'!AI22,0.1),NA())</f>
        <v>82.536279163189477</v>
      </c>
      <c r="D156" s="79" cm="1">
        <f t="array" aca="1" ref="D156" ca="1">IF(ISNUMBER(_xll.VoseSimPercentile('Мощность'!AI22,0.5)),_xll.VoseSimPercentile('Мощность'!AI22,0.5),NA())</f>
        <v>103.66280123013614</v>
      </c>
      <c r="E156" s="79" cm="1">
        <f t="array" aca="1" ref="E156" ca="1">IF(ISNUMBER(_xll.VoseSimPercentile('Мощность'!AI22,0.9)),_xll.VoseSimPercentile('Мощность'!AI22,0.9),NA())</f>
        <v>129.70714429150948</v>
      </c>
      <c r="F156" s="79" cm="1">
        <f t="array" aca="1" ref="F156" ca="1">IF(ISNUMBER(_xll.VoseSimMean('Мощность'!AI22)),_xll.VoseSimMean('Мощность'!AI22),NA())</f>
        <v>105.23179548612849</v>
      </c>
      <c r="G156" s="79">
        <f t="shared" si="3"/>
        <v>98</v>
      </c>
      <c r="H156" s="79">
        <f>(Presses+IF(30&gt;LeadPlan,1,0))*PressRate*PlantOEE_ML*(1+OTMax)+SubMax</f>
        <v>120.00000000000001</v>
      </c>
    </row>
    <row r="157" spans="2:8" hidden="1" outlineLevel="1" x14ac:dyDescent="0.45">
      <c r="B157" s="84">
        <f>'Мощность'!AJ7</f>
        <v>47300</v>
      </c>
      <c r="C157" s="79" cm="1">
        <f t="array" aca="1" ref="C157" ca="1">IF(ISNUMBER(_xll.VoseSimPercentile('Мощность'!AJ22,0.1)),_xll.VoseSimPercentile('Мощность'!AJ22,0.1),NA())</f>
        <v>80.370114561272601</v>
      </c>
      <c r="D157" s="79" cm="1">
        <f t="array" aca="1" ref="D157" ca="1">IF(ISNUMBER(_xll.VoseSimPercentile('Мощность'!AJ22,0.5)),_xll.VoseSimPercentile('Мощность'!AJ22,0.5),NA())</f>
        <v>101.45493509018742</v>
      </c>
      <c r="E157" s="79" cm="1">
        <f t="array" aca="1" ref="E157" ca="1">IF(ISNUMBER(_xll.VoseSimPercentile('Мощность'!AJ22,0.9)),_xll.VoseSimPercentile('Мощность'!AJ22,0.9),NA())</f>
        <v>127.39787658719986</v>
      </c>
      <c r="F157" s="79" cm="1">
        <f t="array" aca="1" ref="F157" ca="1">IF(ISNUMBER(_xll.VoseSimMean('Мощность'!AJ22)),_xll.VoseSimMean('Мощность'!AJ22),NA())</f>
        <v>103.01703519082071</v>
      </c>
      <c r="G157" s="79">
        <f t="shared" si="3"/>
        <v>98</v>
      </c>
      <c r="H157" s="79">
        <f>(Presses+IF(31&gt;LeadPlan,1,0))*PressRate*PlantOEE_ML*(1+OTMax)+SubMax</f>
        <v>120.00000000000001</v>
      </c>
    </row>
    <row r="158" spans="2:8" hidden="1" outlineLevel="1" x14ac:dyDescent="0.45">
      <c r="B158" s="84">
        <f>'Мощность'!AK7</f>
        <v>47331</v>
      </c>
      <c r="C158" s="79" cm="1">
        <f t="array" aca="1" ref="C158" ca="1">IF(ISNUMBER(_xll.VoseSimPercentile('Мощность'!AK22,0.1)),_xll.VoseSimPercentile('Мощность'!AK22,0.1),NA())</f>
        <v>75.48930723085013</v>
      </c>
      <c r="D158" s="79" cm="1">
        <f t="array" aca="1" ref="D158" ca="1">IF(ISNUMBER(_xll.VoseSimPercentile('Мощность'!AK22,0.5)),_xll.VoseSimPercentile('Мощность'!AK22,0.5),NA())</f>
        <v>95.652649718641868</v>
      </c>
      <c r="E158" s="79" cm="1">
        <f t="array" aca="1" ref="E158" ca="1">IF(ISNUMBER(_xll.VoseSimPercentile('Мощность'!AK22,0.9)),_xll.VoseSimPercentile('Мощность'!AK22,0.9),NA())</f>
        <v>120.60429184529896</v>
      </c>
      <c r="F158" s="79" cm="1">
        <f t="array" aca="1" ref="F158" ca="1">IF(ISNUMBER(_xll.VoseSimMean('Мощность'!AK22)),_xll.VoseSimMean('Мощность'!AK22),NA())</f>
        <v>97.111356941589619</v>
      </c>
      <c r="G158" s="79">
        <f t="shared" si="3"/>
        <v>98</v>
      </c>
      <c r="H158" s="79">
        <f>(Presses+IF(32&gt;LeadPlan,1,0))*PressRate*PlantOEE_ML*(1+OTMax)+SubMax</f>
        <v>120.00000000000001</v>
      </c>
    </row>
    <row r="159" spans="2:8" hidden="1" outlineLevel="1" x14ac:dyDescent="0.45">
      <c r="B159" s="84">
        <f>'Мощность'!AL7</f>
        <v>47362</v>
      </c>
      <c r="C159" s="79" cm="1">
        <f t="array" aca="1" ref="C159" ca="1">IF(ISNUMBER(_xll.VoseSimPercentile('Мощность'!AL22,0.1)),_xll.VoseSimPercentile('Мощность'!AL22,0.1),NA())</f>
        <v>73.330544766199324</v>
      </c>
      <c r="D159" s="79" cm="1">
        <f t="array" aca="1" ref="D159" ca="1">IF(ISNUMBER(_xll.VoseSimPercentile('Мощность'!AL22,0.5)),_xll.VoseSimPercentile('Мощность'!AL22,0.5),NA())</f>
        <v>93.266604767956352</v>
      </c>
      <c r="E159" s="79" cm="1">
        <f t="array" aca="1" ref="E159" ca="1">IF(ISNUMBER(_xll.VoseSimPercentile('Мощность'!AL22,0.9)),_xll.VoseSimPercentile('Мощность'!AL22,0.9),NA())</f>
        <v>118.61433787043423</v>
      </c>
      <c r="F159" s="79" cm="1">
        <f t="array" aca="1" ref="F159" ca="1">IF(ISNUMBER(_xll.VoseSimMean('Мощность'!AL22)),_xll.VoseSimMean('Мощность'!AL22),NA())</f>
        <v>94.90390909988524</v>
      </c>
      <c r="G159" s="79">
        <f t="shared" ref="G159:G186" si="4">Presses*PressRate*PlantOEE_ML*(1+OTMax)+SubMax</f>
        <v>98</v>
      </c>
      <c r="H159" s="79">
        <f>(Presses+IF(33&gt;LeadPlan,1,0))*PressRate*PlantOEE_ML*(1+OTMax)+SubMax</f>
        <v>120.00000000000001</v>
      </c>
    </row>
    <row r="160" spans="2:8" hidden="1" outlineLevel="1" x14ac:dyDescent="0.45">
      <c r="B160" s="84">
        <f>'Мощность'!AM7</f>
        <v>47392</v>
      </c>
      <c r="C160" s="79" cm="1">
        <f t="array" aca="1" ref="C160" ca="1">IF(ISNUMBER(_xll.VoseSimPercentile('Мощность'!AM22,0.1)),_xll.VoseSimPercentile('Мощность'!AM22,0.1),NA())</f>
        <v>70.478881972356248</v>
      </c>
      <c r="D160" s="79" cm="1">
        <f t="array" aca="1" ref="D160" ca="1">IF(ISNUMBER(_xll.VoseSimPercentile('Мощность'!AM22,0.5)),_xll.VoseSimPercentile('Мощность'!AM22,0.5),NA())</f>
        <v>90.098920662546249</v>
      </c>
      <c r="E160" s="79" cm="1">
        <f t="array" aca="1" ref="E160" ca="1">IF(ISNUMBER(_xll.VoseSimPercentile('Мощность'!AM22,0.9)),_xll.VoseSimPercentile('Мощность'!AM22,0.9),NA())</f>
        <v>114.60126316491925</v>
      </c>
      <c r="F160" s="79" cm="1">
        <f t="array" aca="1" ref="F160" ca="1">IF(ISNUMBER(_xll.VoseSimMean('Мощность'!AM22)),_xll.VoseSimMean('Мощность'!AM22),NA())</f>
        <v>91.64788296694293</v>
      </c>
      <c r="G160" s="79">
        <f t="shared" si="4"/>
        <v>98</v>
      </c>
      <c r="H160" s="79">
        <f>(Presses+IF(34&gt;LeadPlan,1,0))*PressRate*PlantOEE_ML*(1+OTMax)+SubMax</f>
        <v>120.00000000000001</v>
      </c>
    </row>
    <row r="161" spans="2:8" hidden="1" outlineLevel="1" x14ac:dyDescent="0.45">
      <c r="B161" s="84">
        <f>'Мощность'!AN7</f>
        <v>47423</v>
      </c>
      <c r="C161" s="79" cm="1">
        <f t="array" aca="1" ref="C161" ca="1">IF(ISNUMBER(_xll.VoseSimPercentile('Мощность'!AN22,0.1)),_xll.VoseSimPercentile('Мощность'!AN22,0.1),NA())</f>
        <v>68.260799736112844</v>
      </c>
      <c r="D161" s="79" cm="1">
        <f t="array" aca="1" ref="D161" ca="1">IF(ISNUMBER(_xll.VoseSimPercentile('Мощность'!AN22,0.5)),_xll.VoseSimPercentile('Мощность'!AN22,0.5),NA())</f>
        <v>87.86889207360862</v>
      </c>
      <c r="E161" s="79" cm="1">
        <f t="array" aca="1" ref="E161" ca="1">IF(ISNUMBER(_xll.VoseSimPercentile('Мощность'!AN22,0.9)),_xll.VoseSimPercentile('Мощность'!AN22,0.9),NA())</f>
        <v>112.20048112929625</v>
      </c>
      <c r="F161" s="79" cm="1">
        <f t="array" aca="1" ref="F161" ca="1">IF(ISNUMBER(_xll.VoseSimMean('Мощность'!AN22)),_xll.VoseSimMean('Мощность'!AN22),NA())</f>
        <v>89.342892118318517</v>
      </c>
      <c r="G161" s="79">
        <f t="shared" si="4"/>
        <v>98</v>
      </c>
      <c r="H161" s="79">
        <f>(Presses+IF(35&gt;LeadPlan,1,0))*PressRate*PlantOEE_ML*(1+OTMax)+SubMax</f>
        <v>120.00000000000001</v>
      </c>
    </row>
    <row r="162" spans="2:8" hidden="1" outlineLevel="1" x14ac:dyDescent="0.45">
      <c r="B162" s="84">
        <f>'Мощность'!AO7</f>
        <v>47453</v>
      </c>
      <c r="C162" s="79" cm="1">
        <f t="array" aca="1" ref="C162" ca="1">IF(ISNUMBER(_xll.VoseSimPercentile('Мощность'!AO22,0.1)),_xll.VoseSimPercentile('Мощность'!AO22,0.1),NA())</f>
        <v>63.472698531747731</v>
      </c>
      <c r="D162" s="79" cm="1">
        <f t="array" aca="1" ref="D162" ca="1">IF(ISNUMBER(_xll.VoseSimPercentile('Мощность'!AO22,0.5)),_xll.VoseSimPercentile('Мощность'!AO22,0.5),NA())</f>
        <v>81.867489944619379</v>
      </c>
      <c r="E162" s="79" cm="1">
        <f t="array" aca="1" ref="E162" ca="1">IF(ISNUMBER(_xll.VoseSimPercentile('Мощность'!AO22,0.9)),_xll.VoseSimPercentile('Мощность'!AO22,0.9),NA())</f>
        <v>104.84694257804561</v>
      </c>
      <c r="F162" s="79" cm="1">
        <f t="array" aca="1" ref="F162" ca="1">IF(ISNUMBER(_xll.VoseSimMean('Мощность'!AO22)),_xll.VoseSimMean('Мощность'!AO22),NA())</f>
        <v>83.245395917060222</v>
      </c>
      <c r="G162" s="79">
        <f t="shared" si="4"/>
        <v>98</v>
      </c>
      <c r="H162" s="79">
        <f>(Presses+IF(36&gt;LeadPlan,1,0))*PressRate*PlantOEE_ML*(1+OTMax)+SubMax</f>
        <v>120.00000000000001</v>
      </c>
    </row>
    <row r="163" spans="2:8" hidden="1" outlineLevel="1" x14ac:dyDescent="0.45">
      <c r="B163" s="84">
        <f>'Мощность'!AP7</f>
        <v>47484</v>
      </c>
      <c r="C163" s="79" cm="1">
        <f t="array" aca="1" ref="C163" ca="1">IF(ISNUMBER(_xll.VoseSimPercentile('Мощность'!AP22,0.1)),_xll.VoseSimPercentile('Мощность'!AP22,0.1),NA())</f>
        <v>61.240772434532509</v>
      </c>
      <c r="D163" s="79" cm="1">
        <f t="array" aca="1" ref="D163" ca="1">IF(ISNUMBER(_xll.VoseSimPercentile('Мощность'!AP22,0.5)),_xll.VoseSimPercentile('Мощность'!AP22,0.5),NA())</f>
        <v>79.401280265590785</v>
      </c>
      <c r="E163" s="79" cm="1">
        <f t="array" aca="1" ref="E163" ca="1">IF(ISNUMBER(_xll.VoseSimPercentile('Мощность'!AP22,0.9)),_xll.VoseSimPercentile('Мощность'!AP22,0.9),NA())</f>
        <v>102.39433760371736</v>
      </c>
      <c r="F163" s="79" cm="1">
        <f t="array" aca="1" ref="F163" ca="1">IF(ISNUMBER(_xll.VoseSimMean('Мощность'!AP22)),_xll.VoseSimMean('Мощность'!AP22),NA())</f>
        <v>80.8387028321619</v>
      </c>
      <c r="G163" s="79">
        <f t="shared" si="4"/>
        <v>98</v>
      </c>
      <c r="H163" s="79">
        <f>(Presses+IF(37&gt;LeadPlan,1,0))*PressRate*PlantOEE_ML*(1+OTMax)+SubMax</f>
        <v>120.00000000000001</v>
      </c>
    </row>
    <row r="164" spans="2:8" hidden="1" outlineLevel="1" x14ac:dyDescent="0.45">
      <c r="B164" s="84">
        <f>'Мощность'!AQ7</f>
        <v>47515</v>
      </c>
      <c r="C164" s="79" cm="1">
        <f t="array" aca="1" ref="C164" ca="1">IF(ISNUMBER(_xll.VoseSimPercentile('Мощность'!AQ22,0.1)),_xll.VoseSimPercentile('Мощность'!AQ22,0.1),NA())</f>
        <v>63.500955739383095</v>
      </c>
      <c r="D164" s="79" cm="1">
        <f t="array" aca="1" ref="D164" ca="1">IF(ISNUMBER(_xll.VoseSimPercentile('Мощность'!AQ22,0.5)),_xll.VoseSimPercentile('Мощность'!AQ22,0.5),NA())</f>
        <v>82.454592605895499</v>
      </c>
      <c r="E164" s="79" cm="1">
        <f t="array" aca="1" ref="E164" ca="1">IF(ISNUMBER(_xll.VoseSimPercentile('Мощность'!AQ22,0.9)),_xll.VoseSimPercentile('Мощность'!AQ22,0.9),NA())</f>
        <v>106.98307801172739</v>
      </c>
      <c r="F164" s="79" cm="1">
        <f t="array" aca="1" ref="F164" ca="1">IF(ISNUMBER(_xll.VoseSimMean('Мощность'!AQ22)),_xll.VoseSimMean('Мощность'!AQ22),NA())</f>
        <v>84.131064597625667</v>
      </c>
      <c r="G164" s="79">
        <f t="shared" si="4"/>
        <v>98</v>
      </c>
      <c r="H164" s="79">
        <f>(Presses+IF(38&gt;LeadPlan,1,0))*PressRate*PlantOEE_ML*(1+OTMax)+SubMax</f>
        <v>120.00000000000001</v>
      </c>
    </row>
    <row r="165" spans="2:8" hidden="1" outlineLevel="1" x14ac:dyDescent="0.45">
      <c r="B165" s="84">
        <f>'Мощность'!AR7</f>
        <v>47543</v>
      </c>
      <c r="C165" s="79" cm="1">
        <f t="array" aca="1" ref="C165" ca="1">IF(ISNUMBER(_xll.VoseSimPercentile('Мощность'!AR22,0.1)),_xll.VoseSimPercentile('Мощность'!AR22,0.1),NA())</f>
        <v>70.701880198346572</v>
      </c>
      <c r="D165" s="79" cm="1">
        <f t="array" aca="1" ref="D165" ca="1">IF(ISNUMBER(_xll.VoseSimPercentile('Мощность'!AR22,0.5)),_xll.VoseSimPercentile('Мощность'!AR22,0.5),NA())</f>
        <v>92.185420195122134</v>
      </c>
      <c r="E165" s="79" cm="1">
        <f t="array" aca="1" ref="E165" ca="1">IF(ISNUMBER(_xll.VoseSimPercentile('Мощность'!AR22,0.9)),_xll.VoseSimPercentile('Мощность'!AR22,0.9),NA())</f>
        <v>120.05455975373941</v>
      </c>
      <c r="F165" s="79" cm="1">
        <f t="array" aca="1" ref="F165" ca="1">IF(ISNUMBER(_xll.VoseSimMean('Мощность'!AR22)),_xll.VoseSimMean('Мощность'!AR22),NA())</f>
        <v>94.217503197995242</v>
      </c>
      <c r="G165" s="79">
        <f t="shared" si="4"/>
        <v>98</v>
      </c>
      <c r="H165" s="79">
        <f>(Presses+IF(39&gt;LeadPlan,1,0))*PressRate*PlantOEE_ML*(1+OTMax)+SubMax</f>
        <v>120.00000000000001</v>
      </c>
    </row>
    <row r="166" spans="2:8" hidden="1" outlineLevel="1" x14ac:dyDescent="0.45">
      <c r="B166" s="84">
        <f>'Мощность'!AS7</f>
        <v>47574</v>
      </c>
      <c r="C166" s="79" cm="1">
        <f t="array" aca="1" ref="C166" ca="1">IF(ISNUMBER(_xll.VoseSimPercentile('Мощность'!AS22,0.1)),_xll.VoseSimPercentile('Мощность'!AS22,0.1),NA())</f>
        <v>75.005765218516913</v>
      </c>
      <c r="D166" s="79" cm="1">
        <f t="array" aca="1" ref="D166" ca="1">IF(ISNUMBER(_xll.VoseSimPercentile('Мощность'!AS22,0.5)),_xll.VoseSimPercentile('Мощность'!AS22,0.5),NA())</f>
        <v>98.327493598136186</v>
      </c>
      <c r="E166" s="79" cm="1">
        <f t="array" aca="1" ref="E166" ca="1">IF(ISNUMBER(_xll.VoseSimPercentile('Мощность'!AS22,0.9)),_xll.VoseSimPercentile('Мощность'!AS22,0.9),NA())</f>
        <v>128.54946733448196</v>
      </c>
      <c r="F166" s="79" cm="1">
        <f t="array" aca="1" ref="F166" ca="1">IF(ISNUMBER(_xll.VoseSimMean('Мощность'!AS22)),_xll.VoseSimMean('Мощность'!AS22),NA())</f>
        <v>100.50658571783914</v>
      </c>
      <c r="G166" s="79">
        <f t="shared" si="4"/>
        <v>98</v>
      </c>
      <c r="H166" s="79">
        <f>(Presses+IF(40&gt;LeadPlan,1,0))*PressRate*PlantOEE_ML*(1+OTMax)+SubMax</f>
        <v>120.00000000000001</v>
      </c>
    </row>
    <row r="167" spans="2:8" hidden="1" outlineLevel="1" x14ac:dyDescent="0.45">
      <c r="B167" s="84">
        <f>'Мощность'!AT7</f>
        <v>47604</v>
      </c>
      <c r="C167" s="79" cm="1">
        <f t="array" aca="1" ref="C167" ca="1">IF(ISNUMBER(_xll.VoseSimPercentile('Мощность'!AT22,0.1)),_xll.VoseSimPercentile('Мощность'!AT22,0.1),NA())</f>
        <v>79.535114953673158</v>
      </c>
      <c r="D167" s="79" cm="1">
        <f t="array" aca="1" ref="D167" ca="1">IF(ISNUMBER(_xll.VoseSimPercentile('Мощность'!AT22,0.5)),_xll.VoseSimPercentile('Мощность'!AT22,0.5),NA())</f>
        <v>104.3840307237717</v>
      </c>
      <c r="E167" s="79" cm="1">
        <f t="array" aca="1" ref="E167" ca="1">IF(ISNUMBER(_xll.VoseSimPercentile('Мощность'!AT22,0.9)),_xll.VoseSimPercentile('Мощность'!AT22,0.9),NA())</f>
        <v>137.0363440577915</v>
      </c>
      <c r="F167" s="79" cm="1">
        <f t="array" aca="1" ref="F167" ca="1">IF(ISNUMBER(_xll.VoseSimMean('Мощность'!AT22)),_xll.VoseSimMean('Мощность'!AT22),NA())</f>
        <v>106.86438645370383</v>
      </c>
      <c r="G167" s="79">
        <f t="shared" si="4"/>
        <v>98</v>
      </c>
      <c r="H167" s="79">
        <f>(Presses+IF(41&gt;LeadPlan,1,0))*PressRate*PlantOEE_ML*(1+OTMax)+SubMax</f>
        <v>120.00000000000001</v>
      </c>
    </row>
    <row r="168" spans="2:8" hidden="1" outlineLevel="1" x14ac:dyDescent="0.45">
      <c r="B168" s="84">
        <f>'Мощность'!AU7</f>
        <v>47635</v>
      </c>
      <c r="C168" s="79" cm="1">
        <f t="array" aca="1" ref="C168" ca="1">IF(ISNUMBER(_xll.VoseSimPercentile('Мощность'!AU22,0.1)),_xll.VoseSimPercentile('Мощность'!AU22,0.1),NA())</f>
        <v>83.277592904211545</v>
      </c>
      <c r="D168" s="79" cm="1">
        <f t="array" aca="1" ref="D168" ca="1">IF(ISNUMBER(_xll.VoseSimPercentile('Мощность'!AU22,0.5)),_xll.VoseSimPercentile('Мощность'!AU22,0.5),NA())</f>
        <v>109.51223178056605</v>
      </c>
      <c r="E168" s="79" cm="1">
        <f t="array" aca="1" ref="E168" ca="1">IF(ISNUMBER(_xll.VoseSimPercentile('Мощность'!AU22,0.9)),_xll.VoseSimPercentile('Мощность'!AU22,0.9),NA())</f>
        <v>144.558913389097</v>
      </c>
      <c r="F168" s="79" cm="1">
        <f t="array" aca="1" ref="F168" ca="1">IF(ISNUMBER(_xll.VoseSimMean('Мощность'!AU22)),_xll.VoseSimMean('Мощность'!AU22),NA())</f>
        <v>112.32822524629189</v>
      </c>
      <c r="G168" s="79">
        <f t="shared" si="4"/>
        <v>98</v>
      </c>
      <c r="H168" s="79">
        <f>(Presses+IF(42&gt;LeadPlan,1,0))*PressRate*PlantOEE_ML*(1+OTMax)+SubMax</f>
        <v>120.00000000000001</v>
      </c>
    </row>
    <row r="169" spans="2:8" hidden="1" outlineLevel="1" x14ac:dyDescent="0.45">
      <c r="B169" s="84">
        <f>'Мощность'!AV7</f>
        <v>47665</v>
      </c>
      <c r="C169" s="79" cm="1">
        <f t="array" aca="1" ref="C169" ca="1">IF(ISNUMBER(_xll.VoseSimPercentile('Мощность'!AV22,0.1)),_xll.VoseSimPercentile('Мощность'!AV22,0.1),NA())</f>
        <v>81.392515174629253</v>
      </c>
      <c r="D169" s="79" cm="1">
        <f t="array" aca="1" ref="D169" ca="1">IF(ISNUMBER(_xll.VoseSimPercentile('Мощность'!AV22,0.5)),_xll.VoseSimPercentile('Мощность'!AV22,0.5),NA())</f>
        <v>107.21371803606341</v>
      </c>
      <c r="E169" s="79" cm="1">
        <f t="array" aca="1" ref="E169" ca="1">IF(ISNUMBER(_xll.VoseSimPercentile('Мощность'!AV22,0.9)),_xll.VoseSimPercentile('Мощность'!AV22,0.9),NA())</f>
        <v>141.62882506835217</v>
      </c>
      <c r="F169" s="79" cm="1">
        <f t="array" aca="1" ref="F169" ca="1">IF(ISNUMBER(_xll.VoseSimMean('Мощность'!AV22)),_xll.VoseSimMean('Мощность'!AV22),NA())</f>
        <v>109.97528406542173</v>
      </c>
      <c r="G169" s="79">
        <f t="shared" si="4"/>
        <v>98</v>
      </c>
      <c r="H169" s="79">
        <f>(Presses+IF(43&gt;LeadPlan,1,0))*PressRate*PlantOEE_ML*(1+OTMax)+SubMax</f>
        <v>120.00000000000001</v>
      </c>
    </row>
    <row r="170" spans="2:8" hidden="1" outlineLevel="1" x14ac:dyDescent="0.45">
      <c r="B170" s="84">
        <f>'Мощность'!AW7</f>
        <v>47696</v>
      </c>
      <c r="C170" s="79" cm="1">
        <f t="array" aca="1" ref="C170" ca="1">IF(ISNUMBER(_xll.VoseSimPercentile('Мощность'!AW22,0.1)),_xll.VoseSimPercentile('Мощность'!AW22,0.1),NA())</f>
        <v>76.450733687052207</v>
      </c>
      <c r="D170" s="79" cm="1">
        <f t="array" aca="1" ref="D170" ca="1">IF(ISNUMBER(_xll.VoseSimPercentile('Мощность'!AW22,0.5)),_xll.VoseSimPercentile('Мощность'!AW22,0.5),NA())</f>
        <v>100.92963249731959</v>
      </c>
      <c r="E170" s="79" cm="1">
        <f t="array" aca="1" ref="E170" ca="1">IF(ISNUMBER(_xll.VoseSimPercentile('Мощность'!AW22,0.9)),_xll.VoseSimPercentile('Мощность'!AW22,0.9),NA())</f>
        <v>133.85508858051105</v>
      </c>
      <c r="F170" s="79" cm="1">
        <f t="array" aca="1" ref="F170" ca="1">IF(ISNUMBER(_xll.VoseSimMean('Мощность'!AW22)),_xll.VoseSimMean('Мощность'!AW22),NA())</f>
        <v>103.67174299752601</v>
      </c>
      <c r="G170" s="79">
        <f t="shared" si="4"/>
        <v>98</v>
      </c>
      <c r="H170" s="79">
        <f>(Presses+IF(44&gt;LeadPlan,1,0))*PressRate*PlantOEE_ML*(1+OTMax)+SubMax</f>
        <v>120.00000000000001</v>
      </c>
    </row>
    <row r="171" spans="2:8" hidden="1" outlineLevel="1" x14ac:dyDescent="0.45">
      <c r="B171" s="84">
        <f>'Мощность'!AX7</f>
        <v>47727</v>
      </c>
      <c r="C171" s="79" cm="1">
        <f t="array" aca="1" ref="C171" ca="1">IF(ISNUMBER(_xll.VoseSimPercentile('Мощность'!AX22,0.1)),_xll.VoseSimPercentile('Мощность'!AX22,0.1),NA())</f>
        <v>74.188120097563939</v>
      </c>
      <c r="D171" s="79" cm="1">
        <f t="array" aca="1" ref="D171" ca="1">IF(ISNUMBER(_xll.VoseSimPercentile('Мощность'!AX22,0.5)),_xll.VoseSimPercentile('Мощность'!AX22,0.5),NA())</f>
        <v>98.581565590387228</v>
      </c>
      <c r="E171" s="79" cm="1">
        <f t="array" aca="1" ref="E171" ca="1">IF(ISNUMBER(_xll.VoseSimPercentile('Мощность'!AX22,0.9)),_xll.VoseSimPercentile('Мощность'!AX22,0.9),NA())</f>
        <v>131.60094897463787</v>
      </c>
      <c r="F171" s="79" cm="1">
        <f t="array" aca="1" ref="F171" ca="1">IF(ISNUMBER(_xll.VoseSimMean('Мощность'!AX22)),_xll.VoseSimMean('Мощность'!AX22),NA())</f>
        <v>101.23892654537622</v>
      </c>
      <c r="G171" s="79">
        <f t="shared" si="4"/>
        <v>98</v>
      </c>
      <c r="H171" s="79">
        <f>(Presses+IF(45&gt;LeadPlan,1,0))*PressRate*PlantOEE_ML*(1+OTMax)+SubMax</f>
        <v>120.00000000000001</v>
      </c>
    </row>
    <row r="172" spans="2:8" hidden="1" outlineLevel="1" x14ac:dyDescent="0.45">
      <c r="B172" s="84">
        <f>'Мощность'!AY7</f>
        <v>47757</v>
      </c>
      <c r="C172" s="79" cm="1">
        <f t="array" aca="1" ref="C172" ca="1">IF(ISNUMBER(_xll.VoseSimPercentile('Мощность'!AY22,0.1)),_xll.VoseSimPercentile('Мощность'!AY22,0.1),NA())</f>
        <v>71.311061611571802</v>
      </c>
      <c r="D172" s="79" cm="1">
        <f t="array" aca="1" ref="D172" ca="1">IF(ISNUMBER(_xll.VoseSimPercentile('Мощность'!AY22,0.5)),_xll.VoseSimPercentile('Мощность'!AY22,0.5),NA())</f>
        <v>95.255021916667829</v>
      </c>
      <c r="E172" s="79" cm="1">
        <f t="array" aca="1" ref="E172" ca="1">IF(ISNUMBER(_xll.VoseSimPercentile('Мощность'!AY22,0.9)),_xll.VoseSimPercentile('Мощность'!AY22,0.9),NA())</f>
        <v>127.20996260702934</v>
      </c>
      <c r="F172" s="79" cm="1">
        <f t="array" aca="1" ref="F172" ca="1">IF(ISNUMBER(_xll.VoseSimMean('Мощность'!AY22)),_xll.VoseSimMean('Мощность'!AY22),NA())</f>
        <v>97.802912214223269</v>
      </c>
      <c r="G172" s="79">
        <f t="shared" si="4"/>
        <v>98</v>
      </c>
      <c r="H172" s="79">
        <f>(Presses+IF(46&gt;LeadPlan,1,0))*PressRate*PlantOEE_ML*(1+OTMax)+SubMax</f>
        <v>120.00000000000001</v>
      </c>
    </row>
    <row r="173" spans="2:8" hidden="1" outlineLevel="1" x14ac:dyDescent="0.45">
      <c r="B173" s="84">
        <f>'Мощность'!AZ7</f>
        <v>47788</v>
      </c>
      <c r="C173" s="79" cm="1">
        <f t="array" aca="1" ref="C173" ca="1">IF(ISNUMBER(_xll.VoseSimPercentile('Мощность'!AZ22,0.1)),_xll.VoseSimPercentile('Мощность'!AZ22,0.1),NA())</f>
        <v>69.343971158283296</v>
      </c>
      <c r="D173" s="79" cm="1">
        <f t="array" aca="1" ref="D173" ca="1">IF(ISNUMBER(_xll.VoseSimPercentile('Мощность'!AZ22,0.5)),_xll.VoseSimPercentile('Мощность'!AZ22,0.5),NA())</f>
        <v>92.791257002538089</v>
      </c>
      <c r="E173" s="79" cm="1">
        <f t="array" aca="1" ref="E173" ca="1">IF(ISNUMBER(_xll.VoseSimPercentile('Мощность'!AZ22,0.9)),_xll.VoseSimPercentile('Мощность'!AZ22,0.9),NA())</f>
        <v>124.69470418764578</v>
      </c>
      <c r="F173" s="79" cm="1">
        <f t="array" aca="1" ref="F173" ca="1">IF(ISNUMBER(_xll.VoseSimMean('Мощность'!AZ22)),_xll.VoseSimMean('Мощность'!AZ22),NA())</f>
        <v>95.353405127204141</v>
      </c>
      <c r="G173" s="79">
        <f t="shared" si="4"/>
        <v>98</v>
      </c>
      <c r="H173" s="79">
        <f>(Presses+IF(47&gt;LeadPlan,1,0))*PressRate*PlantOEE_ML*(1+OTMax)+SubMax</f>
        <v>120.00000000000001</v>
      </c>
    </row>
    <row r="174" spans="2:8" hidden="1" outlineLevel="1" x14ac:dyDescent="0.45">
      <c r="B174" s="84">
        <f>'Мощность'!BA7</f>
        <v>47818</v>
      </c>
      <c r="C174" s="79" cm="1">
        <f t="array" aca="1" ref="C174" ca="1">IF(ISNUMBER(_xll.VoseSimPercentile('Мощность'!BA22,0.1)),_xll.VoseSimPercentile('Мощность'!BA22,0.1),NA())</f>
        <v>64.201574012556804</v>
      </c>
      <c r="D174" s="79" cm="1">
        <f t="array" aca="1" ref="D174" ca="1">IF(ISNUMBER(_xll.VoseSimPercentile('Мощность'!BA22,0.5)),_xll.VoseSimPercentile('Мощность'!BA22,0.5),NA())</f>
        <v>86.267010944335837</v>
      </c>
      <c r="E174" s="79" cm="1">
        <f t="array" aca="1" ref="E174" ca="1">IF(ISNUMBER(_xll.VoseSimPercentile('Мощность'!BA22,0.9)),_xll.VoseSimPercentile('Мощность'!BA22,0.9),NA())</f>
        <v>116.68762023034986</v>
      </c>
      <c r="F174" s="79" cm="1">
        <f t="array" aca="1" ref="F174" ca="1">IF(ISNUMBER(_xll.VoseSimMean('Мощность'!BA22)),_xll.VoseSimMean('Мощность'!BA22),NA())</f>
        <v>88.782230045607207</v>
      </c>
      <c r="G174" s="79">
        <f t="shared" si="4"/>
        <v>98</v>
      </c>
      <c r="H174" s="79">
        <f>(Presses+IF(48&gt;LeadPlan,1,0))*PressRate*PlantOEE_ML*(1+OTMax)+SubMax</f>
        <v>120.00000000000001</v>
      </c>
    </row>
    <row r="175" spans="2:8" hidden="1" outlineLevel="1" x14ac:dyDescent="0.45">
      <c r="B175" s="84">
        <f>'Мощность'!BB7</f>
        <v>47849</v>
      </c>
      <c r="C175" s="79" cm="1">
        <f t="array" aca="1" ref="C175" ca="1">IF(ISNUMBER(_xll.VoseSimPercentile('Мощность'!BB22,0.1)),_xll.VoseSimPercentile('Мощность'!BB22,0.1),NA())</f>
        <v>62.206544530862736</v>
      </c>
      <c r="D175" s="79" cm="1">
        <f t="array" aca="1" ref="D175" ca="1">IF(ISNUMBER(_xll.VoseSimPercentile('Мощность'!BB22,0.5)),_xll.VoseSimPercentile('Мощность'!BB22,0.5),NA())</f>
        <v>83.726608537151264</v>
      </c>
      <c r="E175" s="79" cm="1">
        <f t="array" aca="1" ref="E175" ca="1">IF(ISNUMBER(_xll.VoseSimPercentile('Мощность'!BB22,0.9)),_xll.VoseSimPercentile('Мощность'!BB22,0.9),NA())</f>
        <v>113.63257230825992</v>
      </c>
      <c r="F175" s="79" cm="1">
        <f t="array" aca="1" ref="F175" ca="1">IF(ISNUMBER(_xll.VoseSimMean('Мощность'!BB22)),_xll.VoseSimMean('Мощность'!BB22),NA())</f>
        <v>86.250669846568471</v>
      </c>
      <c r="G175" s="79">
        <f t="shared" si="4"/>
        <v>98</v>
      </c>
      <c r="H175" s="79">
        <f>(Presses+IF(49&gt;LeadPlan,1,0))*PressRate*PlantOEE_ML*(1+OTMax)+SubMax</f>
        <v>120.00000000000001</v>
      </c>
    </row>
    <row r="176" spans="2:8" hidden="1" outlineLevel="1" x14ac:dyDescent="0.45">
      <c r="B176" s="84">
        <f>'Мощность'!BC7</f>
        <v>47880</v>
      </c>
      <c r="C176" s="79" cm="1">
        <f t="array" aca="1" ref="C176" ca="1">IF(ISNUMBER(_xll.VoseSimPercentile('Мощность'!BC22,0.1)),_xll.VoseSimPercentile('Мощность'!BC22,0.1),NA())</f>
        <v>64.384748234722892</v>
      </c>
      <c r="D176" s="79" cm="1">
        <f t="array" aca="1" ref="D176" ca="1">IF(ISNUMBER(_xll.VoseSimPercentile('Мощность'!BC22,0.5)),_xll.VoseSimPercentile('Мощность'!BC22,0.5),NA())</f>
        <v>87.179978515067745</v>
      </c>
      <c r="E176" s="79" cm="1">
        <f t="array" aca="1" ref="E176" ca="1">IF(ISNUMBER(_xll.VoseSimPercentile('Мощность'!BC22,0.9)),_xll.VoseSimPercentile('Мощность'!BC22,0.9),NA())</f>
        <v>118.92388403808624</v>
      </c>
      <c r="F176" s="79" cm="1">
        <f t="array" aca="1" ref="F176" ca="1">IF(ISNUMBER(_xll.VoseSimMean('Мощность'!BC22)),_xll.VoseSimMean('Мощность'!BC22),NA())</f>
        <v>89.85824198800772</v>
      </c>
      <c r="G176" s="79">
        <f t="shared" si="4"/>
        <v>98</v>
      </c>
      <c r="H176" s="79">
        <f>(Presses+IF(50&gt;LeadPlan,1,0))*PressRate*PlantOEE_ML*(1+OTMax)+SubMax</f>
        <v>120.00000000000001</v>
      </c>
    </row>
    <row r="177" spans="2:8" hidden="1" outlineLevel="1" x14ac:dyDescent="0.45">
      <c r="B177" s="84">
        <f>'Мощность'!BD7</f>
        <v>47908</v>
      </c>
      <c r="C177" s="79" cm="1">
        <f t="array" aca="1" ref="C177" ca="1">IF(ISNUMBER(_xll.VoseSimPercentile('Мощность'!BD22,0.1)),_xll.VoseSimPercentile('Мощность'!BD22,0.1),NA())</f>
        <v>71.75393383063367</v>
      </c>
      <c r="D177" s="79" cm="1">
        <f t="array" aca="1" ref="D177" ca="1">IF(ISNUMBER(_xll.VoseSimPercentile('Мощность'!BD22,0.5)),_xll.VoseSimPercentile('Мощность'!BD22,0.5),NA())</f>
        <v>97.609989141918732</v>
      </c>
      <c r="E177" s="79" cm="1">
        <f t="array" aca="1" ref="E177" ca="1">IF(ISNUMBER(_xll.VoseSimPercentile('Мощность'!BD22,0.9)),_xll.VoseSimPercentile('Мощность'!BD22,0.9),NA())</f>
        <v>133.42184627415304</v>
      </c>
      <c r="F177" s="79" cm="1">
        <f t="array" aca="1" ref="F177" ca="1">IF(ISNUMBER(_xll.VoseSimMean('Мощность'!BD22)),_xll.VoseSimMean('Мощность'!BD22),NA())</f>
        <v>100.59318782568464</v>
      </c>
      <c r="G177" s="79">
        <f t="shared" si="4"/>
        <v>98</v>
      </c>
      <c r="H177" s="79">
        <f>(Presses+IF(51&gt;LeadPlan,1,0))*PressRate*PlantOEE_ML*(1+OTMax)+SubMax</f>
        <v>120.00000000000001</v>
      </c>
    </row>
    <row r="178" spans="2:8" hidden="1" outlineLevel="1" x14ac:dyDescent="0.45">
      <c r="B178" s="84">
        <f>'Мощность'!BE7</f>
        <v>47939</v>
      </c>
      <c r="C178" s="79" cm="1">
        <f t="array" aca="1" ref="C178" ca="1">IF(ISNUMBER(_xll.VoseSimPercentile('Мощность'!BE22,0.1)),_xll.VoseSimPercentile('Мощность'!BE22,0.1),NA())</f>
        <v>76.176676460642256</v>
      </c>
      <c r="D178" s="79" cm="1">
        <f t="array" aca="1" ref="D178" ca="1">IF(ISNUMBER(_xll.VoseSimPercentile('Мощность'!BE22,0.5)),_xll.VoseSimPercentile('Мощность'!BE22,0.5),NA())</f>
        <v>104.07465517003337</v>
      </c>
      <c r="E178" s="79" cm="1">
        <f t="array" aca="1" ref="E178" ca="1">IF(ISNUMBER(_xll.VoseSimPercentile('Мощность'!BE22,0.9)),_xll.VoseSimPercentile('Мощность'!BE22,0.9),NA())</f>
        <v>143.02731044400397</v>
      </c>
      <c r="F178" s="79" cm="1">
        <f t="array" aca="1" ref="F178" ca="1">IF(ISNUMBER(_xll.VoseSimMean('Мощность'!BE22)),_xll.VoseSimMean('Мощность'!BE22),NA())</f>
        <v>107.35319974714281</v>
      </c>
      <c r="G178" s="79">
        <f t="shared" si="4"/>
        <v>98</v>
      </c>
      <c r="H178" s="79">
        <f>(Presses+IF(52&gt;LeadPlan,1,0))*PressRate*PlantOEE_ML*(1+OTMax)+SubMax</f>
        <v>120.00000000000001</v>
      </c>
    </row>
    <row r="179" spans="2:8" hidden="1" outlineLevel="1" x14ac:dyDescent="0.45">
      <c r="B179" s="84">
        <f>'Мощность'!BF7</f>
        <v>47969</v>
      </c>
      <c r="C179" s="79" cm="1">
        <f t="array" aca="1" ref="C179" ca="1">IF(ISNUMBER(_xll.VoseSimPercentile('Мощность'!BF22,0.1)),_xll.VoseSimPercentile('Мощность'!BF22,0.1),NA())</f>
        <v>80.504756253228308</v>
      </c>
      <c r="D179" s="79" cm="1">
        <f t="array" aca="1" ref="D179" ca="1">IF(ISNUMBER(_xll.VoseSimPercentile('Мощность'!BF22,0.5)),_xll.VoseSimPercentile('Мощность'!BF22,0.5),NA())</f>
        <v>110.4723771420595</v>
      </c>
      <c r="E179" s="79" cm="1">
        <f t="array" aca="1" ref="E179" ca="1">IF(ISNUMBER(_xll.VoseSimPercentile('Мощность'!BF22,0.9)),_xll.VoseSimPercentile('Мощность'!BF22,0.9),NA())</f>
        <v>152.58006437521937</v>
      </c>
      <c r="F179" s="79" cm="1">
        <f t="array" aca="1" ref="F179" ca="1">IF(ISNUMBER(_xll.VoseSimMean('Мощность'!BF22)),_xll.VoseSimMean('Мощность'!BF22),NA())</f>
        <v>114.1166353665478</v>
      </c>
      <c r="G179" s="79">
        <f t="shared" si="4"/>
        <v>98</v>
      </c>
      <c r="H179" s="79">
        <f>(Presses+IF(53&gt;LeadPlan,1,0))*PressRate*PlantOEE_ML*(1+OTMax)+SubMax</f>
        <v>120.00000000000001</v>
      </c>
    </row>
    <row r="180" spans="2:8" hidden="1" outlineLevel="1" x14ac:dyDescent="0.45">
      <c r="B180" s="84">
        <f>'Мощность'!BG7</f>
        <v>48000</v>
      </c>
      <c r="C180" s="79" cm="1">
        <f t="array" aca="1" ref="C180" ca="1">IF(ISNUMBER(_xll.VoseSimPercentile('Мощность'!BG22,0.1)),_xll.VoseSimPercentile('Мощность'!BG22,0.1),NA())</f>
        <v>84.35444917299499</v>
      </c>
      <c r="D180" s="79" cm="1">
        <f t="array" aca="1" ref="D180" ca="1">IF(ISNUMBER(_xll.VoseSimPercentile('Мощность'!BG22,0.5)),_xll.VoseSimPercentile('Мощность'!BG22,0.5),NA())</f>
        <v>116.23792864001697</v>
      </c>
      <c r="E180" s="79" cm="1">
        <f t="array" aca="1" ref="E180" ca="1">IF(ISNUMBER(_xll.VoseSimPercentile('Мощность'!BG22,0.9)),_xll.VoseSimPercentile('Мощность'!BG22,0.9),NA())</f>
        <v>160.72010736079855</v>
      </c>
      <c r="F180" s="79" cm="1">
        <f t="array" aca="1" ref="F180" ca="1">IF(ISNUMBER(_xll.VoseSimMean('Мощность'!BG22)),_xll.VoseSimMean('Мощность'!BG22),NA())</f>
        <v>119.97026512198569</v>
      </c>
      <c r="G180" s="79">
        <f t="shared" si="4"/>
        <v>98</v>
      </c>
      <c r="H180" s="79">
        <f>(Presses+IF(54&gt;LeadPlan,1,0))*PressRate*PlantOEE_ML*(1+OTMax)+SubMax</f>
        <v>120.00000000000001</v>
      </c>
    </row>
    <row r="181" spans="2:8" hidden="1" outlineLevel="1" x14ac:dyDescent="0.45">
      <c r="B181" s="84">
        <f>'Мощность'!BH7</f>
        <v>48030</v>
      </c>
      <c r="C181" s="79" cm="1">
        <f t="array" aca="1" ref="C181" ca="1">IF(ISNUMBER(_xll.VoseSimPercentile('Мощность'!BH22,0.1)),_xll.VoseSimPercentile('Мощность'!BH22,0.1),NA())</f>
        <v>82.22592556169802</v>
      </c>
      <c r="D181" s="79" cm="1">
        <f t="array" aca="1" ref="D181" ca="1">IF(ISNUMBER(_xll.VoseSimPercentile('Мощность'!BH22,0.5)),_xll.VoseSimPercentile('Мощность'!BH22,0.5),NA())</f>
        <v>113.53240911980495</v>
      </c>
      <c r="E181" s="79" cm="1">
        <f t="array" aca="1" ref="E181" ca="1">IF(ISNUMBER(_xll.VoseSimPercentile('Мощность'!BH22,0.9)),_xll.VoseSimPercentile('Мощность'!BH22,0.9),NA())</f>
        <v>157.83762984920983</v>
      </c>
      <c r="F181" s="79" cm="1">
        <f t="array" aca="1" ref="F181" ca="1">IF(ISNUMBER(_xll.VoseSimMean('Мощность'!BH22)),_xll.VoseSimMean('Мощность'!BH22),NA())</f>
        <v>117.51400784915907</v>
      </c>
      <c r="G181" s="79">
        <f t="shared" si="4"/>
        <v>98</v>
      </c>
      <c r="H181" s="79">
        <f>(Presses+IF(55&gt;LeadPlan,1,0))*PressRate*PlantOEE_ML*(1+OTMax)+SubMax</f>
        <v>120.00000000000001</v>
      </c>
    </row>
    <row r="182" spans="2:8" hidden="1" outlineLevel="1" x14ac:dyDescent="0.45">
      <c r="B182" s="84">
        <f>'Мощность'!BI7</f>
        <v>48061</v>
      </c>
      <c r="C182" s="79" cm="1">
        <f t="array" aca="1" ref="C182" ca="1">IF(ISNUMBER(_xll.VoseSimPercentile('Мощность'!BI22,0.1)),_xll.VoseSimPercentile('Мощность'!BI22,0.1),NA())</f>
        <v>77.333406315845338</v>
      </c>
      <c r="D182" s="79" cm="1">
        <f t="array" aca="1" ref="D182" ca="1">IF(ISNUMBER(_xll.VoseSimPercentile('Мощность'!BI22,0.5)),_xll.VoseSimPercentile('Мощность'!BI22,0.5),NA())</f>
        <v>106.91645462205571</v>
      </c>
      <c r="E182" s="79" cm="1">
        <f t="array" aca="1" ref="E182" ca="1">IF(ISNUMBER(_xll.VoseSimPercentile('Мощность'!BI22,0.9)),_xll.VoseSimPercentile('Мощность'!BI22,0.9),NA())</f>
        <v>149.07518568227678</v>
      </c>
      <c r="F182" s="79" cm="1">
        <f t="array" aca="1" ref="F182" ca="1">IF(ISNUMBER(_xll.VoseSimMean('Мощность'!BI22)),_xll.VoseSimMean('Мощность'!BI22),NA())</f>
        <v>110.73189244264394</v>
      </c>
      <c r="G182" s="79">
        <f t="shared" si="4"/>
        <v>98</v>
      </c>
      <c r="H182" s="79">
        <f>(Presses+IF(56&gt;LeadPlan,1,0))*PressRate*PlantOEE_ML*(1+OTMax)+SubMax</f>
        <v>120.00000000000001</v>
      </c>
    </row>
    <row r="183" spans="2:8" hidden="1" outlineLevel="1" x14ac:dyDescent="0.45">
      <c r="B183" s="84">
        <f>'Мощность'!BJ7</f>
        <v>48092</v>
      </c>
      <c r="C183" s="79" cm="1">
        <f t="array" aca="1" ref="C183" ca="1">IF(ISNUMBER(_xll.VoseSimPercentile('Мощность'!BJ22,0.1)),_xll.VoseSimPercentile('Мощность'!BJ22,0.1),NA())</f>
        <v>75.319084045174506</v>
      </c>
      <c r="D183" s="79" cm="1">
        <f t="array" aca="1" ref="D183" ca="1">IF(ISNUMBER(_xll.VoseSimPercentile('Мощность'!BJ22,0.5)),_xll.VoseSimPercentile('Мощность'!BJ22,0.5),NA())</f>
        <v>104.2555900357175</v>
      </c>
      <c r="E183" s="79" cm="1">
        <f t="array" aca="1" ref="E183" ca="1">IF(ISNUMBER(_xll.VoseSimPercentile('Мощность'!BJ22,0.9)),_xll.VoseSimPercentile('Мощность'!BJ22,0.9),NA())</f>
        <v>145.81184331974148</v>
      </c>
      <c r="F183" s="79" cm="1">
        <f t="array" aca="1" ref="F183" ca="1">IF(ISNUMBER(_xll.VoseSimMean('Мощность'!BJ22)),_xll.VoseSimMean('Мощность'!BJ22),NA())</f>
        <v>108.09356277456415</v>
      </c>
      <c r="G183" s="79">
        <f t="shared" si="4"/>
        <v>98</v>
      </c>
      <c r="H183" s="79">
        <f>(Presses+IF(57&gt;LeadPlan,1,0))*PressRate*PlantOEE_ML*(1+OTMax)+SubMax</f>
        <v>120.00000000000001</v>
      </c>
    </row>
    <row r="184" spans="2:8" hidden="1" outlineLevel="1" x14ac:dyDescent="0.45">
      <c r="B184" s="84">
        <f>'Мощность'!BK7</f>
        <v>48122</v>
      </c>
      <c r="C184" s="79" cm="1">
        <f t="array" aca="1" ref="C184" ca="1">IF(ISNUMBER(_xll.VoseSimPercentile('Мощность'!BK22,0.1)),_xll.VoseSimPercentile('Мощность'!BK22,0.1),NA())</f>
        <v>72.221562923826212</v>
      </c>
      <c r="D184" s="79" cm="1">
        <f t="array" aca="1" ref="D184" ca="1">IF(ISNUMBER(_xll.VoseSimPercentile('Мощность'!BK22,0.5)),_xll.VoseSimPercentile('Мощность'!BK22,0.5),NA())</f>
        <v>100.76720034440977</v>
      </c>
      <c r="E184" s="79" cm="1">
        <f t="array" aca="1" ref="E184" ca="1">IF(ISNUMBER(_xll.VoseSimPercentile('Мощность'!BK22,0.9)),_xll.VoseSimPercentile('Мощность'!BK22,0.9),NA())</f>
        <v>140.94195306059774</v>
      </c>
      <c r="F184" s="79" cm="1">
        <f t="array" aca="1" ref="F184" ca="1">IF(ISNUMBER(_xll.VoseSimMean('Мощность'!BK22)),_xll.VoseSimMean('Мощность'!BK22),NA())</f>
        <v>104.42880681099231</v>
      </c>
      <c r="G184" s="79">
        <f t="shared" si="4"/>
        <v>98</v>
      </c>
      <c r="H184" s="79">
        <f>(Presses+IF(58&gt;LeadPlan,1,0))*PressRate*PlantOEE_ML*(1+OTMax)+SubMax</f>
        <v>120.00000000000001</v>
      </c>
    </row>
    <row r="185" spans="2:8" hidden="1" outlineLevel="1" x14ac:dyDescent="0.45">
      <c r="B185" s="84">
        <f>'Мощность'!BL7</f>
        <v>48153</v>
      </c>
      <c r="C185" s="79" cm="1">
        <f t="array" aca="1" ref="C185" ca="1">IF(ISNUMBER(_xll.VoseSimPercentile('Мощность'!BL22,0.1)),_xll.VoseSimPercentile('Мощность'!BL22,0.1),NA())</f>
        <v>70.101695454129825</v>
      </c>
      <c r="D185" s="79" cm="1">
        <f t="array" aca="1" ref="D185" ca="1">IF(ISNUMBER(_xll.VoseSimPercentile('Мощность'!BL22,0.5)),_xll.VoseSimPercentile('Мощность'!BL22,0.5),NA())</f>
        <v>98.150751262114881</v>
      </c>
      <c r="E185" s="79" cm="1">
        <f t="array" aca="1" ref="E185" ca="1">IF(ISNUMBER(_xll.VoseSimPercentile('Мощность'!BL22,0.9)),_xll.VoseSimPercentile('Мощность'!BL22,0.9),NA())</f>
        <v>138.25494543070761</v>
      </c>
      <c r="F185" s="79" cm="1">
        <f t="array" aca="1" ref="F185" ca="1">IF(ISNUMBER(_xll.VoseSimMean('Мощность'!BL22)),_xll.VoseSimMean('Мощность'!BL22),NA())</f>
        <v>101.7848478189228</v>
      </c>
      <c r="G185" s="79">
        <f t="shared" si="4"/>
        <v>98</v>
      </c>
      <c r="H185" s="79">
        <f>(Presses+IF(59&gt;LeadPlan,1,0))*PressRate*PlantOEE_ML*(1+OTMax)+SubMax</f>
        <v>120.00000000000001</v>
      </c>
    </row>
    <row r="186" spans="2:8" hidden="1" outlineLevel="1" x14ac:dyDescent="0.45">
      <c r="B186" s="84">
        <f>'Мощность'!BM7</f>
        <v>48183</v>
      </c>
      <c r="C186" s="79" cm="1">
        <f t="array" aca="1" ref="C186" ca="1">IF(ISNUMBER(_xll.VoseSimPercentile('Мощность'!BM22,0.1)),_xll.VoseSimPercentile('Мощность'!BM22,0.1),NA())</f>
        <v>65.041666995496101</v>
      </c>
      <c r="D186" s="79" cm="1">
        <f t="array" aca="1" ref="D186" ca="1">IF(ISNUMBER(_xll.VoseSimPercentile('Мощность'!BM22,0.5)),_xll.VoseSimPercentile('Мощность'!BM22,0.5),NA())</f>
        <v>91.422985512585043</v>
      </c>
      <c r="E186" s="79" cm="1">
        <f t="array" aca="1" ref="E186" ca="1">IF(ISNUMBER(_xll.VoseSimPercentile('Мощность'!BM22,0.9)),_xll.VoseSimPercentile('Мощность'!BM22,0.9),NA())</f>
        <v>129.10849046737064</v>
      </c>
      <c r="F186" s="79" cm="1">
        <f t="array" aca="1" ref="F186" ca="1">IF(ISNUMBER(_xll.VoseSimMean('Мощность'!BM22)),_xll.VoseSimMean('Мощность'!BM22),NA())</f>
        <v>94.767241234906223</v>
      </c>
      <c r="G186" s="79">
        <f t="shared" si="4"/>
        <v>98</v>
      </c>
      <c r="H186" s="79">
        <f>(Presses+IF(60&gt;LeadPlan,1,0))*PressRate*PlantOEE_ML*(1+OTMax)+SubMax</f>
        <v>120.00000000000001</v>
      </c>
    </row>
  </sheetData>
  <mergeCells count="6">
    <mergeCell ref="B59:G59"/>
    <mergeCell ref="B60:G60"/>
    <mergeCell ref="B63:G63"/>
    <mergeCell ref="B61:G61"/>
    <mergeCell ref="B58:G58"/>
    <mergeCell ref="B62:G62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C127:F186">
    <cfRule type="expression" dxfId="2" priority="5">
      <formula>ISNA(C127)</formula>
    </cfRule>
  </conditionalFormatting>
  <conditionalFormatting sqref="D69:G118">
    <cfRule type="expression" dxfId="1" priority="3">
      <formula>ISNA(D69)</formula>
    </cfRule>
  </conditionalFormatting>
  <conditionalFormatting sqref="F122:G124">
    <cfRule type="expression" dxfId="0" priority="4">
      <formula>ISNA(F122)</formula>
    </cfRule>
  </conditionalFormatting>
  <hyperlinks>
    <hyperlink ref="B4" location="'Мощность'!A1" display="◂  Мощность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009CB-B15F-41B1-B680-600CE401F775}">
  <dimension ref="A1:B1"/>
  <sheetViews>
    <sheetView workbookViewId="0"/>
  </sheetViews>
  <sheetFormatPr defaultRowHeight="14.25" x14ac:dyDescent="0.45"/>
  <sheetData>
    <row r="1" spans="1:2" x14ac:dyDescent="0.45">
      <c r="A1" s="89" t="s">
        <v>360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16371-03E3-4A31-AA62-EE689CA63369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BC44F-2053-4BB4-B014-311DCFAE79DA}">
  <dimension ref="B3:B922"/>
  <sheetViews>
    <sheetView workbookViewId="0"/>
  </sheetViews>
  <sheetFormatPr defaultRowHeight="14.25" x14ac:dyDescent="0.45"/>
  <sheetData>
    <row r="3" spans="2:2" x14ac:dyDescent="0.45">
      <c r="B3">
        <v>7</v>
      </c>
    </row>
    <row r="4" spans="2:2" x14ac:dyDescent="0.45">
      <c r="B4">
        <v>24</v>
      </c>
    </row>
    <row r="5" spans="2:2" x14ac:dyDescent="0.45">
      <c r="B5">
        <v>115</v>
      </c>
    </row>
    <row r="6" spans="2:2" x14ac:dyDescent="0.45">
      <c r="B6">
        <v>330</v>
      </c>
    </row>
    <row r="7" spans="2:2" x14ac:dyDescent="0.45">
      <c r="B7">
        <v>525</v>
      </c>
    </row>
    <row r="8" spans="2:2" x14ac:dyDescent="0.45">
      <c r="B8">
        <v>523</v>
      </c>
    </row>
    <row r="9" spans="2:2" x14ac:dyDescent="0.45">
      <c r="B9">
        <v>319</v>
      </c>
    </row>
    <row r="10" spans="2:2" x14ac:dyDescent="0.45">
      <c r="B10">
        <v>119</v>
      </c>
    </row>
    <row r="11" spans="2:2" x14ac:dyDescent="0.45">
      <c r="B11">
        <v>30</v>
      </c>
    </row>
    <row r="12" spans="2:2" x14ac:dyDescent="0.45">
      <c r="B12">
        <v>8</v>
      </c>
    </row>
    <row r="13" spans="2:2" x14ac:dyDescent="0.45">
      <c r="B13">
        <v>6</v>
      </c>
    </row>
    <row r="14" spans="2:2" x14ac:dyDescent="0.45">
      <c r="B14">
        <v>40</v>
      </c>
    </row>
    <row r="15" spans="2:2" x14ac:dyDescent="0.45">
      <c r="B15">
        <v>136</v>
      </c>
    </row>
    <row r="16" spans="2:2" x14ac:dyDescent="0.45">
      <c r="B16">
        <v>402</v>
      </c>
    </row>
    <row r="17" spans="2:2" x14ac:dyDescent="0.45">
      <c r="B17">
        <v>550</v>
      </c>
    </row>
    <row r="18" spans="2:2" x14ac:dyDescent="0.45">
      <c r="B18">
        <v>519</v>
      </c>
    </row>
    <row r="19" spans="2:2" x14ac:dyDescent="0.45">
      <c r="B19">
        <v>242</v>
      </c>
    </row>
    <row r="20" spans="2:2" x14ac:dyDescent="0.45">
      <c r="B20">
        <v>84</v>
      </c>
    </row>
    <row r="21" spans="2:2" x14ac:dyDescent="0.45">
      <c r="B21">
        <v>20</v>
      </c>
    </row>
    <row r="22" spans="2:2" x14ac:dyDescent="0.45">
      <c r="B22">
        <v>1</v>
      </c>
    </row>
    <row r="23" spans="2:2" x14ac:dyDescent="0.45">
      <c r="B23">
        <v>10</v>
      </c>
    </row>
    <row r="24" spans="2:2" x14ac:dyDescent="0.45">
      <c r="B24">
        <v>42</v>
      </c>
    </row>
    <row r="25" spans="2:2" x14ac:dyDescent="0.45">
      <c r="B25">
        <v>136</v>
      </c>
    </row>
    <row r="26" spans="2:2" x14ac:dyDescent="0.45">
      <c r="B26">
        <v>357</v>
      </c>
    </row>
    <row r="27" spans="2:2" x14ac:dyDescent="0.45">
      <c r="B27">
        <v>525</v>
      </c>
    </row>
    <row r="28" spans="2:2" x14ac:dyDescent="0.45">
      <c r="B28">
        <v>447</v>
      </c>
    </row>
    <row r="29" spans="2:2" x14ac:dyDescent="0.45">
      <c r="B29">
        <v>287</v>
      </c>
    </row>
    <row r="30" spans="2:2" x14ac:dyDescent="0.45">
      <c r="B30">
        <v>152</v>
      </c>
    </row>
    <row r="31" spans="2:2" x14ac:dyDescent="0.45">
      <c r="B31">
        <v>36</v>
      </c>
    </row>
    <row r="32" spans="2:2" x14ac:dyDescent="0.45">
      <c r="B32">
        <v>8</v>
      </c>
    </row>
    <row r="33" spans="2:2" x14ac:dyDescent="0.45">
      <c r="B33">
        <v>12</v>
      </c>
    </row>
    <row r="34" spans="2:2" x14ac:dyDescent="0.45">
      <c r="B34">
        <v>39</v>
      </c>
    </row>
    <row r="35" spans="2:2" x14ac:dyDescent="0.45">
      <c r="B35">
        <v>173</v>
      </c>
    </row>
    <row r="36" spans="2:2" x14ac:dyDescent="0.45">
      <c r="B36">
        <v>385</v>
      </c>
    </row>
    <row r="37" spans="2:2" x14ac:dyDescent="0.45">
      <c r="B37">
        <v>524</v>
      </c>
    </row>
    <row r="38" spans="2:2" x14ac:dyDescent="0.45">
      <c r="B38">
        <v>441</v>
      </c>
    </row>
    <row r="39" spans="2:2" x14ac:dyDescent="0.45">
      <c r="B39">
        <v>265</v>
      </c>
    </row>
    <row r="40" spans="2:2" x14ac:dyDescent="0.45">
      <c r="B40">
        <v>119</v>
      </c>
    </row>
    <row r="41" spans="2:2" x14ac:dyDescent="0.45">
      <c r="B41">
        <v>36</v>
      </c>
    </row>
    <row r="42" spans="2:2" x14ac:dyDescent="0.45">
      <c r="B42">
        <v>6</v>
      </c>
    </row>
    <row r="43" spans="2:2" x14ac:dyDescent="0.45">
      <c r="B43">
        <v>13</v>
      </c>
    </row>
    <row r="44" spans="2:2" x14ac:dyDescent="0.45">
      <c r="B44">
        <v>46</v>
      </c>
    </row>
    <row r="45" spans="2:2" x14ac:dyDescent="0.45">
      <c r="B45">
        <v>175</v>
      </c>
    </row>
    <row r="46" spans="2:2" x14ac:dyDescent="0.45">
      <c r="B46">
        <v>416</v>
      </c>
    </row>
    <row r="47" spans="2:2" x14ac:dyDescent="0.45">
      <c r="B47">
        <v>507</v>
      </c>
    </row>
    <row r="48" spans="2:2" x14ac:dyDescent="0.45">
      <c r="B48">
        <v>476</v>
      </c>
    </row>
    <row r="49" spans="2:2" x14ac:dyDescent="0.45">
      <c r="B49">
        <v>229</v>
      </c>
    </row>
    <row r="50" spans="2:2" x14ac:dyDescent="0.45">
      <c r="B50">
        <v>106</v>
      </c>
    </row>
    <row r="51" spans="2:2" x14ac:dyDescent="0.45">
      <c r="B51">
        <v>28</v>
      </c>
    </row>
    <row r="52" spans="2:2" x14ac:dyDescent="0.45">
      <c r="B52">
        <v>4</v>
      </c>
    </row>
    <row r="53" spans="2:2" x14ac:dyDescent="0.45">
      <c r="B53">
        <v>21</v>
      </c>
    </row>
    <row r="54" spans="2:2" x14ac:dyDescent="0.45">
      <c r="B54">
        <v>92</v>
      </c>
    </row>
    <row r="55" spans="2:2" x14ac:dyDescent="0.45">
      <c r="B55">
        <v>215</v>
      </c>
    </row>
    <row r="56" spans="2:2" x14ac:dyDescent="0.45">
      <c r="B56">
        <v>463</v>
      </c>
    </row>
    <row r="57" spans="2:2" x14ac:dyDescent="0.45">
      <c r="B57">
        <v>512</v>
      </c>
    </row>
    <row r="58" spans="2:2" x14ac:dyDescent="0.45">
      <c r="B58">
        <v>391</v>
      </c>
    </row>
    <row r="59" spans="2:2" x14ac:dyDescent="0.45">
      <c r="B59">
        <v>194</v>
      </c>
    </row>
    <row r="60" spans="2:2" x14ac:dyDescent="0.45">
      <c r="B60">
        <v>84</v>
      </c>
    </row>
    <row r="61" spans="2:2" x14ac:dyDescent="0.45">
      <c r="B61">
        <v>20</v>
      </c>
    </row>
    <row r="62" spans="2:2" x14ac:dyDescent="0.45">
      <c r="B62">
        <v>8</v>
      </c>
    </row>
    <row r="63" spans="2:2" x14ac:dyDescent="0.45">
      <c r="B63">
        <v>18</v>
      </c>
    </row>
    <row r="64" spans="2:2" x14ac:dyDescent="0.45">
      <c r="B64">
        <v>70</v>
      </c>
    </row>
    <row r="65" spans="2:2" x14ac:dyDescent="0.45">
      <c r="B65">
        <v>219</v>
      </c>
    </row>
    <row r="66" spans="2:2" x14ac:dyDescent="0.45">
      <c r="B66">
        <v>446</v>
      </c>
    </row>
    <row r="67" spans="2:2" x14ac:dyDescent="0.45">
      <c r="B67">
        <v>518</v>
      </c>
    </row>
    <row r="68" spans="2:2" x14ac:dyDescent="0.45">
      <c r="B68">
        <v>398</v>
      </c>
    </row>
    <row r="69" spans="2:2" x14ac:dyDescent="0.45">
      <c r="B69">
        <v>203</v>
      </c>
    </row>
    <row r="70" spans="2:2" x14ac:dyDescent="0.45">
      <c r="B70">
        <v>94</v>
      </c>
    </row>
    <row r="71" spans="2:2" x14ac:dyDescent="0.45">
      <c r="B71">
        <v>25</v>
      </c>
    </row>
    <row r="72" spans="2:2" x14ac:dyDescent="0.45">
      <c r="B72">
        <v>9</v>
      </c>
    </row>
    <row r="73" spans="2:2" x14ac:dyDescent="0.45">
      <c r="B73">
        <v>26</v>
      </c>
    </row>
    <row r="74" spans="2:2" x14ac:dyDescent="0.45">
      <c r="B74">
        <v>124</v>
      </c>
    </row>
    <row r="75" spans="2:2" x14ac:dyDescent="0.45">
      <c r="B75">
        <v>345</v>
      </c>
    </row>
    <row r="76" spans="2:2" x14ac:dyDescent="0.45">
      <c r="B76">
        <v>541</v>
      </c>
    </row>
    <row r="77" spans="2:2" x14ac:dyDescent="0.45">
      <c r="B77">
        <v>524</v>
      </c>
    </row>
    <row r="78" spans="2:2" x14ac:dyDescent="0.45">
      <c r="B78">
        <v>292</v>
      </c>
    </row>
    <row r="79" spans="2:2" x14ac:dyDescent="0.45">
      <c r="B79">
        <v>104</v>
      </c>
    </row>
    <row r="80" spans="2:2" x14ac:dyDescent="0.45">
      <c r="B80">
        <v>36</v>
      </c>
    </row>
    <row r="81" spans="2:2" x14ac:dyDescent="0.45">
      <c r="B81">
        <v>7</v>
      </c>
    </row>
    <row r="82" spans="2:2" x14ac:dyDescent="0.45">
      <c r="B82">
        <v>1</v>
      </c>
    </row>
    <row r="83" spans="2:2" x14ac:dyDescent="0.45">
      <c r="B83">
        <v>29</v>
      </c>
    </row>
    <row r="84" spans="2:2" x14ac:dyDescent="0.45">
      <c r="B84">
        <v>110</v>
      </c>
    </row>
    <row r="85" spans="2:2" x14ac:dyDescent="0.45">
      <c r="B85">
        <v>295</v>
      </c>
    </row>
    <row r="86" spans="2:2" x14ac:dyDescent="0.45">
      <c r="B86">
        <v>466</v>
      </c>
    </row>
    <row r="87" spans="2:2" x14ac:dyDescent="0.45">
      <c r="B87">
        <v>521</v>
      </c>
    </row>
    <row r="88" spans="2:2" x14ac:dyDescent="0.45">
      <c r="B88">
        <v>321</v>
      </c>
    </row>
    <row r="89" spans="2:2" x14ac:dyDescent="0.45">
      <c r="B89">
        <v>163</v>
      </c>
    </row>
    <row r="90" spans="2:2" x14ac:dyDescent="0.45">
      <c r="B90">
        <v>68</v>
      </c>
    </row>
    <row r="91" spans="2:2" x14ac:dyDescent="0.45">
      <c r="B91">
        <v>23</v>
      </c>
    </row>
    <row r="92" spans="2:2" x14ac:dyDescent="0.45">
      <c r="B92">
        <v>4</v>
      </c>
    </row>
    <row r="93" spans="2:2" x14ac:dyDescent="0.45">
      <c r="B93">
        <v>22</v>
      </c>
    </row>
    <row r="94" spans="2:2" x14ac:dyDescent="0.45">
      <c r="B94">
        <v>107</v>
      </c>
    </row>
    <row r="95" spans="2:2" x14ac:dyDescent="0.45">
      <c r="B95">
        <v>303</v>
      </c>
    </row>
    <row r="96" spans="2:2" x14ac:dyDescent="0.45">
      <c r="B96">
        <v>486</v>
      </c>
    </row>
    <row r="97" spans="2:2" x14ac:dyDescent="0.45">
      <c r="B97">
        <v>506</v>
      </c>
    </row>
    <row r="98" spans="2:2" x14ac:dyDescent="0.45">
      <c r="B98">
        <v>339</v>
      </c>
    </row>
    <row r="99" spans="2:2" x14ac:dyDescent="0.45">
      <c r="B99">
        <v>159</v>
      </c>
    </row>
    <row r="100" spans="2:2" x14ac:dyDescent="0.45">
      <c r="B100">
        <v>56</v>
      </c>
    </row>
    <row r="101" spans="2:2" x14ac:dyDescent="0.45">
      <c r="B101">
        <v>19</v>
      </c>
    </row>
    <row r="102" spans="2:2" x14ac:dyDescent="0.45">
      <c r="B102">
        <v>3</v>
      </c>
    </row>
    <row r="103" spans="2:2" x14ac:dyDescent="0.45">
      <c r="B103">
        <v>13</v>
      </c>
    </row>
    <row r="104" spans="2:2" x14ac:dyDescent="0.45">
      <c r="B104">
        <v>104</v>
      </c>
    </row>
    <row r="105" spans="2:2" x14ac:dyDescent="0.45">
      <c r="B105">
        <v>279</v>
      </c>
    </row>
    <row r="106" spans="2:2" x14ac:dyDescent="0.45">
      <c r="B106">
        <v>495</v>
      </c>
    </row>
    <row r="107" spans="2:2" x14ac:dyDescent="0.45">
      <c r="B107">
        <v>508</v>
      </c>
    </row>
    <row r="108" spans="2:2" x14ac:dyDescent="0.45">
      <c r="B108">
        <v>334</v>
      </c>
    </row>
    <row r="109" spans="2:2" x14ac:dyDescent="0.45">
      <c r="B109">
        <v>177</v>
      </c>
    </row>
    <row r="110" spans="2:2" x14ac:dyDescent="0.45">
      <c r="B110">
        <v>66</v>
      </c>
    </row>
    <row r="111" spans="2:2" x14ac:dyDescent="0.45">
      <c r="B111">
        <v>17</v>
      </c>
    </row>
    <row r="112" spans="2:2" x14ac:dyDescent="0.45">
      <c r="B112">
        <v>7</v>
      </c>
    </row>
    <row r="113" spans="2:2" x14ac:dyDescent="0.45">
      <c r="B113">
        <v>10</v>
      </c>
    </row>
    <row r="114" spans="2:2" x14ac:dyDescent="0.45">
      <c r="B114">
        <v>97</v>
      </c>
    </row>
    <row r="115" spans="2:2" x14ac:dyDescent="0.45">
      <c r="B115">
        <v>255</v>
      </c>
    </row>
    <row r="116" spans="2:2" x14ac:dyDescent="0.45">
      <c r="B116">
        <v>495</v>
      </c>
    </row>
    <row r="117" spans="2:2" x14ac:dyDescent="0.45">
      <c r="B117">
        <v>491</v>
      </c>
    </row>
    <row r="118" spans="2:2" x14ac:dyDescent="0.45">
      <c r="B118">
        <v>371</v>
      </c>
    </row>
    <row r="119" spans="2:2" x14ac:dyDescent="0.45">
      <c r="B119">
        <v>166</v>
      </c>
    </row>
    <row r="120" spans="2:2" x14ac:dyDescent="0.45">
      <c r="B120">
        <v>89</v>
      </c>
    </row>
    <row r="121" spans="2:2" x14ac:dyDescent="0.45">
      <c r="B121">
        <v>18</v>
      </c>
    </row>
    <row r="122" spans="2:2" x14ac:dyDescent="0.45">
      <c r="B122">
        <v>8</v>
      </c>
    </row>
    <row r="123" spans="2:2" x14ac:dyDescent="0.45">
      <c r="B123">
        <v>9</v>
      </c>
    </row>
    <row r="124" spans="2:2" x14ac:dyDescent="0.45">
      <c r="B124">
        <v>97</v>
      </c>
    </row>
    <row r="125" spans="2:2" x14ac:dyDescent="0.45">
      <c r="B125">
        <v>303</v>
      </c>
    </row>
    <row r="126" spans="2:2" x14ac:dyDescent="0.45">
      <c r="B126">
        <v>560</v>
      </c>
    </row>
    <row r="127" spans="2:2" x14ac:dyDescent="0.45">
      <c r="B127">
        <v>500</v>
      </c>
    </row>
    <row r="128" spans="2:2" x14ac:dyDescent="0.45">
      <c r="B128">
        <v>341</v>
      </c>
    </row>
    <row r="129" spans="2:2" x14ac:dyDescent="0.45">
      <c r="B129">
        <v>123</v>
      </c>
    </row>
    <row r="130" spans="2:2" x14ac:dyDescent="0.45">
      <c r="B130">
        <v>53</v>
      </c>
    </row>
    <row r="131" spans="2:2" x14ac:dyDescent="0.45">
      <c r="B131">
        <v>11</v>
      </c>
    </row>
    <row r="132" spans="2:2" x14ac:dyDescent="0.45">
      <c r="B132">
        <v>3</v>
      </c>
    </row>
    <row r="133" spans="2:2" x14ac:dyDescent="0.45">
      <c r="B133">
        <v>9</v>
      </c>
    </row>
    <row r="134" spans="2:2" x14ac:dyDescent="0.45">
      <c r="B134">
        <v>84</v>
      </c>
    </row>
    <row r="135" spans="2:2" x14ac:dyDescent="0.45">
      <c r="B135">
        <v>311</v>
      </c>
    </row>
    <row r="136" spans="2:2" x14ac:dyDescent="0.45">
      <c r="B136">
        <v>563</v>
      </c>
    </row>
    <row r="137" spans="2:2" x14ac:dyDescent="0.45">
      <c r="B137">
        <v>519</v>
      </c>
    </row>
    <row r="138" spans="2:2" x14ac:dyDescent="0.45">
      <c r="B138">
        <v>303</v>
      </c>
    </row>
    <row r="139" spans="2:2" x14ac:dyDescent="0.45">
      <c r="B139">
        <v>145</v>
      </c>
    </row>
    <row r="140" spans="2:2" x14ac:dyDescent="0.45">
      <c r="B140">
        <v>53</v>
      </c>
    </row>
    <row r="141" spans="2:2" x14ac:dyDescent="0.45">
      <c r="B141">
        <v>10</v>
      </c>
    </row>
    <row r="142" spans="2:2" x14ac:dyDescent="0.45">
      <c r="B142">
        <v>3</v>
      </c>
    </row>
    <row r="143" spans="2:2" x14ac:dyDescent="0.45">
      <c r="B143">
        <v>7</v>
      </c>
    </row>
    <row r="144" spans="2:2" x14ac:dyDescent="0.45">
      <c r="B144">
        <v>79</v>
      </c>
    </row>
    <row r="145" spans="2:2" x14ac:dyDescent="0.45">
      <c r="B145">
        <v>279</v>
      </c>
    </row>
    <row r="146" spans="2:2" x14ac:dyDescent="0.45">
      <c r="B146">
        <v>529</v>
      </c>
    </row>
    <row r="147" spans="2:2" x14ac:dyDescent="0.45">
      <c r="B147">
        <v>518</v>
      </c>
    </row>
    <row r="148" spans="2:2" x14ac:dyDescent="0.45">
      <c r="B148">
        <v>355</v>
      </c>
    </row>
    <row r="149" spans="2:2" x14ac:dyDescent="0.45">
      <c r="B149">
        <v>149</v>
      </c>
    </row>
    <row r="150" spans="2:2" x14ac:dyDescent="0.45">
      <c r="B150">
        <v>62</v>
      </c>
    </row>
    <row r="151" spans="2:2" x14ac:dyDescent="0.45">
      <c r="B151">
        <v>17</v>
      </c>
    </row>
    <row r="152" spans="2:2" x14ac:dyDescent="0.45">
      <c r="B152">
        <v>5</v>
      </c>
    </row>
    <row r="153" spans="2:2" x14ac:dyDescent="0.45">
      <c r="B153">
        <v>12</v>
      </c>
    </row>
    <row r="154" spans="2:2" x14ac:dyDescent="0.45">
      <c r="B154">
        <v>106</v>
      </c>
    </row>
    <row r="155" spans="2:2" x14ac:dyDescent="0.45">
      <c r="B155">
        <v>310</v>
      </c>
    </row>
    <row r="156" spans="2:2" x14ac:dyDescent="0.45">
      <c r="B156">
        <v>521</v>
      </c>
    </row>
    <row r="157" spans="2:2" x14ac:dyDescent="0.45">
      <c r="B157">
        <v>497</v>
      </c>
    </row>
    <row r="158" spans="2:2" x14ac:dyDescent="0.45">
      <c r="B158">
        <v>323</v>
      </c>
    </row>
    <row r="159" spans="2:2" x14ac:dyDescent="0.45">
      <c r="B159">
        <v>140</v>
      </c>
    </row>
    <row r="160" spans="2:2" x14ac:dyDescent="0.45">
      <c r="B160">
        <v>69</v>
      </c>
    </row>
    <row r="161" spans="2:2" x14ac:dyDescent="0.45">
      <c r="B161">
        <v>15</v>
      </c>
    </row>
    <row r="162" spans="2:2" x14ac:dyDescent="0.45">
      <c r="B162">
        <v>7</v>
      </c>
    </row>
    <row r="163" spans="2:2" x14ac:dyDescent="0.45">
      <c r="B163">
        <v>20</v>
      </c>
    </row>
    <row r="164" spans="2:2" x14ac:dyDescent="0.45">
      <c r="B164">
        <v>149</v>
      </c>
    </row>
    <row r="165" spans="2:2" x14ac:dyDescent="0.45">
      <c r="B165">
        <v>416</v>
      </c>
    </row>
    <row r="166" spans="2:2" x14ac:dyDescent="0.45">
      <c r="B166">
        <v>541</v>
      </c>
    </row>
    <row r="167" spans="2:2" x14ac:dyDescent="0.45">
      <c r="B167">
        <v>488</v>
      </c>
    </row>
    <row r="168" spans="2:2" x14ac:dyDescent="0.45">
      <c r="B168">
        <v>237</v>
      </c>
    </row>
    <row r="169" spans="2:2" x14ac:dyDescent="0.45">
      <c r="B169">
        <v>111</v>
      </c>
    </row>
    <row r="170" spans="2:2" x14ac:dyDescent="0.45">
      <c r="B170">
        <v>26</v>
      </c>
    </row>
    <row r="171" spans="2:2" x14ac:dyDescent="0.45">
      <c r="B171">
        <v>10</v>
      </c>
    </row>
    <row r="172" spans="2:2" x14ac:dyDescent="0.45">
      <c r="B172">
        <v>2</v>
      </c>
    </row>
    <row r="173" spans="2:2" x14ac:dyDescent="0.45">
      <c r="B173">
        <v>18</v>
      </c>
    </row>
    <row r="174" spans="2:2" x14ac:dyDescent="0.45">
      <c r="B174">
        <v>176</v>
      </c>
    </row>
    <row r="175" spans="2:2" x14ac:dyDescent="0.45">
      <c r="B175">
        <v>436</v>
      </c>
    </row>
    <row r="176" spans="2:2" x14ac:dyDescent="0.45">
      <c r="B176">
        <v>584</v>
      </c>
    </row>
    <row r="177" spans="2:2" x14ac:dyDescent="0.45">
      <c r="B177">
        <v>464</v>
      </c>
    </row>
    <row r="178" spans="2:2" x14ac:dyDescent="0.45">
      <c r="B178">
        <v>211</v>
      </c>
    </row>
    <row r="179" spans="2:2" x14ac:dyDescent="0.45">
      <c r="B179">
        <v>84</v>
      </c>
    </row>
    <row r="180" spans="2:2" x14ac:dyDescent="0.45">
      <c r="B180">
        <v>16</v>
      </c>
    </row>
    <row r="181" spans="2:2" x14ac:dyDescent="0.45">
      <c r="B181">
        <v>8</v>
      </c>
    </row>
    <row r="182" spans="2:2" x14ac:dyDescent="0.45">
      <c r="B182">
        <v>3</v>
      </c>
    </row>
    <row r="183" spans="2:2" x14ac:dyDescent="0.45">
      <c r="B183">
        <v>29</v>
      </c>
    </row>
    <row r="184" spans="2:2" x14ac:dyDescent="0.45">
      <c r="B184">
        <v>176</v>
      </c>
    </row>
    <row r="185" spans="2:2" x14ac:dyDescent="0.45">
      <c r="B185">
        <v>377</v>
      </c>
    </row>
    <row r="186" spans="2:2" x14ac:dyDescent="0.45">
      <c r="B186">
        <v>522</v>
      </c>
    </row>
    <row r="187" spans="2:2" x14ac:dyDescent="0.45">
      <c r="B187">
        <v>471</v>
      </c>
    </row>
    <row r="188" spans="2:2" x14ac:dyDescent="0.45">
      <c r="B188">
        <v>253</v>
      </c>
    </row>
    <row r="189" spans="2:2" x14ac:dyDescent="0.45">
      <c r="B189">
        <v>119</v>
      </c>
    </row>
    <row r="190" spans="2:2" x14ac:dyDescent="0.45">
      <c r="B190">
        <v>39</v>
      </c>
    </row>
    <row r="191" spans="2:2" x14ac:dyDescent="0.45">
      <c r="B191">
        <v>10</v>
      </c>
    </row>
    <row r="192" spans="2:2" x14ac:dyDescent="0.45">
      <c r="B192">
        <v>4</v>
      </c>
    </row>
    <row r="193" spans="2:2" x14ac:dyDescent="0.45">
      <c r="B193">
        <v>21</v>
      </c>
    </row>
    <row r="194" spans="2:2" x14ac:dyDescent="0.45">
      <c r="B194">
        <v>138</v>
      </c>
    </row>
    <row r="195" spans="2:2" x14ac:dyDescent="0.45">
      <c r="B195">
        <v>360</v>
      </c>
    </row>
    <row r="196" spans="2:2" x14ac:dyDescent="0.45">
      <c r="B196">
        <v>510</v>
      </c>
    </row>
    <row r="197" spans="2:2" x14ac:dyDescent="0.45">
      <c r="B197">
        <v>490</v>
      </c>
    </row>
    <row r="198" spans="2:2" x14ac:dyDescent="0.45">
      <c r="B198">
        <v>284</v>
      </c>
    </row>
    <row r="199" spans="2:2" x14ac:dyDescent="0.45">
      <c r="B199">
        <v>126</v>
      </c>
    </row>
    <row r="200" spans="2:2" x14ac:dyDescent="0.45">
      <c r="B200">
        <v>56</v>
      </c>
    </row>
    <row r="201" spans="2:2" x14ac:dyDescent="0.45">
      <c r="B201">
        <v>9</v>
      </c>
    </row>
    <row r="202" spans="2:2" x14ac:dyDescent="0.45">
      <c r="B202">
        <v>6</v>
      </c>
    </row>
    <row r="203" spans="2:2" x14ac:dyDescent="0.45">
      <c r="B203">
        <v>38</v>
      </c>
    </row>
    <row r="204" spans="2:2" x14ac:dyDescent="0.45">
      <c r="B204">
        <v>185</v>
      </c>
    </row>
    <row r="205" spans="2:2" x14ac:dyDescent="0.45">
      <c r="B205">
        <v>435</v>
      </c>
    </row>
    <row r="206" spans="2:2" x14ac:dyDescent="0.45">
      <c r="B206">
        <v>560</v>
      </c>
    </row>
    <row r="207" spans="2:2" x14ac:dyDescent="0.45">
      <c r="B207">
        <v>431</v>
      </c>
    </row>
    <row r="208" spans="2:2" x14ac:dyDescent="0.45">
      <c r="B208">
        <v>215</v>
      </c>
    </row>
    <row r="209" spans="2:2" x14ac:dyDescent="0.45">
      <c r="B209">
        <v>96</v>
      </c>
    </row>
    <row r="210" spans="2:2" x14ac:dyDescent="0.45">
      <c r="B210">
        <v>28</v>
      </c>
    </row>
    <row r="211" spans="2:2" x14ac:dyDescent="0.45">
      <c r="B211">
        <v>10</v>
      </c>
    </row>
    <row r="212" spans="2:2" x14ac:dyDescent="0.45">
      <c r="B212">
        <v>2</v>
      </c>
    </row>
    <row r="213" spans="2:2" x14ac:dyDescent="0.45">
      <c r="B213">
        <v>30</v>
      </c>
    </row>
    <row r="214" spans="2:2" x14ac:dyDescent="0.45">
      <c r="B214">
        <v>161</v>
      </c>
    </row>
    <row r="215" spans="2:2" x14ac:dyDescent="0.45">
      <c r="B215">
        <v>408</v>
      </c>
    </row>
    <row r="216" spans="2:2" x14ac:dyDescent="0.45">
      <c r="B216">
        <v>520</v>
      </c>
    </row>
    <row r="217" spans="2:2" x14ac:dyDescent="0.45">
      <c r="B217">
        <v>456</v>
      </c>
    </row>
    <row r="218" spans="2:2" x14ac:dyDescent="0.45">
      <c r="B218">
        <v>241</v>
      </c>
    </row>
    <row r="219" spans="2:2" x14ac:dyDescent="0.45">
      <c r="B219">
        <v>128</v>
      </c>
    </row>
    <row r="220" spans="2:2" x14ac:dyDescent="0.45">
      <c r="B220">
        <v>37</v>
      </c>
    </row>
    <row r="221" spans="2:2" x14ac:dyDescent="0.45">
      <c r="B221">
        <v>15</v>
      </c>
    </row>
    <row r="222" spans="2:2" x14ac:dyDescent="0.45">
      <c r="B222">
        <v>4</v>
      </c>
    </row>
    <row r="223" spans="2:2" x14ac:dyDescent="0.45">
      <c r="B223">
        <v>39</v>
      </c>
    </row>
    <row r="224" spans="2:2" x14ac:dyDescent="0.45">
      <c r="B224">
        <v>153</v>
      </c>
    </row>
    <row r="225" spans="2:2" x14ac:dyDescent="0.45">
      <c r="B225">
        <v>393</v>
      </c>
    </row>
    <row r="226" spans="2:2" x14ac:dyDescent="0.45">
      <c r="B226">
        <v>520</v>
      </c>
    </row>
    <row r="227" spans="2:2" x14ac:dyDescent="0.45">
      <c r="B227">
        <v>445</v>
      </c>
    </row>
    <row r="228" spans="2:2" x14ac:dyDescent="0.45">
      <c r="B228">
        <v>250</v>
      </c>
    </row>
    <row r="229" spans="2:2" x14ac:dyDescent="0.45">
      <c r="B229">
        <v>133</v>
      </c>
    </row>
    <row r="230" spans="2:2" x14ac:dyDescent="0.45">
      <c r="B230">
        <v>46</v>
      </c>
    </row>
    <row r="231" spans="2:2" x14ac:dyDescent="0.45">
      <c r="B231">
        <v>16</v>
      </c>
    </row>
    <row r="232" spans="2:2" x14ac:dyDescent="0.45">
      <c r="B232">
        <v>5</v>
      </c>
    </row>
    <row r="233" spans="2:2" x14ac:dyDescent="0.45">
      <c r="B233">
        <v>44</v>
      </c>
    </row>
    <row r="234" spans="2:2" x14ac:dyDescent="0.45">
      <c r="B234">
        <v>168</v>
      </c>
    </row>
    <row r="235" spans="2:2" x14ac:dyDescent="0.45">
      <c r="B235">
        <v>406</v>
      </c>
    </row>
    <row r="236" spans="2:2" x14ac:dyDescent="0.45">
      <c r="B236">
        <v>515</v>
      </c>
    </row>
    <row r="237" spans="2:2" x14ac:dyDescent="0.45">
      <c r="B237">
        <v>465</v>
      </c>
    </row>
    <row r="238" spans="2:2" x14ac:dyDescent="0.45">
      <c r="B238">
        <v>225</v>
      </c>
    </row>
    <row r="239" spans="2:2" x14ac:dyDescent="0.45">
      <c r="B239">
        <v>118</v>
      </c>
    </row>
    <row r="240" spans="2:2" x14ac:dyDescent="0.45">
      <c r="B240">
        <v>43</v>
      </c>
    </row>
    <row r="241" spans="2:2" x14ac:dyDescent="0.45">
      <c r="B241">
        <v>12</v>
      </c>
    </row>
    <row r="242" spans="2:2" x14ac:dyDescent="0.45">
      <c r="B242">
        <v>4</v>
      </c>
    </row>
    <row r="243" spans="2:2" x14ac:dyDescent="0.45">
      <c r="B243">
        <v>27</v>
      </c>
    </row>
    <row r="244" spans="2:2" x14ac:dyDescent="0.45">
      <c r="B244">
        <v>146</v>
      </c>
    </row>
    <row r="245" spans="2:2" x14ac:dyDescent="0.45">
      <c r="B245">
        <v>373</v>
      </c>
    </row>
    <row r="246" spans="2:2" x14ac:dyDescent="0.45">
      <c r="B246">
        <v>555</v>
      </c>
    </row>
    <row r="247" spans="2:2" x14ac:dyDescent="0.45">
      <c r="B247">
        <v>480</v>
      </c>
    </row>
    <row r="248" spans="2:2" x14ac:dyDescent="0.45">
      <c r="B248">
        <v>241</v>
      </c>
    </row>
    <row r="249" spans="2:2" x14ac:dyDescent="0.45">
      <c r="B249">
        <v>126</v>
      </c>
    </row>
    <row r="250" spans="2:2" x14ac:dyDescent="0.45">
      <c r="B250">
        <v>40</v>
      </c>
    </row>
    <row r="251" spans="2:2" x14ac:dyDescent="0.45">
      <c r="B251">
        <v>10</v>
      </c>
    </row>
    <row r="252" spans="2:2" x14ac:dyDescent="0.45">
      <c r="B252">
        <v>2</v>
      </c>
    </row>
    <row r="253" spans="2:2" x14ac:dyDescent="0.45">
      <c r="B253">
        <v>33</v>
      </c>
    </row>
    <row r="254" spans="2:2" x14ac:dyDescent="0.45">
      <c r="B254">
        <v>190</v>
      </c>
    </row>
    <row r="255" spans="2:2" x14ac:dyDescent="0.45">
      <c r="B255">
        <v>451</v>
      </c>
    </row>
    <row r="256" spans="2:2" x14ac:dyDescent="0.45">
      <c r="B256">
        <v>589</v>
      </c>
    </row>
    <row r="257" spans="2:2" x14ac:dyDescent="0.45">
      <c r="B257">
        <v>390</v>
      </c>
    </row>
    <row r="258" spans="2:2" x14ac:dyDescent="0.45">
      <c r="B258">
        <v>225</v>
      </c>
    </row>
    <row r="259" spans="2:2" x14ac:dyDescent="0.45">
      <c r="B259">
        <v>88</v>
      </c>
    </row>
    <row r="260" spans="2:2" x14ac:dyDescent="0.45">
      <c r="B260">
        <v>27</v>
      </c>
    </row>
    <row r="261" spans="2:2" x14ac:dyDescent="0.45">
      <c r="B261">
        <v>4</v>
      </c>
    </row>
    <row r="262" spans="2:2" x14ac:dyDescent="0.45">
      <c r="B262">
        <v>3</v>
      </c>
    </row>
    <row r="263" spans="2:2" x14ac:dyDescent="0.45">
      <c r="B263">
        <v>31</v>
      </c>
    </row>
    <row r="264" spans="2:2" x14ac:dyDescent="0.45">
      <c r="B264">
        <v>210</v>
      </c>
    </row>
    <row r="265" spans="2:2" x14ac:dyDescent="0.45">
      <c r="B265">
        <v>478</v>
      </c>
    </row>
    <row r="266" spans="2:2" x14ac:dyDescent="0.45">
      <c r="B266">
        <v>592</v>
      </c>
    </row>
    <row r="267" spans="2:2" x14ac:dyDescent="0.45">
      <c r="B267">
        <v>393</v>
      </c>
    </row>
    <row r="268" spans="2:2" x14ac:dyDescent="0.45">
      <c r="B268">
        <v>198</v>
      </c>
    </row>
    <row r="269" spans="2:2" x14ac:dyDescent="0.45">
      <c r="B269">
        <v>73</v>
      </c>
    </row>
    <row r="270" spans="2:2" x14ac:dyDescent="0.45">
      <c r="B270">
        <v>18</v>
      </c>
    </row>
    <row r="271" spans="2:2" x14ac:dyDescent="0.45">
      <c r="B271">
        <v>5</v>
      </c>
    </row>
    <row r="272" spans="2:2" x14ac:dyDescent="0.45">
      <c r="B272">
        <v>2</v>
      </c>
    </row>
    <row r="273" spans="2:2" x14ac:dyDescent="0.45">
      <c r="B273">
        <v>25</v>
      </c>
    </row>
    <row r="274" spans="2:2" x14ac:dyDescent="0.45">
      <c r="B274">
        <v>170</v>
      </c>
    </row>
    <row r="275" spans="2:2" x14ac:dyDescent="0.45">
      <c r="B275">
        <v>458</v>
      </c>
    </row>
    <row r="276" spans="2:2" x14ac:dyDescent="0.45">
      <c r="B276">
        <v>599</v>
      </c>
    </row>
    <row r="277" spans="2:2" x14ac:dyDescent="0.45">
      <c r="B277">
        <v>422</v>
      </c>
    </row>
    <row r="278" spans="2:2" x14ac:dyDescent="0.45">
      <c r="B278">
        <v>213</v>
      </c>
    </row>
    <row r="279" spans="2:2" x14ac:dyDescent="0.45">
      <c r="B279">
        <v>85</v>
      </c>
    </row>
    <row r="280" spans="2:2" x14ac:dyDescent="0.45">
      <c r="B280">
        <v>21</v>
      </c>
    </row>
    <row r="281" spans="2:2" x14ac:dyDescent="0.45">
      <c r="B281">
        <v>5</v>
      </c>
    </row>
    <row r="282" spans="2:2" x14ac:dyDescent="0.45">
      <c r="B282">
        <v>2</v>
      </c>
    </row>
    <row r="283" spans="2:2" x14ac:dyDescent="0.45">
      <c r="B283">
        <v>19</v>
      </c>
    </row>
    <row r="284" spans="2:2" x14ac:dyDescent="0.45">
      <c r="B284">
        <v>156</v>
      </c>
    </row>
    <row r="285" spans="2:2" x14ac:dyDescent="0.45">
      <c r="B285">
        <v>489</v>
      </c>
    </row>
    <row r="286" spans="2:2" x14ac:dyDescent="0.45">
      <c r="B286">
        <v>578</v>
      </c>
    </row>
    <row r="287" spans="2:2" x14ac:dyDescent="0.45">
      <c r="B287">
        <v>442</v>
      </c>
    </row>
    <row r="288" spans="2:2" x14ac:dyDescent="0.45">
      <c r="B288">
        <v>209</v>
      </c>
    </row>
    <row r="289" spans="2:2" x14ac:dyDescent="0.45">
      <c r="B289">
        <v>79</v>
      </c>
    </row>
    <row r="290" spans="2:2" x14ac:dyDescent="0.45">
      <c r="B290">
        <v>23</v>
      </c>
    </row>
    <row r="291" spans="2:2" x14ac:dyDescent="0.45">
      <c r="B291">
        <v>3</v>
      </c>
    </row>
    <row r="292" spans="2:2" x14ac:dyDescent="0.45">
      <c r="B292">
        <v>2</v>
      </c>
    </row>
    <row r="293" spans="2:2" x14ac:dyDescent="0.45">
      <c r="B293">
        <v>19</v>
      </c>
    </row>
    <row r="294" spans="2:2" x14ac:dyDescent="0.45">
      <c r="B294">
        <v>175</v>
      </c>
    </row>
    <row r="295" spans="2:2" x14ac:dyDescent="0.45">
      <c r="B295">
        <v>513</v>
      </c>
    </row>
    <row r="296" spans="2:2" x14ac:dyDescent="0.45">
      <c r="B296">
        <v>632</v>
      </c>
    </row>
    <row r="297" spans="2:2" x14ac:dyDescent="0.45">
      <c r="B297">
        <v>397</v>
      </c>
    </row>
    <row r="298" spans="2:2" x14ac:dyDescent="0.45">
      <c r="B298">
        <v>185</v>
      </c>
    </row>
    <row r="299" spans="2:2" x14ac:dyDescent="0.45">
      <c r="B299">
        <v>58</v>
      </c>
    </row>
    <row r="300" spans="2:2" x14ac:dyDescent="0.45">
      <c r="B300">
        <v>19</v>
      </c>
    </row>
    <row r="301" spans="2:2" x14ac:dyDescent="0.45">
      <c r="B301">
        <v>1</v>
      </c>
    </row>
    <row r="302" spans="2:2" x14ac:dyDescent="0.45">
      <c r="B302">
        <v>1</v>
      </c>
    </row>
    <row r="303" spans="2:2" x14ac:dyDescent="0.45">
      <c r="B303">
        <v>16</v>
      </c>
    </row>
    <row r="304" spans="2:2" x14ac:dyDescent="0.45">
      <c r="B304">
        <v>172</v>
      </c>
    </row>
    <row r="305" spans="2:2" x14ac:dyDescent="0.45">
      <c r="B305">
        <v>489</v>
      </c>
    </row>
    <row r="306" spans="2:2" x14ac:dyDescent="0.45">
      <c r="B306">
        <v>624</v>
      </c>
    </row>
    <row r="307" spans="2:2" x14ac:dyDescent="0.45">
      <c r="B307">
        <v>411</v>
      </c>
    </row>
    <row r="308" spans="2:2" x14ac:dyDescent="0.45">
      <c r="B308">
        <v>187</v>
      </c>
    </row>
    <row r="309" spans="2:2" x14ac:dyDescent="0.45">
      <c r="B309">
        <v>73</v>
      </c>
    </row>
    <row r="310" spans="2:2" x14ac:dyDescent="0.45">
      <c r="B310">
        <v>25</v>
      </c>
    </row>
    <row r="311" spans="2:2" x14ac:dyDescent="0.45">
      <c r="B311">
        <v>2</v>
      </c>
    </row>
    <row r="312" spans="2:2" x14ac:dyDescent="0.45">
      <c r="B312">
        <v>1</v>
      </c>
    </row>
    <row r="313" spans="2:2" x14ac:dyDescent="0.45">
      <c r="B313">
        <v>17</v>
      </c>
    </row>
    <row r="314" spans="2:2" x14ac:dyDescent="0.45">
      <c r="B314">
        <v>161</v>
      </c>
    </row>
    <row r="315" spans="2:2" x14ac:dyDescent="0.45">
      <c r="B315">
        <v>467</v>
      </c>
    </row>
    <row r="316" spans="2:2" x14ac:dyDescent="0.45">
      <c r="B316">
        <v>613</v>
      </c>
    </row>
    <row r="317" spans="2:2" x14ac:dyDescent="0.45">
      <c r="B317">
        <v>424</v>
      </c>
    </row>
    <row r="318" spans="2:2" x14ac:dyDescent="0.45">
      <c r="B318">
        <v>207</v>
      </c>
    </row>
    <row r="319" spans="2:2" x14ac:dyDescent="0.45">
      <c r="B319">
        <v>68</v>
      </c>
    </row>
    <row r="320" spans="2:2" x14ac:dyDescent="0.45">
      <c r="B320">
        <v>32</v>
      </c>
    </row>
    <row r="321" spans="2:2" x14ac:dyDescent="0.45">
      <c r="B321">
        <v>10</v>
      </c>
    </row>
    <row r="322" spans="2:2" x14ac:dyDescent="0.45">
      <c r="B322">
        <v>1</v>
      </c>
    </row>
    <row r="323" spans="2:2" x14ac:dyDescent="0.45">
      <c r="B323">
        <v>16</v>
      </c>
    </row>
    <row r="324" spans="2:2" x14ac:dyDescent="0.45">
      <c r="B324">
        <v>179</v>
      </c>
    </row>
    <row r="325" spans="2:2" x14ac:dyDescent="0.45">
      <c r="B325">
        <v>485</v>
      </c>
    </row>
    <row r="326" spans="2:2" x14ac:dyDescent="0.45">
      <c r="B326">
        <v>613</v>
      </c>
    </row>
    <row r="327" spans="2:2" x14ac:dyDescent="0.45">
      <c r="B327">
        <v>411</v>
      </c>
    </row>
    <row r="328" spans="2:2" x14ac:dyDescent="0.45">
      <c r="B328">
        <v>198</v>
      </c>
    </row>
    <row r="329" spans="2:2" x14ac:dyDescent="0.45">
      <c r="B329">
        <v>64</v>
      </c>
    </row>
    <row r="330" spans="2:2" x14ac:dyDescent="0.45">
      <c r="B330">
        <v>30</v>
      </c>
    </row>
    <row r="331" spans="2:2" x14ac:dyDescent="0.45">
      <c r="B331">
        <v>3</v>
      </c>
    </row>
    <row r="332" spans="2:2" x14ac:dyDescent="0.45">
      <c r="B332">
        <v>1</v>
      </c>
    </row>
    <row r="333" spans="2:2" x14ac:dyDescent="0.45">
      <c r="B333">
        <v>12</v>
      </c>
    </row>
    <row r="334" spans="2:2" x14ac:dyDescent="0.45">
      <c r="B334">
        <v>172</v>
      </c>
    </row>
    <row r="335" spans="2:2" x14ac:dyDescent="0.45">
      <c r="B335">
        <v>465</v>
      </c>
    </row>
    <row r="336" spans="2:2" x14ac:dyDescent="0.45">
      <c r="B336">
        <v>599</v>
      </c>
    </row>
    <row r="337" spans="2:2" x14ac:dyDescent="0.45">
      <c r="B337">
        <v>433</v>
      </c>
    </row>
    <row r="338" spans="2:2" x14ac:dyDescent="0.45">
      <c r="B338">
        <v>206</v>
      </c>
    </row>
    <row r="339" spans="2:2" x14ac:dyDescent="0.45">
      <c r="B339">
        <v>73</v>
      </c>
    </row>
    <row r="340" spans="2:2" x14ac:dyDescent="0.45">
      <c r="B340">
        <v>29</v>
      </c>
    </row>
    <row r="341" spans="2:2" x14ac:dyDescent="0.45">
      <c r="B341">
        <v>9</v>
      </c>
    </row>
    <row r="342" spans="2:2" x14ac:dyDescent="0.45">
      <c r="B342">
        <v>2</v>
      </c>
    </row>
    <row r="343" spans="2:2" x14ac:dyDescent="0.45">
      <c r="B343">
        <v>9</v>
      </c>
    </row>
    <row r="344" spans="2:2" x14ac:dyDescent="0.45">
      <c r="B344">
        <v>141</v>
      </c>
    </row>
    <row r="345" spans="2:2" x14ac:dyDescent="0.45">
      <c r="B345">
        <v>424</v>
      </c>
    </row>
    <row r="346" spans="2:2" x14ac:dyDescent="0.45">
      <c r="B346">
        <v>575</v>
      </c>
    </row>
    <row r="347" spans="2:2" x14ac:dyDescent="0.45">
      <c r="B347">
        <v>462</v>
      </c>
    </row>
    <row r="348" spans="2:2" x14ac:dyDescent="0.45">
      <c r="B348">
        <v>234</v>
      </c>
    </row>
    <row r="349" spans="2:2" x14ac:dyDescent="0.45">
      <c r="B349">
        <v>106</v>
      </c>
    </row>
    <row r="350" spans="2:2" x14ac:dyDescent="0.45">
      <c r="B350">
        <v>33</v>
      </c>
    </row>
    <row r="351" spans="2:2" x14ac:dyDescent="0.45">
      <c r="B351">
        <v>11</v>
      </c>
    </row>
    <row r="352" spans="2:2" x14ac:dyDescent="0.45">
      <c r="B352">
        <v>5</v>
      </c>
    </row>
    <row r="353" spans="2:2" x14ac:dyDescent="0.45">
      <c r="B353">
        <v>5</v>
      </c>
    </row>
    <row r="354" spans="2:2" x14ac:dyDescent="0.45">
      <c r="B354">
        <v>98</v>
      </c>
    </row>
    <row r="355" spans="2:2" x14ac:dyDescent="0.45">
      <c r="B355">
        <v>394</v>
      </c>
    </row>
    <row r="356" spans="2:2" x14ac:dyDescent="0.45">
      <c r="B356">
        <v>568</v>
      </c>
    </row>
    <row r="357" spans="2:2" x14ac:dyDescent="0.45">
      <c r="B357">
        <v>467</v>
      </c>
    </row>
    <row r="358" spans="2:2" x14ac:dyDescent="0.45">
      <c r="B358">
        <v>293</v>
      </c>
    </row>
    <row r="359" spans="2:2" x14ac:dyDescent="0.45">
      <c r="B359">
        <v>115</v>
      </c>
    </row>
    <row r="360" spans="2:2" x14ac:dyDescent="0.45">
      <c r="B360">
        <v>40</v>
      </c>
    </row>
    <row r="361" spans="2:2" x14ac:dyDescent="0.45">
      <c r="B361">
        <v>15</v>
      </c>
    </row>
    <row r="362" spans="2:2" x14ac:dyDescent="0.45">
      <c r="B362">
        <v>5</v>
      </c>
    </row>
    <row r="363" spans="2:2" x14ac:dyDescent="0.45">
      <c r="B363">
        <v>9</v>
      </c>
    </row>
    <row r="364" spans="2:2" x14ac:dyDescent="0.45">
      <c r="B364">
        <v>129</v>
      </c>
    </row>
    <row r="365" spans="2:2" x14ac:dyDescent="0.45">
      <c r="B365">
        <v>442</v>
      </c>
    </row>
    <row r="366" spans="2:2" x14ac:dyDescent="0.45">
      <c r="B366">
        <v>572</v>
      </c>
    </row>
    <row r="367" spans="2:2" x14ac:dyDescent="0.45">
      <c r="B367">
        <v>435</v>
      </c>
    </row>
    <row r="368" spans="2:2" x14ac:dyDescent="0.45">
      <c r="B368">
        <v>267</v>
      </c>
    </row>
    <row r="369" spans="2:2" x14ac:dyDescent="0.45">
      <c r="B369">
        <v>94</v>
      </c>
    </row>
    <row r="370" spans="2:2" x14ac:dyDescent="0.45">
      <c r="B370">
        <v>36</v>
      </c>
    </row>
    <row r="371" spans="2:2" x14ac:dyDescent="0.45">
      <c r="B371">
        <v>12</v>
      </c>
    </row>
    <row r="372" spans="2:2" x14ac:dyDescent="0.45">
      <c r="B372">
        <v>4</v>
      </c>
    </row>
    <row r="373" spans="2:2" x14ac:dyDescent="0.45">
      <c r="B373">
        <v>15</v>
      </c>
    </row>
    <row r="374" spans="2:2" x14ac:dyDescent="0.45">
      <c r="B374">
        <v>143</v>
      </c>
    </row>
    <row r="375" spans="2:2" x14ac:dyDescent="0.45">
      <c r="B375">
        <v>463</v>
      </c>
    </row>
    <row r="376" spans="2:2" x14ac:dyDescent="0.45">
      <c r="B376">
        <v>568</v>
      </c>
    </row>
    <row r="377" spans="2:2" x14ac:dyDescent="0.45">
      <c r="B377">
        <v>428</v>
      </c>
    </row>
    <row r="378" spans="2:2" x14ac:dyDescent="0.45">
      <c r="B378">
        <v>242</v>
      </c>
    </row>
    <row r="379" spans="2:2" x14ac:dyDescent="0.45">
      <c r="B379">
        <v>95</v>
      </c>
    </row>
    <row r="380" spans="2:2" x14ac:dyDescent="0.45">
      <c r="B380">
        <v>33</v>
      </c>
    </row>
    <row r="381" spans="2:2" x14ac:dyDescent="0.45">
      <c r="B381">
        <v>10</v>
      </c>
    </row>
    <row r="382" spans="2:2" x14ac:dyDescent="0.45">
      <c r="B382">
        <v>3</v>
      </c>
    </row>
    <row r="383" spans="2:2" x14ac:dyDescent="0.45">
      <c r="B383">
        <v>15</v>
      </c>
    </row>
    <row r="384" spans="2:2" x14ac:dyDescent="0.45">
      <c r="B384">
        <v>139</v>
      </c>
    </row>
    <row r="385" spans="2:2" x14ac:dyDescent="0.45">
      <c r="B385">
        <v>453</v>
      </c>
    </row>
    <row r="386" spans="2:2" x14ac:dyDescent="0.45">
      <c r="B386">
        <v>557</v>
      </c>
    </row>
    <row r="387" spans="2:2" x14ac:dyDescent="0.45">
      <c r="B387">
        <v>438</v>
      </c>
    </row>
    <row r="388" spans="2:2" x14ac:dyDescent="0.45">
      <c r="B388">
        <v>252</v>
      </c>
    </row>
    <row r="389" spans="2:2" x14ac:dyDescent="0.45">
      <c r="B389">
        <v>99</v>
      </c>
    </row>
    <row r="390" spans="2:2" x14ac:dyDescent="0.45">
      <c r="B390">
        <v>26</v>
      </c>
    </row>
    <row r="391" spans="2:2" x14ac:dyDescent="0.45">
      <c r="B391">
        <v>16</v>
      </c>
    </row>
    <row r="392" spans="2:2" x14ac:dyDescent="0.45">
      <c r="B392">
        <v>5</v>
      </c>
    </row>
    <row r="393" spans="2:2" x14ac:dyDescent="0.45">
      <c r="B393">
        <v>15</v>
      </c>
    </row>
    <row r="394" spans="2:2" x14ac:dyDescent="0.45">
      <c r="B394">
        <v>143</v>
      </c>
    </row>
    <row r="395" spans="2:2" x14ac:dyDescent="0.45">
      <c r="B395">
        <v>478</v>
      </c>
    </row>
    <row r="396" spans="2:2" x14ac:dyDescent="0.45">
      <c r="B396">
        <v>580</v>
      </c>
    </row>
    <row r="397" spans="2:2" x14ac:dyDescent="0.45">
      <c r="B397">
        <v>438</v>
      </c>
    </row>
    <row r="398" spans="2:2" x14ac:dyDescent="0.45">
      <c r="B398">
        <v>225</v>
      </c>
    </row>
    <row r="399" spans="2:2" x14ac:dyDescent="0.45">
      <c r="B399">
        <v>77</v>
      </c>
    </row>
    <row r="400" spans="2:2" x14ac:dyDescent="0.45">
      <c r="B400">
        <v>30</v>
      </c>
    </row>
    <row r="401" spans="2:2" x14ac:dyDescent="0.45">
      <c r="B401">
        <v>12</v>
      </c>
    </row>
    <row r="402" spans="2:2" x14ac:dyDescent="0.45">
      <c r="B402">
        <v>2</v>
      </c>
    </row>
    <row r="403" spans="2:2" x14ac:dyDescent="0.45">
      <c r="B403">
        <v>20</v>
      </c>
    </row>
    <row r="404" spans="2:2" x14ac:dyDescent="0.45">
      <c r="B404">
        <v>184</v>
      </c>
    </row>
    <row r="405" spans="2:2" x14ac:dyDescent="0.45">
      <c r="B405">
        <v>492</v>
      </c>
    </row>
    <row r="406" spans="2:2" x14ac:dyDescent="0.45">
      <c r="B406">
        <v>577</v>
      </c>
    </row>
    <row r="407" spans="2:2" x14ac:dyDescent="0.45">
      <c r="B407">
        <v>416</v>
      </c>
    </row>
    <row r="408" spans="2:2" x14ac:dyDescent="0.45">
      <c r="B408">
        <v>199</v>
      </c>
    </row>
    <row r="409" spans="2:2" x14ac:dyDescent="0.45">
      <c r="B409">
        <v>80</v>
      </c>
    </row>
    <row r="410" spans="2:2" x14ac:dyDescent="0.45">
      <c r="B410">
        <v>23</v>
      </c>
    </row>
    <row r="411" spans="2:2" x14ac:dyDescent="0.45">
      <c r="B411">
        <v>6</v>
      </c>
    </row>
    <row r="412" spans="2:2" x14ac:dyDescent="0.45">
      <c r="B412">
        <v>3</v>
      </c>
    </row>
    <row r="413" spans="2:2" x14ac:dyDescent="0.45">
      <c r="B413">
        <v>16</v>
      </c>
    </row>
    <row r="414" spans="2:2" x14ac:dyDescent="0.45">
      <c r="B414">
        <v>160</v>
      </c>
    </row>
    <row r="415" spans="2:2" x14ac:dyDescent="0.45">
      <c r="B415">
        <v>484</v>
      </c>
    </row>
    <row r="416" spans="2:2" x14ac:dyDescent="0.45">
      <c r="B416">
        <v>551</v>
      </c>
    </row>
    <row r="417" spans="2:2" x14ac:dyDescent="0.45">
      <c r="B417">
        <v>415</v>
      </c>
    </row>
    <row r="418" spans="2:2" x14ac:dyDescent="0.45">
      <c r="B418">
        <v>242</v>
      </c>
    </row>
    <row r="419" spans="2:2" x14ac:dyDescent="0.45">
      <c r="B419">
        <v>94</v>
      </c>
    </row>
    <row r="420" spans="2:2" x14ac:dyDescent="0.45">
      <c r="B420">
        <v>27</v>
      </c>
    </row>
    <row r="421" spans="2:2" x14ac:dyDescent="0.45">
      <c r="B421">
        <v>8</v>
      </c>
    </row>
    <row r="422" spans="2:2" x14ac:dyDescent="0.45">
      <c r="B422">
        <v>3</v>
      </c>
    </row>
    <row r="423" spans="2:2" x14ac:dyDescent="0.45">
      <c r="B423">
        <v>23</v>
      </c>
    </row>
    <row r="424" spans="2:2" x14ac:dyDescent="0.45">
      <c r="B424">
        <v>194</v>
      </c>
    </row>
    <row r="425" spans="2:2" x14ac:dyDescent="0.45">
      <c r="B425">
        <v>498</v>
      </c>
    </row>
    <row r="426" spans="2:2" x14ac:dyDescent="0.45">
      <c r="B426">
        <v>524</v>
      </c>
    </row>
    <row r="427" spans="2:2" x14ac:dyDescent="0.45">
      <c r="B427">
        <v>398</v>
      </c>
    </row>
    <row r="428" spans="2:2" x14ac:dyDescent="0.45">
      <c r="B428">
        <v>224</v>
      </c>
    </row>
    <row r="429" spans="2:2" x14ac:dyDescent="0.45">
      <c r="B429">
        <v>96</v>
      </c>
    </row>
    <row r="430" spans="2:2" x14ac:dyDescent="0.45">
      <c r="B430">
        <v>30</v>
      </c>
    </row>
    <row r="431" spans="2:2" x14ac:dyDescent="0.45">
      <c r="B431">
        <v>8</v>
      </c>
    </row>
    <row r="432" spans="2:2" x14ac:dyDescent="0.45">
      <c r="B432">
        <v>5</v>
      </c>
    </row>
    <row r="433" spans="2:2" x14ac:dyDescent="0.45">
      <c r="B433">
        <v>15</v>
      </c>
    </row>
    <row r="434" spans="2:2" x14ac:dyDescent="0.45">
      <c r="B434">
        <v>177</v>
      </c>
    </row>
    <row r="435" spans="2:2" x14ac:dyDescent="0.45">
      <c r="B435">
        <v>491</v>
      </c>
    </row>
    <row r="436" spans="2:2" x14ac:dyDescent="0.45">
      <c r="B436">
        <v>547</v>
      </c>
    </row>
    <row r="437" spans="2:2" x14ac:dyDescent="0.45">
      <c r="B437">
        <v>415</v>
      </c>
    </row>
    <row r="438" spans="2:2" x14ac:dyDescent="0.45">
      <c r="B438">
        <v>207</v>
      </c>
    </row>
    <row r="439" spans="2:2" x14ac:dyDescent="0.45">
      <c r="B439">
        <v>103</v>
      </c>
    </row>
    <row r="440" spans="2:2" x14ac:dyDescent="0.45">
      <c r="B440">
        <v>33</v>
      </c>
    </row>
    <row r="441" spans="2:2" x14ac:dyDescent="0.45">
      <c r="B441">
        <v>7</v>
      </c>
    </row>
    <row r="442" spans="2:2" x14ac:dyDescent="0.45">
      <c r="B442">
        <v>5</v>
      </c>
    </row>
    <row r="443" spans="2:2" x14ac:dyDescent="0.45">
      <c r="B443">
        <v>17</v>
      </c>
    </row>
    <row r="444" spans="2:2" x14ac:dyDescent="0.45">
      <c r="B444">
        <v>176</v>
      </c>
    </row>
    <row r="445" spans="2:2" x14ac:dyDescent="0.45">
      <c r="B445">
        <v>495</v>
      </c>
    </row>
    <row r="446" spans="2:2" x14ac:dyDescent="0.45">
      <c r="B446">
        <v>537</v>
      </c>
    </row>
    <row r="447" spans="2:2" x14ac:dyDescent="0.45">
      <c r="B447">
        <v>407</v>
      </c>
    </row>
    <row r="448" spans="2:2" x14ac:dyDescent="0.45">
      <c r="B448">
        <v>217</v>
      </c>
    </row>
    <row r="449" spans="2:2" x14ac:dyDescent="0.45">
      <c r="B449">
        <v>99</v>
      </c>
    </row>
    <row r="450" spans="2:2" x14ac:dyDescent="0.45">
      <c r="B450">
        <v>40</v>
      </c>
    </row>
    <row r="451" spans="2:2" x14ac:dyDescent="0.45">
      <c r="B451">
        <v>6</v>
      </c>
    </row>
    <row r="452" spans="2:2" x14ac:dyDescent="0.45">
      <c r="B452">
        <v>6</v>
      </c>
    </row>
    <row r="453" spans="2:2" x14ac:dyDescent="0.45">
      <c r="B453">
        <v>11</v>
      </c>
    </row>
    <row r="454" spans="2:2" x14ac:dyDescent="0.45">
      <c r="B454">
        <v>165</v>
      </c>
    </row>
    <row r="455" spans="2:2" x14ac:dyDescent="0.45">
      <c r="B455">
        <v>472</v>
      </c>
    </row>
    <row r="456" spans="2:2" x14ac:dyDescent="0.45">
      <c r="B456">
        <v>552</v>
      </c>
    </row>
    <row r="457" spans="2:2" x14ac:dyDescent="0.45">
      <c r="B457">
        <v>401</v>
      </c>
    </row>
    <row r="458" spans="2:2" x14ac:dyDescent="0.45">
      <c r="B458">
        <v>247</v>
      </c>
    </row>
    <row r="459" spans="2:2" x14ac:dyDescent="0.45">
      <c r="B459">
        <v>100</v>
      </c>
    </row>
    <row r="460" spans="2:2" x14ac:dyDescent="0.45">
      <c r="B460">
        <v>34</v>
      </c>
    </row>
    <row r="461" spans="2:2" x14ac:dyDescent="0.45">
      <c r="B461">
        <v>12</v>
      </c>
    </row>
    <row r="462" spans="2:2" x14ac:dyDescent="0.45">
      <c r="B462">
        <v>6</v>
      </c>
    </row>
    <row r="463" spans="2:2" x14ac:dyDescent="0.45">
      <c r="B463">
        <v>14</v>
      </c>
    </row>
    <row r="464" spans="2:2" x14ac:dyDescent="0.45">
      <c r="B464">
        <v>189</v>
      </c>
    </row>
    <row r="465" spans="2:2" x14ac:dyDescent="0.45">
      <c r="B465">
        <v>513</v>
      </c>
    </row>
    <row r="466" spans="2:2" x14ac:dyDescent="0.45">
      <c r="B466">
        <v>548</v>
      </c>
    </row>
    <row r="467" spans="2:2" x14ac:dyDescent="0.45">
      <c r="B467">
        <v>395</v>
      </c>
    </row>
    <row r="468" spans="2:2" x14ac:dyDescent="0.45">
      <c r="B468">
        <v>216</v>
      </c>
    </row>
    <row r="469" spans="2:2" x14ac:dyDescent="0.45">
      <c r="B469">
        <v>82</v>
      </c>
    </row>
    <row r="470" spans="2:2" x14ac:dyDescent="0.45">
      <c r="B470">
        <v>31</v>
      </c>
    </row>
    <row r="471" spans="2:2" x14ac:dyDescent="0.45">
      <c r="B471">
        <v>6</v>
      </c>
    </row>
    <row r="472" spans="2:2" x14ac:dyDescent="0.45">
      <c r="B472">
        <v>6</v>
      </c>
    </row>
    <row r="473" spans="2:2" x14ac:dyDescent="0.45">
      <c r="B473">
        <v>15</v>
      </c>
    </row>
    <row r="474" spans="2:2" x14ac:dyDescent="0.45">
      <c r="B474">
        <v>195</v>
      </c>
    </row>
    <row r="475" spans="2:2" x14ac:dyDescent="0.45">
      <c r="B475">
        <v>506</v>
      </c>
    </row>
    <row r="476" spans="2:2" x14ac:dyDescent="0.45">
      <c r="B476">
        <v>571</v>
      </c>
    </row>
    <row r="477" spans="2:2" x14ac:dyDescent="0.45">
      <c r="B477">
        <v>383</v>
      </c>
    </row>
    <row r="478" spans="2:2" x14ac:dyDescent="0.45">
      <c r="B478">
        <v>212</v>
      </c>
    </row>
    <row r="479" spans="2:2" x14ac:dyDescent="0.45">
      <c r="B479">
        <v>76</v>
      </c>
    </row>
    <row r="480" spans="2:2" x14ac:dyDescent="0.45">
      <c r="B480">
        <v>31</v>
      </c>
    </row>
    <row r="481" spans="2:2" x14ac:dyDescent="0.45">
      <c r="B481">
        <v>7</v>
      </c>
    </row>
    <row r="482" spans="2:2" x14ac:dyDescent="0.45">
      <c r="B482">
        <v>4</v>
      </c>
    </row>
    <row r="483" spans="2:2" x14ac:dyDescent="0.45">
      <c r="B483">
        <v>23</v>
      </c>
    </row>
    <row r="484" spans="2:2" x14ac:dyDescent="0.45">
      <c r="B484">
        <v>219</v>
      </c>
    </row>
    <row r="485" spans="2:2" x14ac:dyDescent="0.45">
      <c r="B485">
        <v>562</v>
      </c>
    </row>
    <row r="486" spans="2:2" x14ac:dyDescent="0.45">
      <c r="B486">
        <v>550</v>
      </c>
    </row>
    <row r="487" spans="2:2" x14ac:dyDescent="0.45">
      <c r="B487">
        <v>368</v>
      </c>
    </row>
    <row r="488" spans="2:2" x14ac:dyDescent="0.45">
      <c r="B488">
        <v>187</v>
      </c>
    </row>
    <row r="489" spans="2:2" x14ac:dyDescent="0.45">
      <c r="B489">
        <v>61</v>
      </c>
    </row>
    <row r="490" spans="2:2" x14ac:dyDescent="0.45">
      <c r="B490">
        <v>23</v>
      </c>
    </row>
    <row r="491" spans="2:2" x14ac:dyDescent="0.45">
      <c r="B491">
        <v>4</v>
      </c>
    </row>
    <row r="492" spans="2:2" x14ac:dyDescent="0.45">
      <c r="B492">
        <v>3</v>
      </c>
    </row>
    <row r="493" spans="2:2" x14ac:dyDescent="0.45">
      <c r="B493">
        <v>24</v>
      </c>
    </row>
    <row r="494" spans="2:2" x14ac:dyDescent="0.45">
      <c r="B494">
        <v>235</v>
      </c>
    </row>
    <row r="495" spans="2:2" x14ac:dyDescent="0.45">
      <c r="B495">
        <v>589</v>
      </c>
    </row>
    <row r="496" spans="2:2" x14ac:dyDescent="0.45">
      <c r="B496">
        <v>531</v>
      </c>
    </row>
    <row r="497" spans="2:2" x14ac:dyDescent="0.45">
      <c r="B497">
        <v>360</v>
      </c>
    </row>
    <row r="498" spans="2:2" x14ac:dyDescent="0.45">
      <c r="B498">
        <v>172</v>
      </c>
    </row>
    <row r="499" spans="2:2" x14ac:dyDescent="0.45">
      <c r="B499">
        <v>61</v>
      </c>
    </row>
    <row r="500" spans="2:2" x14ac:dyDescent="0.45">
      <c r="B500">
        <v>23</v>
      </c>
    </row>
    <row r="501" spans="2:2" x14ac:dyDescent="0.45">
      <c r="B501">
        <v>3</v>
      </c>
    </row>
    <row r="502" spans="2:2" x14ac:dyDescent="0.45">
      <c r="B502">
        <v>2</v>
      </c>
    </row>
    <row r="503" spans="2:2" x14ac:dyDescent="0.45">
      <c r="B503">
        <v>29</v>
      </c>
    </row>
    <row r="504" spans="2:2" x14ac:dyDescent="0.45">
      <c r="B504">
        <v>244</v>
      </c>
    </row>
    <row r="505" spans="2:2" x14ac:dyDescent="0.45">
      <c r="B505">
        <v>572</v>
      </c>
    </row>
    <row r="506" spans="2:2" x14ac:dyDescent="0.45">
      <c r="B506">
        <v>541</v>
      </c>
    </row>
    <row r="507" spans="2:2" x14ac:dyDescent="0.45">
      <c r="B507">
        <v>357</v>
      </c>
    </row>
    <row r="508" spans="2:2" x14ac:dyDescent="0.45">
      <c r="B508">
        <v>168</v>
      </c>
    </row>
    <row r="509" spans="2:2" x14ac:dyDescent="0.45">
      <c r="B509">
        <v>62</v>
      </c>
    </row>
    <row r="510" spans="2:2" x14ac:dyDescent="0.45">
      <c r="B510">
        <v>22</v>
      </c>
    </row>
    <row r="511" spans="2:2" x14ac:dyDescent="0.45">
      <c r="B511">
        <v>3</v>
      </c>
    </row>
    <row r="512" spans="2:2" x14ac:dyDescent="0.45">
      <c r="B512">
        <v>2</v>
      </c>
    </row>
    <row r="513" spans="2:2" x14ac:dyDescent="0.45">
      <c r="B513">
        <v>28</v>
      </c>
    </row>
    <row r="514" spans="2:2" x14ac:dyDescent="0.45">
      <c r="B514">
        <v>266</v>
      </c>
    </row>
    <row r="515" spans="2:2" x14ac:dyDescent="0.45">
      <c r="B515">
        <v>582</v>
      </c>
    </row>
    <row r="516" spans="2:2" x14ac:dyDescent="0.45">
      <c r="B516">
        <v>550</v>
      </c>
    </row>
    <row r="517" spans="2:2" x14ac:dyDescent="0.45">
      <c r="B517">
        <v>334</v>
      </c>
    </row>
    <row r="518" spans="2:2" x14ac:dyDescent="0.45">
      <c r="B518">
        <v>162</v>
      </c>
    </row>
    <row r="519" spans="2:2" x14ac:dyDescent="0.45">
      <c r="B519">
        <v>53</v>
      </c>
    </row>
    <row r="520" spans="2:2" x14ac:dyDescent="0.45">
      <c r="B520">
        <v>21</v>
      </c>
    </row>
    <row r="521" spans="2:2" x14ac:dyDescent="0.45">
      <c r="B521">
        <v>1</v>
      </c>
    </row>
    <row r="522" spans="2:2" x14ac:dyDescent="0.45">
      <c r="B522">
        <v>3</v>
      </c>
    </row>
    <row r="523" spans="2:2" x14ac:dyDescent="0.45">
      <c r="B523">
        <v>24</v>
      </c>
    </row>
    <row r="524" spans="2:2" x14ac:dyDescent="0.45">
      <c r="B524">
        <v>242</v>
      </c>
    </row>
    <row r="525" spans="2:2" x14ac:dyDescent="0.45">
      <c r="B525">
        <v>582</v>
      </c>
    </row>
    <row r="526" spans="2:2" x14ac:dyDescent="0.45">
      <c r="B526">
        <v>552</v>
      </c>
    </row>
    <row r="527" spans="2:2" x14ac:dyDescent="0.45">
      <c r="B527">
        <v>334</v>
      </c>
    </row>
    <row r="528" spans="2:2" x14ac:dyDescent="0.45">
      <c r="B528">
        <v>176</v>
      </c>
    </row>
    <row r="529" spans="2:2" x14ac:dyDescent="0.45">
      <c r="B529">
        <v>59</v>
      </c>
    </row>
    <row r="530" spans="2:2" x14ac:dyDescent="0.45">
      <c r="B530">
        <v>27</v>
      </c>
    </row>
    <row r="531" spans="2:2" x14ac:dyDescent="0.45">
      <c r="B531">
        <v>1</v>
      </c>
    </row>
    <row r="532" spans="2:2" x14ac:dyDescent="0.45">
      <c r="B532">
        <v>3</v>
      </c>
    </row>
    <row r="533" spans="2:2" x14ac:dyDescent="0.45">
      <c r="B533">
        <v>16</v>
      </c>
    </row>
    <row r="534" spans="2:2" x14ac:dyDescent="0.45">
      <c r="B534">
        <v>210</v>
      </c>
    </row>
    <row r="535" spans="2:2" x14ac:dyDescent="0.45">
      <c r="B535">
        <v>567</v>
      </c>
    </row>
    <row r="536" spans="2:2" x14ac:dyDescent="0.45">
      <c r="B536">
        <v>539</v>
      </c>
    </row>
    <row r="537" spans="2:2" x14ac:dyDescent="0.45">
      <c r="B537">
        <v>368</v>
      </c>
    </row>
    <row r="538" spans="2:2" x14ac:dyDescent="0.45">
      <c r="B538">
        <v>189</v>
      </c>
    </row>
    <row r="539" spans="2:2" x14ac:dyDescent="0.45">
      <c r="B539">
        <v>73</v>
      </c>
    </row>
    <row r="540" spans="2:2" x14ac:dyDescent="0.45">
      <c r="B540">
        <v>28</v>
      </c>
    </row>
    <row r="541" spans="2:2" x14ac:dyDescent="0.45">
      <c r="B541">
        <v>7</v>
      </c>
    </row>
    <row r="542" spans="2:2" x14ac:dyDescent="0.45">
      <c r="B542">
        <v>3</v>
      </c>
    </row>
    <row r="543" spans="2:2" x14ac:dyDescent="0.45">
      <c r="B543">
        <v>17</v>
      </c>
    </row>
    <row r="544" spans="2:2" x14ac:dyDescent="0.45">
      <c r="B544">
        <v>237</v>
      </c>
    </row>
    <row r="545" spans="2:2" x14ac:dyDescent="0.45">
      <c r="B545">
        <v>569</v>
      </c>
    </row>
    <row r="546" spans="2:2" x14ac:dyDescent="0.45">
      <c r="B546">
        <v>548</v>
      </c>
    </row>
    <row r="547" spans="2:2" x14ac:dyDescent="0.45">
      <c r="B547">
        <v>354</v>
      </c>
    </row>
    <row r="548" spans="2:2" x14ac:dyDescent="0.45">
      <c r="B548">
        <v>176</v>
      </c>
    </row>
    <row r="549" spans="2:2" x14ac:dyDescent="0.45">
      <c r="B549">
        <v>67</v>
      </c>
    </row>
    <row r="550" spans="2:2" x14ac:dyDescent="0.45">
      <c r="B550">
        <v>22</v>
      </c>
    </row>
    <row r="551" spans="2:2" x14ac:dyDescent="0.45">
      <c r="B551">
        <v>8</v>
      </c>
    </row>
    <row r="552" spans="2:2" x14ac:dyDescent="0.45">
      <c r="B552">
        <v>2</v>
      </c>
    </row>
    <row r="553" spans="2:2" x14ac:dyDescent="0.45">
      <c r="B553">
        <v>17</v>
      </c>
    </row>
    <row r="554" spans="2:2" x14ac:dyDescent="0.45">
      <c r="B554">
        <v>231</v>
      </c>
    </row>
    <row r="555" spans="2:2" x14ac:dyDescent="0.45">
      <c r="B555">
        <v>540</v>
      </c>
    </row>
    <row r="556" spans="2:2" x14ac:dyDescent="0.45">
      <c r="B556">
        <v>534</v>
      </c>
    </row>
    <row r="557" spans="2:2" x14ac:dyDescent="0.45">
      <c r="B557">
        <v>371</v>
      </c>
    </row>
    <row r="558" spans="2:2" x14ac:dyDescent="0.45">
      <c r="B558">
        <v>189</v>
      </c>
    </row>
    <row r="559" spans="2:2" x14ac:dyDescent="0.45">
      <c r="B559">
        <v>74</v>
      </c>
    </row>
    <row r="560" spans="2:2" x14ac:dyDescent="0.45">
      <c r="B560">
        <v>31</v>
      </c>
    </row>
    <row r="561" spans="2:2" x14ac:dyDescent="0.45">
      <c r="B561">
        <v>10</v>
      </c>
    </row>
    <row r="562" spans="2:2" x14ac:dyDescent="0.45">
      <c r="B562">
        <v>3</v>
      </c>
    </row>
    <row r="563" spans="2:2" x14ac:dyDescent="0.45">
      <c r="B563">
        <v>23</v>
      </c>
    </row>
    <row r="564" spans="2:2" x14ac:dyDescent="0.45">
      <c r="B564">
        <v>262</v>
      </c>
    </row>
    <row r="565" spans="2:2" x14ac:dyDescent="0.45">
      <c r="B565">
        <v>516</v>
      </c>
    </row>
    <row r="566" spans="2:2" x14ac:dyDescent="0.45">
      <c r="B566">
        <v>544</v>
      </c>
    </row>
    <row r="567" spans="2:2" x14ac:dyDescent="0.45">
      <c r="B567">
        <v>348</v>
      </c>
    </row>
    <row r="568" spans="2:2" x14ac:dyDescent="0.45">
      <c r="B568">
        <v>184</v>
      </c>
    </row>
    <row r="569" spans="2:2" x14ac:dyDescent="0.45">
      <c r="B569">
        <v>80</v>
      </c>
    </row>
    <row r="570" spans="2:2" x14ac:dyDescent="0.45">
      <c r="B570">
        <v>29</v>
      </c>
    </row>
    <row r="571" spans="2:2" x14ac:dyDescent="0.45">
      <c r="B571">
        <v>9</v>
      </c>
    </row>
    <row r="572" spans="2:2" x14ac:dyDescent="0.45">
      <c r="B572">
        <v>5</v>
      </c>
    </row>
    <row r="573" spans="2:2" x14ac:dyDescent="0.45">
      <c r="B573">
        <v>18</v>
      </c>
    </row>
    <row r="574" spans="2:2" x14ac:dyDescent="0.45">
      <c r="B574">
        <v>245</v>
      </c>
    </row>
    <row r="575" spans="2:2" x14ac:dyDescent="0.45">
      <c r="B575">
        <v>519</v>
      </c>
    </row>
    <row r="576" spans="2:2" x14ac:dyDescent="0.45">
      <c r="B576">
        <v>544</v>
      </c>
    </row>
    <row r="577" spans="2:2" x14ac:dyDescent="0.45">
      <c r="B577">
        <v>360</v>
      </c>
    </row>
    <row r="578" spans="2:2" x14ac:dyDescent="0.45">
      <c r="B578">
        <v>196</v>
      </c>
    </row>
    <row r="579" spans="2:2" x14ac:dyDescent="0.45">
      <c r="B579">
        <v>71</v>
      </c>
    </row>
    <row r="580" spans="2:2" x14ac:dyDescent="0.45">
      <c r="B580">
        <v>34</v>
      </c>
    </row>
    <row r="581" spans="2:2" x14ac:dyDescent="0.45">
      <c r="B581">
        <v>9</v>
      </c>
    </row>
    <row r="582" spans="2:2" x14ac:dyDescent="0.45">
      <c r="B582">
        <v>4</v>
      </c>
    </row>
    <row r="583" spans="2:2" x14ac:dyDescent="0.45">
      <c r="B583">
        <v>22</v>
      </c>
    </row>
    <row r="584" spans="2:2" x14ac:dyDescent="0.45">
      <c r="B584">
        <v>268</v>
      </c>
    </row>
    <row r="585" spans="2:2" x14ac:dyDescent="0.45">
      <c r="B585">
        <v>533</v>
      </c>
    </row>
    <row r="586" spans="2:2" x14ac:dyDescent="0.45">
      <c r="B586">
        <v>536</v>
      </c>
    </row>
    <row r="587" spans="2:2" x14ac:dyDescent="0.45">
      <c r="B587">
        <v>342</v>
      </c>
    </row>
    <row r="588" spans="2:2" x14ac:dyDescent="0.45">
      <c r="B588">
        <v>190</v>
      </c>
    </row>
    <row r="589" spans="2:2" x14ac:dyDescent="0.45">
      <c r="B589">
        <v>73</v>
      </c>
    </row>
    <row r="590" spans="2:2" x14ac:dyDescent="0.45">
      <c r="B590">
        <v>23</v>
      </c>
    </row>
    <row r="591" spans="2:2" x14ac:dyDescent="0.45">
      <c r="B591">
        <v>7</v>
      </c>
    </row>
    <row r="592" spans="2:2" x14ac:dyDescent="0.45">
      <c r="B592">
        <v>6</v>
      </c>
    </row>
    <row r="593" spans="2:2" x14ac:dyDescent="0.45">
      <c r="B593">
        <v>26</v>
      </c>
    </row>
    <row r="594" spans="2:2" x14ac:dyDescent="0.45">
      <c r="B594">
        <v>254</v>
      </c>
    </row>
    <row r="595" spans="2:2" x14ac:dyDescent="0.45">
      <c r="B595">
        <v>528</v>
      </c>
    </row>
    <row r="596" spans="2:2" x14ac:dyDescent="0.45">
      <c r="B596">
        <v>521</v>
      </c>
    </row>
    <row r="597" spans="2:2" x14ac:dyDescent="0.45">
      <c r="B597">
        <v>339</v>
      </c>
    </row>
    <row r="598" spans="2:2" x14ac:dyDescent="0.45">
      <c r="B598">
        <v>205</v>
      </c>
    </row>
    <row r="599" spans="2:2" x14ac:dyDescent="0.45">
      <c r="B599">
        <v>77</v>
      </c>
    </row>
    <row r="600" spans="2:2" x14ac:dyDescent="0.45">
      <c r="B600">
        <v>34</v>
      </c>
    </row>
    <row r="601" spans="2:2" x14ac:dyDescent="0.45">
      <c r="B601">
        <v>12</v>
      </c>
    </row>
    <row r="602" spans="2:2" x14ac:dyDescent="0.45">
      <c r="B602">
        <v>4</v>
      </c>
    </row>
    <row r="603" spans="2:2" x14ac:dyDescent="0.45">
      <c r="B603">
        <v>0</v>
      </c>
    </row>
    <row r="604" spans="2:2" x14ac:dyDescent="0.45">
      <c r="B604">
        <v>0</v>
      </c>
    </row>
    <row r="605" spans="2:2" x14ac:dyDescent="0.45">
      <c r="B605">
        <v>0</v>
      </c>
    </row>
    <row r="606" spans="2:2" x14ac:dyDescent="0.45">
      <c r="B606">
        <v>0</v>
      </c>
    </row>
    <row r="607" spans="2:2" x14ac:dyDescent="0.45">
      <c r="B607">
        <v>0</v>
      </c>
    </row>
    <row r="608" spans="2:2" x14ac:dyDescent="0.45">
      <c r="B608">
        <v>2000</v>
      </c>
    </row>
    <row r="609" spans="2:2" x14ac:dyDescent="0.45">
      <c r="B609">
        <v>0</v>
      </c>
    </row>
    <row r="610" spans="2:2" x14ac:dyDescent="0.45">
      <c r="B610">
        <v>0</v>
      </c>
    </row>
    <row r="611" spans="2:2" x14ac:dyDescent="0.45">
      <c r="B611">
        <v>0</v>
      </c>
    </row>
    <row r="612" spans="2:2" x14ac:dyDescent="0.45">
      <c r="B612">
        <v>0</v>
      </c>
    </row>
    <row r="613" spans="2:2" x14ac:dyDescent="0.45">
      <c r="B613">
        <v>90</v>
      </c>
    </row>
    <row r="614" spans="2:2" x14ac:dyDescent="0.45">
      <c r="B614">
        <v>94</v>
      </c>
    </row>
    <row r="615" spans="2:2" x14ac:dyDescent="0.45">
      <c r="B615">
        <v>137</v>
      </c>
    </row>
    <row r="616" spans="2:2" x14ac:dyDescent="0.45">
      <c r="B616">
        <v>126</v>
      </c>
    </row>
    <row r="617" spans="2:2" x14ac:dyDescent="0.45">
      <c r="B617">
        <v>139</v>
      </c>
    </row>
    <row r="618" spans="2:2" x14ac:dyDescent="0.45">
      <c r="B618">
        <v>190</v>
      </c>
    </row>
    <row r="619" spans="2:2" x14ac:dyDescent="0.45">
      <c r="B619">
        <v>267</v>
      </c>
    </row>
    <row r="620" spans="2:2" x14ac:dyDescent="0.45">
      <c r="B620">
        <v>366</v>
      </c>
    </row>
    <row r="621" spans="2:2" x14ac:dyDescent="0.45">
      <c r="B621">
        <v>415</v>
      </c>
    </row>
    <row r="622" spans="2:2" x14ac:dyDescent="0.45">
      <c r="B622">
        <v>176</v>
      </c>
    </row>
    <row r="623" spans="2:2" x14ac:dyDescent="0.45">
      <c r="B623">
        <v>330</v>
      </c>
    </row>
    <row r="624" spans="2:2" x14ac:dyDescent="0.45">
      <c r="B624">
        <v>190</v>
      </c>
    </row>
    <row r="625" spans="2:2" x14ac:dyDescent="0.45">
      <c r="B625">
        <v>166</v>
      </c>
    </row>
    <row r="626" spans="2:2" x14ac:dyDescent="0.45">
      <c r="B626">
        <v>173</v>
      </c>
    </row>
    <row r="627" spans="2:2" x14ac:dyDescent="0.45">
      <c r="B627">
        <v>229</v>
      </c>
    </row>
    <row r="628" spans="2:2" x14ac:dyDescent="0.45">
      <c r="B628">
        <v>216</v>
      </c>
    </row>
    <row r="629" spans="2:2" x14ac:dyDescent="0.45">
      <c r="B629">
        <v>236</v>
      </c>
    </row>
    <row r="630" spans="2:2" x14ac:dyDescent="0.45">
      <c r="B630">
        <v>237</v>
      </c>
    </row>
    <row r="631" spans="2:2" x14ac:dyDescent="0.45">
      <c r="B631">
        <v>160</v>
      </c>
    </row>
    <row r="632" spans="2:2" x14ac:dyDescent="0.45">
      <c r="B632">
        <v>63</v>
      </c>
    </row>
    <row r="633" spans="2:2" x14ac:dyDescent="0.45">
      <c r="B633">
        <v>1232</v>
      </c>
    </row>
    <row r="634" spans="2:2" x14ac:dyDescent="0.45">
      <c r="B634">
        <v>353</v>
      </c>
    </row>
    <row r="635" spans="2:2" x14ac:dyDescent="0.45">
      <c r="B635">
        <v>182</v>
      </c>
    </row>
    <row r="636" spans="2:2" x14ac:dyDescent="0.45">
      <c r="B636">
        <v>115</v>
      </c>
    </row>
    <row r="637" spans="2:2" x14ac:dyDescent="0.45">
      <c r="B637">
        <v>58</v>
      </c>
    </row>
    <row r="638" spans="2:2" x14ac:dyDescent="0.45">
      <c r="B638">
        <v>34</v>
      </c>
    </row>
    <row r="639" spans="2:2" x14ac:dyDescent="0.45">
      <c r="B639">
        <v>13</v>
      </c>
    </row>
    <row r="640" spans="2:2" x14ac:dyDescent="0.45">
      <c r="B640">
        <v>8</v>
      </c>
    </row>
    <row r="641" spans="2:2" x14ac:dyDescent="0.45">
      <c r="B641">
        <v>3</v>
      </c>
    </row>
    <row r="642" spans="2:2" x14ac:dyDescent="0.45">
      <c r="B642">
        <v>2</v>
      </c>
    </row>
    <row r="643" spans="2:2" x14ac:dyDescent="0.45">
      <c r="B643">
        <v>54</v>
      </c>
    </row>
    <row r="644" spans="2:2" x14ac:dyDescent="0.45">
      <c r="B644">
        <v>260</v>
      </c>
    </row>
    <row r="645" spans="2:2" x14ac:dyDescent="0.45">
      <c r="B645">
        <v>0</v>
      </c>
    </row>
    <row r="646" spans="2:2" x14ac:dyDescent="0.45">
      <c r="B646">
        <v>523</v>
      </c>
    </row>
    <row r="647" spans="2:2" x14ac:dyDescent="0.45">
      <c r="B647">
        <v>0</v>
      </c>
    </row>
    <row r="648" spans="2:2" x14ac:dyDescent="0.45">
      <c r="B648">
        <v>677</v>
      </c>
    </row>
    <row r="649" spans="2:2" x14ac:dyDescent="0.45">
      <c r="B649">
        <v>0</v>
      </c>
    </row>
    <row r="650" spans="2:2" x14ac:dyDescent="0.45">
      <c r="B650">
        <v>432</v>
      </c>
    </row>
    <row r="651" spans="2:2" x14ac:dyDescent="0.45">
      <c r="B651">
        <v>0</v>
      </c>
    </row>
    <row r="652" spans="2:2" x14ac:dyDescent="0.45">
      <c r="B652">
        <v>54</v>
      </c>
    </row>
    <row r="653" spans="2:2" x14ac:dyDescent="0.45">
      <c r="B653">
        <v>624</v>
      </c>
    </row>
    <row r="654" spans="2:2" x14ac:dyDescent="0.45">
      <c r="B654">
        <v>276</v>
      </c>
    </row>
    <row r="655" spans="2:2" x14ac:dyDescent="0.45">
      <c r="B655">
        <v>193</v>
      </c>
    </row>
    <row r="656" spans="2:2" x14ac:dyDescent="0.45">
      <c r="B656">
        <v>192</v>
      </c>
    </row>
    <row r="657" spans="2:2" x14ac:dyDescent="0.45">
      <c r="B657">
        <v>170</v>
      </c>
    </row>
    <row r="658" spans="2:2" x14ac:dyDescent="0.45">
      <c r="B658">
        <v>196</v>
      </c>
    </row>
    <row r="659" spans="2:2" x14ac:dyDescent="0.45">
      <c r="B659">
        <v>142</v>
      </c>
    </row>
    <row r="660" spans="2:2" x14ac:dyDescent="0.45">
      <c r="B660">
        <v>110</v>
      </c>
    </row>
    <row r="661" spans="2:2" x14ac:dyDescent="0.45">
      <c r="B661">
        <v>78</v>
      </c>
    </row>
    <row r="662" spans="2:2" x14ac:dyDescent="0.45">
      <c r="B662">
        <v>19</v>
      </c>
    </row>
    <row r="663" spans="2:2" x14ac:dyDescent="0.45">
      <c r="B663">
        <v>1010</v>
      </c>
    </row>
    <row r="664" spans="2:2" x14ac:dyDescent="0.45">
      <c r="B664">
        <v>248</v>
      </c>
    </row>
    <row r="665" spans="2:2" x14ac:dyDescent="0.45">
      <c r="B665">
        <v>187</v>
      </c>
    </row>
    <row r="666" spans="2:2" x14ac:dyDescent="0.45">
      <c r="B666">
        <v>178</v>
      </c>
    </row>
    <row r="667" spans="2:2" x14ac:dyDescent="0.45">
      <c r="B667">
        <v>129</v>
      </c>
    </row>
    <row r="668" spans="2:2" x14ac:dyDescent="0.45">
      <c r="B668">
        <v>103</v>
      </c>
    </row>
    <row r="669" spans="2:2" x14ac:dyDescent="0.45">
      <c r="B669">
        <v>76</v>
      </c>
    </row>
    <row r="670" spans="2:2" x14ac:dyDescent="0.45">
      <c r="B670">
        <v>46</v>
      </c>
    </row>
    <row r="671" spans="2:2" x14ac:dyDescent="0.45">
      <c r="B671">
        <v>17</v>
      </c>
    </row>
    <row r="672" spans="2:2" x14ac:dyDescent="0.45">
      <c r="B672">
        <v>6</v>
      </c>
    </row>
    <row r="673" spans="2:2" x14ac:dyDescent="0.45">
      <c r="B673">
        <v>1672</v>
      </c>
    </row>
    <row r="674" spans="2:2" x14ac:dyDescent="0.45">
      <c r="B674">
        <v>171</v>
      </c>
    </row>
    <row r="675" spans="2:2" x14ac:dyDescent="0.45">
      <c r="B675">
        <v>74</v>
      </c>
    </row>
    <row r="676" spans="2:2" x14ac:dyDescent="0.45">
      <c r="B676">
        <v>36</v>
      </c>
    </row>
    <row r="677" spans="2:2" x14ac:dyDescent="0.45">
      <c r="B677">
        <v>25</v>
      </c>
    </row>
    <row r="678" spans="2:2" x14ac:dyDescent="0.45">
      <c r="B678">
        <v>12</v>
      </c>
    </row>
    <row r="679" spans="2:2" x14ac:dyDescent="0.45">
      <c r="B679">
        <v>6</v>
      </c>
    </row>
    <row r="680" spans="2:2" x14ac:dyDescent="0.45">
      <c r="B680">
        <v>0</v>
      </c>
    </row>
    <row r="681" spans="2:2" x14ac:dyDescent="0.45">
      <c r="B681">
        <v>3</v>
      </c>
    </row>
    <row r="682" spans="2:2" x14ac:dyDescent="0.45">
      <c r="B682">
        <v>1</v>
      </c>
    </row>
    <row r="683" spans="2:2" x14ac:dyDescent="0.45">
      <c r="B683">
        <v>54</v>
      </c>
    </row>
    <row r="684" spans="2:2" x14ac:dyDescent="0.45">
      <c r="B684">
        <v>260</v>
      </c>
    </row>
    <row r="685" spans="2:2" x14ac:dyDescent="0.45">
      <c r="B685">
        <v>0</v>
      </c>
    </row>
    <row r="686" spans="2:2" x14ac:dyDescent="0.45">
      <c r="B686">
        <v>523</v>
      </c>
    </row>
    <row r="687" spans="2:2" x14ac:dyDescent="0.45">
      <c r="B687">
        <v>0</v>
      </c>
    </row>
    <row r="688" spans="2:2" x14ac:dyDescent="0.45">
      <c r="B688">
        <v>677</v>
      </c>
    </row>
    <row r="689" spans="2:2" x14ac:dyDescent="0.45">
      <c r="B689">
        <v>0</v>
      </c>
    </row>
    <row r="690" spans="2:2" x14ac:dyDescent="0.45">
      <c r="B690">
        <v>432</v>
      </c>
    </row>
    <row r="691" spans="2:2" x14ac:dyDescent="0.45">
      <c r="B691">
        <v>0</v>
      </c>
    </row>
    <row r="692" spans="2:2" x14ac:dyDescent="0.45">
      <c r="B692">
        <v>54</v>
      </c>
    </row>
    <row r="693" spans="2:2" x14ac:dyDescent="0.45">
      <c r="B693">
        <v>1213</v>
      </c>
    </row>
    <row r="694" spans="2:2" x14ac:dyDescent="0.45">
      <c r="B694">
        <v>272</v>
      </c>
    </row>
    <row r="695" spans="2:2" x14ac:dyDescent="0.45">
      <c r="B695">
        <v>165</v>
      </c>
    </row>
    <row r="696" spans="2:2" x14ac:dyDescent="0.45">
      <c r="B696">
        <v>118</v>
      </c>
    </row>
    <row r="697" spans="2:2" x14ac:dyDescent="0.45">
      <c r="B697">
        <v>88</v>
      </c>
    </row>
    <row r="698" spans="2:2" x14ac:dyDescent="0.45">
      <c r="B698">
        <v>64</v>
      </c>
    </row>
    <row r="699" spans="2:2" x14ac:dyDescent="0.45">
      <c r="B699">
        <v>43</v>
      </c>
    </row>
    <row r="700" spans="2:2" x14ac:dyDescent="0.45">
      <c r="B700">
        <v>27</v>
      </c>
    </row>
    <row r="701" spans="2:2" x14ac:dyDescent="0.45">
      <c r="B701">
        <v>7</v>
      </c>
    </row>
    <row r="702" spans="2:2" x14ac:dyDescent="0.45">
      <c r="B702">
        <v>3</v>
      </c>
    </row>
    <row r="703" spans="2:2" x14ac:dyDescent="0.45">
      <c r="B703">
        <v>1492</v>
      </c>
    </row>
    <row r="704" spans="2:2" x14ac:dyDescent="0.45">
      <c r="B704">
        <v>202</v>
      </c>
    </row>
    <row r="705" spans="2:2" x14ac:dyDescent="0.45">
      <c r="B705">
        <v>104</v>
      </c>
    </row>
    <row r="706" spans="2:2" x14ac:dyDescent="0.45">
      <c r="B706">
        <v>91</v>
      </c>
    </row>
    <row r="707" spans="2:2" x14ac:dyDescent="0.45">
      <c r="B707">
        <v>51</v>
      </c>
    </row>
    <row r="708" spans="2:2" x14ac:dyDescent="0.45">
      <c r="B708">
        <v>32</v>
      </c>
    </row>
    <row r="709" spans="2:2" x14ac:dyDescent="0.45">
      <c r="B709">
        <v>11</v>
      </c>
    </row>
    <row r="710" spans="2:2" x14ac:dyDescent="0.45">
      <c r="B710">
        <v>15</v>
      </c>
    </row>
    <row r="711" spans="2:2" x14ac:dyDescent="0.45">
      <c r="B711">
        <v>0</v>
      </c>
    </row>
    <row r="712" spans="2:2" x14ac:dyDescent="0.45">
      <c r="B712">
        <v>2</v>
      </c>
    </row>
    <row r="713" spans="2:2" x14ac:dyDescent="0.45">
      <c r="B713">
        <v>1868</v>
      </c>
    </row>
    <row r="714" spans="2:2" x14ac:dyDescent="0.45">
      <c r="B714">
        <v>69</v>
      </c>
    </row>
    <row r="715" spans="2:2" x14ac:dyDescent="0.45">
      <c r="B715">
        <v>28</v>
      </c>
    </row>
    <row r="716" spans="2:2" x14ac:dyDescent="0.45">
      <c r="B716">
        <v>17</v>
      </c>
    </row>
    <row r="717" spans="2:2" x14ac:dyDescent="0.45">
      <c r="B717">
        <v>11</v>
      </c>
    </row>
    <row r="718" spans="2:2" x14ac:dyDescent="0.45">
      <c r="B718">
        <v>3</v>
      </c>
    </row>
    <row r="719" spans="2:2" x14ac:dyDescent="0.45">
      <c r="B719">
        <v>0</v>
      </c>
    </row>
    <row r="720" spans="2:2" x14ac:dyDescent="0.45">
      <c r="B720">
        <v>3</v>
      </c>
    </row>
    <row r="721" spans="2:2" x14ac:dyDescent="0.45">
      <c r="B721">
        <v>0</v>
      </c>
    </row>
    <row r="722" spans="2:2" x14ac:dyDescent="0.45">
      <c r="B722">
        <v>1</v>
      </c>
    </row>
    <row r="723" spans="2:2" x14ac:dyDescent="0.45">
      <c r="B723">
        <v>54</v>
      </c>
    </row>
    <row r="724" spans="2:2" x14ac:dyDescent="0.45">
      <c r="B724">
        <v>260</v>
      </c>
    </row>
    <row r="725" spans="2:2" x14ac:dyDescent="0.45">
      <c r="B725">
        <v>0</v>
      </c>
    </row>
    <row r="726" spans="2:2" x14ac:dyDescent="0.45">
      <c r="B726">
        <v>523</v>
      </c>
    </row>
    <row r="727" spans="2:2" x14ac:dyDescent="0.45">
      <c r="B727">
        <v>0</v>
      </c>
    </row>
    <row r="728" spans="2:2" x14ac:dyDescent="0.45">
      <c r="B728">
        <v>677</v>
      </c>
    </row>
    <row r="729" spans="2:2" x14ac:dyDescent="0.45">
      <c r="B729">
        <v>0</v>
      </c>
    </row>
    <row r="730" spans="2:2" x14ac:dyDescent="0.45">
      <c r="B730">
        <v>432</v>
      </c>
    </row>
    <row r="731" spans="2:2" x14ac:dyDescent="0.45">
      <c r="B731">
        <v>0</v>
      </c>
    </row>
    <row r="732" spans="2:2" x14ac:dyDescent="0.45">
      <c r="B732">
        <v>54</v>
      </c>
    </row>
    <row r="733" spans="2:2" x14ac:dyDescent="0.45">
      <c r="B733">
        <v>1558</v>
      </c>
    </row>
    <row r="734" spans="2:2" x14ac:dyDescent="0.45">
      <c r="B734">
        <v>190</v>
      </c>
    </row>
    <row r="735" spans="2:2" x14ac:dyDescent="0.45">
      <c r="B735">
        <v>103</v>
      </c>
    </row>
    <row r="736" spans="2:2" x14ac:dyDescent="0.45">
      <c r="B736">
        <v>55</v>
      </c>
    </row>
    <row r="737" spans="2:2" x14ac:dyDescent="0.45">
      <c r="B737">
        <v>34</v>
      </c>
    </row>
    <row r="738" spans="2:2" x14ac:dyDescent="0.45">
      <c r="B738">
        <v>29</v>
      </c>
    </row>
    <row r="739" spans="2:2" x14ac:dyDescent="0.45">
      <c r="B739">
        <v>13</v>
      </c>
    </row>
    <row r="740" spans="2:2" x14ac:dyDescent="0.45">
      <c r="B740">
        <v>9</v>
      </c>
    </row>
    <row r="741" spans="2:2" x14ac:dyDescent="0.45">
      <c r="B741">
        <v>7</v>
      </c>
    </row>
    <row r="742" spans="2:2" x14ac:dyDescent="0.45">
      <c r="B742">
        <v>2</v>
      </c>
    </row>
    <row r="743" spans="2:2" x14ac:dyDescent="0.45">
      <c r="B743">
        <v>1540</v>
      </c>
    </row>
    <row r="744" spans="2:2" x14ac:dyDescent="0.45">
      <c r="B744">
        <v>296</v>
      </c>
    </row>
    <row r="745" spans="2:2" x14ac:dyDescent="0.45">
      <c r="B745">
        <v>56</v>
      </c>
    </row>
    <row r="746" spans="2:2" x14ac:dyDescent="0.45">
      <c r="B746">
        <v>49</v>
      </c>
    </row>
    <row r="747" spans="2:2" x14ac:dyDescent="0.45">
      <c r="B747">
        <v>20</v>
      </c>
    </row>
    <row r="748" spans="2:2" x14ac:dyDescent="0.45">
      <c r="B748">
        <v>18</v>
      </c>
    </row>
    <row r="749" spans="2:2" x14ac:dyDescent="0.45">
      <c r="B749">
        <v>8</v>
      </c>
    </row>
    <row r="750" spans="2:2" x14ac:dyDescent="0.45">
      <c r="B750">
        <v>4</v>
      </c>
    </row>
    <row r="751" spans="2:2" x14ac:dyDescent="0.45">
      <c r="B751">
        <v>7</v>
      </c>
    </row>
    <row r="752" spans="2:2" x14ac:dyDescent="0.45">
      <c r="B752">
        <v>2</v>
      </c>
    </row>
    <row r="753" spans="2:2" x14ac:dyDescent="0.45">
      <c r="B753">
        <v>1944</v>
      </c>
    </row>
    <row r="754" spans="2:2" x14ac:dyDescent="0.45">
      <c r="B754">
        <v>27</v>
      </c>
    </row>
    <row r="755" spans="2:2" x14ac:dyDescent="0.45">
      <c r="B755">
        <v>18</v>
      </c>
    </row>
    <row r="756" spans="2:2" x14ac:dyDescent="0.45">
      <c r="B756">
        <v>4</v>
      </c>
    </row>
    <row r="757" spans="2:2" x14ac:dyDescent="0.45">
      <c r="B757">
        <v>3</v>
      </c>
    </row>
    <row r="758" spans="2:2" x14ac:dyDescent="0.45">
      <c r="B758">
        <v>1</v>
      </c>
    </row>
    <row r="759" spans="2:2" x14ac:dyDescent="0.45">
      <c r="B759">
        <v>0</v>
      </c>
    </row>
    <row r="760" spans="2:2" x14ac:dyDescent="0.45">
      <c r="B760">
        <v>2</v>
      </c>
    </row>
    <row r="761" spans="2:2" x14ac:dyDescent="0.45">
      <c r="B761">
        <v>0</v>
      </c>
    </row>
    <row r="762" spans="2:2" x14ac:dyDescent="0.45">
      <c r="B762">
        <v>1</v>
      </c>
    </row>
    <row r="763" spans="2:2" x14ac:dyDescent="0.45">
      <c r="B763">
        <v>1045</v>
      </c>
    </row>
    <row r="764" spans="2:2" x14ac:dyDescent="0.45">
      <c r="B764">
        <v>404</v>
      </c>
    </row>
    <row r="765" spans="2:2" x14ac:dyDescent="0.45">
      <c r="B765">
        <v>257</v>
      </c>
    </row>
    <row r="766" spans="2:2" x14ac:dyDescent="0.45">
      <c r="B766">
        <v>130</v>
      </c>
    </row>
    <row r="767" spans="2:2" x14ac:dyDescent="0.45">
      <c r="B767">
        <v>89</v>
      </c>
    </row>
    <row r="768" spans="2:2" x14ac:dyDescent="0.45">
      <c r="B768">
        <v>42</v>
      </c>
    </row>
    <row r="769" spans="2:2" x14ac:dyDescent="0.45">
      <c r="B769">
        <v>17</v>
      </c>
    </row>
    <row r="770" spans="2:2" x14ac:dyDescent="0.45">
      <c r="B770">
        <v>10</v>
      </c>
    </row>
    <row r="771" spans="2:2" x14ac:dyDescent="0.45">
      <c r="B771">
        <v>4</v>
      </c>
    </row>
    <row r="772" spans="2:2" x14ac:dyDescent="0.45">
      <c r="B772">
        <v>2</v>
      </c>
    </row>
    <row r="773" spans="2:2" x14ac:dyDescent="0.45">
      <c r="B773">
        <v>1578</v>
      </c>
    </row>
    <row r="774" spans="2:2" x14ac:dyDescent="0.45">
      <c r="B774">
        <v>207</v>
      </c>
    </row>
    <row r="775" spans="2:2" x14ac:dyDescent="0.45">
      <c r="B775">
        <v>104</v>
      </c>
    </row>
    <row r="776" spans="2:2" x14ac:dyDescent="0.45">
      <c r="B776">
        <v>51</v>
      </c>
    </row>
    <row r="777" spans="2:2" x14ac:dyDescent="0.45">
      <c r="B777">
        <v>33</v>
      </c>
    </row>
    <row r="778" spans="2:2" x14ac:dyDescent="0.45">
      <c r="B778">
        <v>12</v>
      </c>
    </row>
    <row r="779" spans="2:2" x14ac:dyDescent="0.45">
      <c r="B779">
        <v>8</v>
      </c>
    </row>
    <row r="780" spans="2:2" x14ac:dyDescent="0.45">
      <c r="B780">
        <v>3</v>
      </c>
    </row>
    <row r="781" spans="2:2" x14ac:dyDescent="0.45">
      <c r="B781">
        <v>2</v>
      </c>
    </row>
    <row r="782" spans="2:2" x14ac:dyDescent="0.45">
      <c r="B782">
        <v>2</v>
      </c>
    </row>
    <row r="783" spans="2:2" x14ac:dyDescent="0.45">
      <c r="B783">
        <v>1808</v>
      </c>
    </row>
    <row r="784" spans="2:2" x14ac:dyDescent="0.45">
      <c r="B784">
        <v>99</v>
      </c>
    </row>
    <row r="785" spans="2:2" x14ac:dyDescent="0.45">
      <c r="B785">
        <v>49</v>
      </c>
    </row>
    <row r="786" spans="2:2" x14ac:dyDescent="0.45">
      <c r="B786">
        <v>21</v>
      </c>
    </row>
    <row r="787" spans="2:2" x14ac:dyDescent="0.45">
      <c r="B787">
        <v>12</v>
      </c>
    </row>
    <row r="788" spans="2:2" x14ac:dyDescent="0.45">
      <c r="B788">
        <v>6</v>
      </c>
    </row>
    <row r="789" spans="2:2" x14ac:dyDescent="0.45">
      <c r="B789">
        <v>1</v>
      </c>
    </row>
    <row r="790" spans="2:2" x14ac:dyDescent="0.45">
      <c r="B790">
        <v>3</v>
      </c>
    </row>
    <row r="791" spans="2:2" x14ac:dyDescent="0.45">
      <c r="B791">
        <v>0</v>
      </c>
    </row>
    <row r="792" spans="2:2" x14ac:dyDescent="0.45">
      <c r="B792">
        <v>1</v>
      </c>
    </row>
    <row r="793" spans="2:2" x14ac:dyDescent="0.45">
      <c r="B793">
        <v>1906</v>
      </c>
    </row>
    <row r="794" spans="2:2" x14ac:dyDescent="0.45">
      <c r="B794">
        <v>54</v>
      </c>
    </row>
    <row r="795" spans="2:2" x14ac:dyDescent="0.45">
      <c r="B795">
        <v>18</v>
      </c>
    </row>
    <row r="796" spans="2:2" x14ac:dyDescent="0.45">
      <c r="B796">
        <v>12</v>
      </c>
    </row>
    <row r="797" spans="2:2" x14ac:dyDescent="0.45">
      <c r="B797">
        <v>5</v>
      </c>
    </row>
    <row r="798" spans="2:2" x14ac:dyDescent="0.45">
      <c r="B798">
        <v>1</v>
      </c>
    </row>
    <row r="799" spans="2:2" x14ac:dyDescent="0.45">
      <c r="B799">
        <v>1</v>
      </c>
    </row>
    <row r="800" spans="2:2" x14ac:dyDescent="0.45">
      <c r="B800">
        <v>2</v>
      </c>
    </row>
    <row r="801" spans="2:2" x14ac:dyDescent="0.45">
      <c r="B801">
        <v>0</v>
      </c>
    </row>
    <row r="802" spans="2:2" x14ac:dyDescent="0.45">
      <c r="B802">
        <v>1</v>
      </c>
    </row>
    <row r="803" spans="2:2" x14ac:dyDescent="0.45">
      <c r="B803">
        <v>3</v>
      </c>
    </row>
    <row r="804" spans="2:2" x14ac:dyDescent="0.45">
      <c r="B804">
        <v>4</v>
      </c>
    </row>
    <row r="805" spans="2:2" x14ac:dyDescent="0.45">
      <c r="B805">
        <v>18</v>
      </c>
    </row>
    <row r="806" spans="2:2" x14ac:dyDescent="0.45">
      <c r="B806">
        <v>40</v>
      </c>
    </row>
    <row r="807" spans="2:2" x14ac:dyDescent="0.45">
      <c r="B807">
        <v>69</v>
      </c>
    </row>
    <row r="808" spans="2:2" x14ac:dyDescent="0.45">
      <c r="B808">
        <v>107</v>
      </c>
    </row>
    <row r="809" spans="2:2" x14ac:dyDescent="0.45">
      <c r="B809">
        <v>163</v>
      </c>
    </row>
    <row r="810" spans="2:2" x14ac:dyDescent="0.45">
      <c r="B810">
        <v>251</v>
      </c>
    </row>
    <row r="811" spans="2:2" x14ac:dyDescent="0.45">
      <c r="B811">
        <v>317</v>
      </c>
    </row>
    <row r="812" spans="2:2" x14ac:dyDescent="0.45">
      <c r="B812">
        <v>1028</v>
      </c>
    </row>
    <row r="813" spans="2:2" x14ac:dyDescent="0.45">
      <c r="B813">
        <v>1</v>
      </c>
    </row>
    <row r="814" spans="2:2" x14ac:dyDescent="0.45">
      <c r="B814">
        <v>3</v>
      </c>
    </row>
    <row r="815" spans="2:2" x14ac:dyDescent="0.45">
      <c r="B815">
        <v>3</v>
      </c>
    </row>
    <row r="816" spans="2:2" x14ac:dyDescent="0.45">
      <c r="B816">
        <v>12</v>
      </c>
    </row>
    <row r="817" spans="2:2" x14ac:dyDescent="0.45">
      <c r="B817">
        <v>20</v>
      </c>
    </row>
    <row r="818" spans="2:2" x14ac:dyDescent="0.45">
      <c r="B818">
        <v>37</v>
      </c>
    </row>
    <row r="819" spans="2:2" x14ac:dyDescent="0.45">
      <c r="B819">
        <v>57</v>
      </c>
    </row>
    <row r="820" spans="2:2" x14ac:dyDescent="0.45">
      <c r="B820">
        <v>114</v>
      </c>
    </row>
    <row r="821" spans="2:2" x14ac:dyDescent="0.45">
      <c r="B821">
        <v>166</v>
      </c>
    </row>
    <row r="822" spans="2:2" x14ac:dyDescent="0.45">
      <c r="B822">
        <v>1587</v>
      </c>
    </row>
    <row r="823" spans="2:2" x14ac:dyDescent="0.45">
      <c r="B823">
        <v>1</v>
      </c>
    </row>
    <row r="824" spans="2:2" x14ac:dyDescent="0.45">
      <c r="B824">
        <v>1</v>
      </c>
    </row>
    <row r="825" spans="2:2" x14ac:dyDescent="0.45">
      <c r="B825">
        <v>2</v>
      </c>
    </row>
    <row r="826" spans="2:2" x14ac:dyDescent="0.45">
      <c r="B826">
        <v>1</v>
      </c>
    </row>
    <row r="827" spans="2:2" x14ac:dyDescent="0.45">
      <c r="B827">
        <v>8</v>
      </c>
    </row>
    <row r="828" spans="2:2" x14ac:dyDescent="0.45">
      <c r="B828">
        <v>14</v>
      </c>
    </row>
    <row r="829" spans="2:2" x14ac:dyDescent="0.45">
      <c r="B829">
        <v>20</v>
      </c>
    </row>
    <row r="830" spans="2:2" x14ac:dyDescent="0.45">
      <c r="B830">
        <v>44</v>
      </c>
    </row>
    <row r="831" spans="2:2" x14ac:dyDescent="0.45">
      <c r="B831">
        <v>78</v>
      </c>
    </row>
    <row r="832" spans="2:2" x14ac:dyDescent="0.45">
      <c r="B832">
        <v>1831</v>
      </c>
    </row>
    <row r="833" spans="2:2" x14ac:dyDescent="0.45">
      <c r="B833">
        <v>1</v>
      </c>
    </row>
    <row r="834" spans="2:2" x14ac:dyDescent="0.45">
      <c r="B834">
        <v>0</v>
      </c>
    </row>
    <row r="835" spans="2:2" x14ac:dyDescent="0.45">
      <c r="B835">
        <v>2</v>
      </c>
    </row>
    <row r="836" spans="2:2" x14ac:dyDescent="0.45">
      <c r="B836">
        <v>1</v>
      </c>
    </row>
    <row r="837" spans="2:2" x14ac:dyDescent="0.45">
      <c r="B837">
        <v>2</v>
      </c>
    </row>
    <row r="838" spans="2:2" x14ac:dyDescent="0.45">
      <c r="B838">
        <v>3</v>
      </c>
    </row>
    <row r="839" spans="2:2" x14ac:dyDescent="0.45">
      <c r="B839">
        <v>10</v>
      </c>
    </row>
    <row r="840" spans="2:2" x14ac:dyDescent="0.45">
      <c r="B840">
        <v>19</v>
      </c>
    </row>
    <row r="841" spans="2:2" x14ac:dyDescent="0.45">
      <c r="B841">
        <v>33</v>
      </c>
    </row>
    <row r="842" spans="2:2" x14ac:dyDescent="0.45">
      <c r="B842">
        <v>1929</v>
      </c>
    </row>
    <row r="843" spans="2:2" x14ac:dyDescent="0.45">
      <c r="B843">
        <v>1074</v>
      </c>
    </row>
    <row r="844" spans="2:2" x14ac:dyDescent="0.45">
      <c r="B844">
        <v>0</v>
      </c>
    </row>
    <row r="845" spans="2:2" x14ac:dyDescent="0.45">
      <c r="B845">
        <v>0</v>
      </c>
    </row>
    <row r="846" spans="2:2" x14ac:dyDescent="0.45">
      <c r="B846">
        <v>0</v>
      </c>
    </row>
    <row r="847" spans="2:2" x14ac:dyDescent="0.45">
      <c r="B847">
        <v>0</v>
      </c>
    </row>
    <row r="848" spans="2:2" x14ac:dyDescent="0.45">
      <c r="B848">
        <v>0</v>
      </c>
    </row>
    <row r="849" spans="2:2" x14ac:dyDescent="0.45">
      <c r="B849">
        <v>0</v>
      </c>
    </row>
    <row r="850" spans="2:2" x14ac:dyDescent="0.45">
      <c r="B850">
        <v>0</v>
      </c>
    </row>
    <row r="851" spans="2:2" x14ac:dyDescent="0.45">
      <c r="B851">
        <v>0</v>
      </c>
    </row>
    <row r="852" spans="2:2" x14ac:dyDescent="0.45">
      <c r="B852">
        <v>926</v>
      </c>
    </row>
    <row r="853" spans="2:2" x14ac:dyDescent="0.45">
      <c r="B853">
        <v>1299</v>
      </c>
    </row>
    <row r="854" spans="2:2" x14ac:dyDescent="0.45">
      <c r="B854">
        <v>0</v>
      </c>
    </row>
    <row r="855" spans="2:2" x14ac:dyDescent="0.45">
      <c r="B855">
        <v>0</v>
      </c>
    </row>
    <row r="856" spans="2:2" x14ac:dyDescent="0.45">
      <c r="B856">
        <v>0</v>
      </c>
    </row>
    <row r="857" spans="2:2" x14ac:dyDescent="0.45">
      <c r="B857">
        <v>0</v>
      </c>
    </row>
    <row r="858" spans="2:2" x14ac:dyDescent="0.45">
      <c r="B858">
        <v>0</v>
      </c>
    </row>
    <row r="859" spans="2:2" x14ac:dyDescent="0.45">
      <c r="B859">
        <v>0</v>
      </c>
    </row>
    <row r="860" spans="2:2" x14ac:dyDescent="0.45">
      <c r="B860">
        <v>0</v>
      </c>
    </row>
    <row r="861" spans="2:2" x14ac:dyDescent="0.45">
      <c r="B861">
        <v>0</v>
      </c>
    </row>
    <row r="862" spans="2:2" x14ac:dyDescent="0.45">
      <c r="B862">
        <v>701</v>
      </c>
    </row>
    <row r="863" spans="2:2" x14ac:dyDescent="0.45">
      <c r="B863">
        <v>1726</v>
      </c>
    </row>
    <row r="864" spans="2:2" x14ac:dyDescent="0.45">
      <c r="B864">
        <v>0</v>
      </c>
    </row>
    <row r="865" spans="2:2" x14ac:dyDescent="0.45">
      <c r="B865">
        <v>0</v>
      </c>
    </row>
    <row r="866" spans="2:2" x14ac:dyDescent="0.45">
      <c r="B866">
        <v>0</v>
      </c>
    </row>
    <row r="867" spans="2:2" x14ac:dyDescent="0.45">
      <c r="B867">
        <v>0</v>
      </c>
    </row>
    <row r="868" spans="2:2" x14ac:dyDescent="0.45">
      <c r="B868">
        <v>0</v>
      </c>
    </row>
    <row r="869" spans="2:2" x14ac:dyDescent="0.45">
      <c r="B869">
        <v>0</v>
      </c>
    </row>
    <row r="870" spans="2:2" x14ac:dyDescent="0.45">
      <c r="B870">
        <v>0</v>
      </c>
    </row>
    <row r="871" spans="2:2" x14ac:dyDescent="0.45">
      <c r="B871">
        <v>0</v>
      </c>
    </row>
    <row r="872" spans="2:2" x14ac:dyDescent="0.45">
      <c r="B872">
        <v>274</v>
      </c>
    </row>
    <row r="873" spans="2:2" x14ac:dyDescent="0.45">
      <c r="B873">
        <v>1901</v>
      </c>
    </row>
    <row r="874" spans="2:2" x14ac:dyDescent="0.45">
      <c r="B874">
        <v>0</v>
      </c>
    </row>
    <row r="875" spans="2:2" x14ac:dyDescent="0.45">
      <c r="B875">
        <v>0</v>
      </c>
    </row>
    <row r="876" spans="2:2" x14ac:dyDescent="0.45">
      <c r="B876">
        <v>0</v>
      </c>
    </row>
    <row r="877" spans="2:2" x14ac:dyDescent="0.45">
      <c r="B877">
        <v>0</v>
      </c>
    </row>
    <row r="878" spans="2:2" x14ac:dyDescent="0.45">
      <c r="B878">
        <v>0</v>
      </c>
    </row>
    <row r="879" spans="2:2" x14ac:dyDescent="0.45">
      <c r="B879">
        <v>0</v>
      </c>
    </row>
    <row r="880" spans="2:2" x14ac:dyDescent="0.45">
      <c r="B880">
        <v>0</v>
      </c>
    </row>
    <row r="881" spans="2:2" x14ac:dyDescent="0.45">
      <c r="B881">
        <v>0</v>
      </c>
    </row>
    <row r="882" spans="2:2" x14ac:dyDescent="0.45">
      <c r="B882">
        <v>99</v>
      </c>
    </row>
    <row r="883" spans="2:2" x14ac:dyDescent="0.45">
      <c r="B883">
        <v>564</v>
      </c>
    </row>
    <row r="884" spans="2:2" x14ac:dyDescent="0.45">
      <c r="B884">
        <v>256</v>
      </c>
    </row>
    <row r="885" spans="2:2" x14ac:dyDescent="0.45">
      <c r="B885">
        <v>237</v>
      </c>
    </row>
    <row r="886" spans="2:2" x14ac:dyDescent="0.45">
      <c r="B886">
        <v>199</v>
      </c>
    </row>
    <row r="887" spans="2:2" x14ac:dyDescent="0.45">
      <c r="B887">
        <v>178</v>
      </c>
    </row>
    <row r="888" spans="2:2" x14ac:dyDescent="0.45">
      <c r="B888">
        <v>207</v>
      </c>
    </row>
    <row r="889" spans="2:2" x14ac:dyDescent="0.45">
      <c r="B889">
        <v>145</v>
      </c>
    </row>
    <row r="890" spans="2:2" x14ac:dyDescent="0.45">
      <c r="B890">
        <v>117</v>
      </c>
    </row>
    <row r="891" spans="2:2" x14ac:dyDescent="0.45">
      <c r="B891">
        <v>78</v>
      </c>
    </row>
    <row r="892" spans="2:2" x14ac:dyDescent="0.45">
      <c r="B892">
        <v>19</v>
      </c>
    </row>
    <row r="893" spans="2:2" x14ac:dyDescent="0.45">
      <c r="B893">
        <v>58</v>
      </c>
    </row>
    <row r="894" spans="2:2" x14ac:dyDescent="0.45">
      <c r="B894">
        <v>134</v>
      </c>
    </row>
    <row r="895" spans="2:2" x14ac:dyDescent="0.45">
      <c r="B895">
        <v>276</v>
      </c>
    </row>
    <row r="896" spans="2:2" x14ac:dyDescent="0.45">
      <c r="B896">
        <v>357</v>
      </c>
    </row>
    <row r="897" spans="2:2" x14ac:dyDescent="0.45">
      <c r="B897">
        <v>321</v>
      </c>
    </row>
    <row r="898" spans="2:2" x14ac:dyDescent="0.45">
      <c r="B898">
        <v>318</v>
      </c>
    </row>
    <row r="899" spans="2:2" x14ac:dyDescent="0.45">
      <c r="B899">
        <v>256</v>
      </c>
    </row>
    <row r="900" spans="2:2" x14ac:dyDescent="0.45">
      <c r="B900">
        <v>168</v>
      </c>
    </row>
    <row r="901" spans="2:2" x14ac:dyDescent="0.45">
      <c r="B901">
        <v>86</v>
      </c>
    </row>
    <row r="902" spans="2:2" x14ac:dyDescent="0.45">
      <c r="B902">
        <v>26</v>
      </c>
    </row>
    <row r="903" spans="2:2" x14ac:dyDescent="0.45">
      <c r="B903">
        <v>22</v>
      </c>
    </row>
    <row r="904" spans="2:2" x14ac:dyDescent="0.45">
      <c r="B904">
        <v>67</v>
      </c>
    </row>
    <row r="905" spans="2:2" x14ac:dyDescent="0.45">
      <c r="B905">
        <v>137</v>
      </c>
    </row>
    <row r="906" spans="2:2" x14ac:dyDescent="0.45">
      <c r="B906">
        <v>247</v>
      </c>
    </row>
    <row r="907" spans="2:2" x14ac:dyDescent="0.45">
      <c r="B907">
        <v>308</v>
      </c>
    </row>
    <row r="908" spans="2:2" x14ac:dyDescent="0.45">
      <c r="B908">
        <v>348</v>
      </c>
    </row>
    <row r="909" spans="2:2" x14ac:dyDescent="0.45">
      <c r="B909">
        <v>336</v>
      </c>
    </row>
    <row r="910" spans="2:2" x14ac:dyDescent="0.45">
      <c r="B910">
        <v>285</v>
      </c>
    </row>
    <row r="911" spans="2:2" x14ac:dyDescent="0.45">
      <c r="B911">
        <v>187</v>
      </c>
    </row>
    <row r="912" spans="2:2" x14ac:dyDescent="0.45">
      <c r="B912">
        <v>63</v>
      </c>
    </row>
    <row r="913" spans="2:2" x14ac:dyDescent="0.45">
      <c r="B913">
        <v>70</v>
      </c>
    </row>
    <row r="914" spans="2:2" x14ac:dyDescent="0.45">
      <c r="B914">
        <v>203</v>
      </c>
    </row>
    <row r="915" spans="2:2" x14ac:dyDescent="0.45">
      <c r="B915">
        <v>306</v>
      </c>
    </row>
    <row r="916" spans="2:2" x14ac:dyDescent="0.45">
      <c r="B916">
        <v>370</v>
      </c>
    </row>
    <row r="917" spans="2:2" x14ac:dyDescent="0.45">
      <c r="B917">
        <v>365</v>
      </c>
    </row>
    <row r="918" spans="2:2" x14ac:dyDescent="0.45">
      <c r="B918">
        <v>292</v>
      </c>
    </row>
    <row r="919" spans="2:2" x14ac:dyDescent="0.45">
      <c r="B919">
        <v>180</v>
      </c>
    </row>
    <row r="920" spans="2:2" x14ac:dyDescent="0.45">
      <c r="B920">
        <v>141</v>
      </c>
    </row>
    <row r="921" spans="2:2" x14ac:dyDescent="0.45">
      <c r="B921">
        <v>59</v>
      </c>
    </row>
    <row r="922" spans="2:2" x14ac:dyDescent="0.45">
      <c r="B922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F633D388-959B-4571-B1DA-03A6EA2CDA7A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113</vt:i4>
      </vt:variant>
    </vt:vector>
  </HeadingPairs>
  <TitlesOfParts>
    <vt:vector size="120" baseType="lpstr">
      <vt:lpstr>Описание</vt:lpstr>
      <vt:lpstr>Исходные данные</vt:lpstr>
      <vt:lpstr>Мощность</vt:lpstr>
      <vt:lpstr>Результаты</vt:lpstr>
      <vt:lpstr>ModelRiskDSN</vt:lpstr>
      <vt:lpstr>ModelRiskSYS1</vt:lpstr>
      <vt:lpstr>ModelRiskCharts</vt:lpstr>
      <vt:lpstr>Best_0</vt:lpstr>
      <vt:lpstr>Best_1</vt:lpstr>
      <vt:lpstr>Best_2</vt:lpstr>
      <vt:lpstr>Best_3</vt:lpstr>
      <vt:lpstr>CalYear</vt:lpstr>
      <vt:lpstr>Capex</vt:lpstr>
      <vt:lpstr>Checks</vt:lpstr>
      <vt:lpstr>Cost_0</vt:lpstr>
      <vt:lpstr>Cost_1</vt:lpstr>
      <vt:lpstr>Cost_2</vt:lpstr>
      <vt:lpstr>Cost_3</vt:lpstr>
      <vt:lpstr>CostFix_0</vt:lpstr>
      <vt:lpstr>CostFix_1</vt:lpstr>
      <vt:lpstr>CostFix_2</vt:lpstr>
      <vt:lpstr>CostFix_3</vt:lpstr>
      <vt:lpstr>CostLost_0</vt:lpstr>
      <vt:lpstr>CostLost_1</vt:lpstr>
      <vt:lpstr>CostLost_2</vt:lpstr>
      <vt:lpstr>CostLost_3</vt:lpstr>
      <vt:lpstr>CostNew_0</vt:lpstr>
      <vt:lpstr>CostNew_1</vt:lpstr>
      <vt:lpstr>CostNew_2</vt:lpstr>
      <vt:lpstr>CostNew_3</vt:lpstr>
      <vt:lpstr>CostOT_0</vt:lpstr>
      <vt:lpstr>CostOT_1</vt:lpstr>
      <vt:lpstr>CostOT_2</vt:lpstr>
      <vt:lpstr>CostOT_3</vt:lpstr>
      <vt:lpstr>CostSub_0</vt:lpstr>
      <vt:lpstr>CostSub_1</vt:lpstr>
      <vt:lpstr>CostSub_2</vt:lpstr>
      <vt:lpstr>CostSub_3</vt:lpstr>
      <vt:lpstr>Demand</vt:lpstr>
      <vt:lpstr>Demand0</vt:lpstr>
      <vt:lpstr>DemandDec</vt:lpstr>
      <vt:lpstr>Disc</vt:lpstr>
      <vt:lpstr>Fill_0</vt:lpstr>
      <vt:lpstr>Fill_1</vt:lpstr>
      <vt:lpstr>Fill_2</vt:lpstr>
      <vt:lpstr>Fill_3</vt:lpstr>
      <vt:lpstr>Growth</vt:lpstr>
      <vt:lpstr>Growth_Hi</vt:lpstr>
      <vt:lpstr>Growth_Lo</vt:lpstr>
      <vt:lpstr>Growth_Mean</vt:lpstr>
      <vt:lpstr>Growth_ML</vt:lpstr>
      <vt:lpstr>InputMeans</vt:lpstr>
      <vt:lpstr>Lead</vt:lpstr>
      <vt:lpstr>Lead_Hi</vt:lpstr>
      <vt:lpstr>Lead_Lo</vt:lpstr>
      <vt:lpstr>Lead_Mean</vt:lpstr>
      <vt:lpstr>Lead_ML</vt:lpstr>
      <vt:lpstr>LeadM</vt:lpstr>
      <vt:lpstr>LeadPlan</vt:lpstr>
      <vt:lpstr>Lost_0</vt:lpstr>
      <vt:lpstr>Lost_1</vt:lpstr>
      <vt:lpstr>Lost_2</vt:lpstr>
      <vt:lpstr>Lost_3</vt:lpstr>
      <vt:lpstr>LostCost</vt:lpstr>
      <vt:lpstr>Months</vt:lpstr>
      <vt:lpstr>Mu</vt:lpstr>
      <vt:lpstr>NetCapex</vt:lpstr>
      <vt:lpstr>New_0</vt:lpstr>
      <vt:lpstr>New_1</vt:lpstr>
      <vt:lpstr>New_2</vt:lpstr>
      <vt:lpstr>New_3</vt:lpstr>
      <vt:lpstr>OEE_Dn</vt:lpstr>
      <vt:lpstr>OEE_Up</vt:lpstr>
      <vt:lpstr>OTCost</vt:lpstr>
      <vt:lpstr>OTMax</vt:lpstr>
      <vt:lpstr>Plan_0</vt:lpstr>
      <vt:lpstr>Plan_1</vt:lpstr>
      <vt:lpstr>Plan_2</vt:lpstr>
      <vt:lpstr>Plan_3</vt:lpstr>
      <vt:lpstr>PlanDemand</vt:lpstr>
      <vt:lpstr>PlantOEE</vt:lpstr>
      <vt:lpstr>PlantOEE_Hi</vt:lpstr>
      <vt:lpstr>PlantOEE_Lo</vt:lpstr>
      <vt:lpstr>PlantOEE_Mean</vt:lpstr>
      <vt:lpstr>PlantOEE_ML</vt:lpstr>
      <vt:lpstr>PlanTotal_0</vt:lpstr>
      <vt:lpstr>PlanTotal_1</vt:lpstr>
      <vt:lpstr>PlanTotal_2</vt:lpstr>
      <vt:lpstr>PlanTotal_3</vt:lpstr>
      <vt:lpstr>Presses</vt:lpstr>
      <vt:lpstr>PressFixed</vt:lpstr>
      <vt:lpstr>PressRate</vt:lpstr>
      <vt:lpstr>Results!Print_Area</vt:lpstr>
      <vt:lpstr>Capacity!Print_Titles</vt:lpstr>
      <vt:lpstr>Inputs!Print_Titles</vt:lpstr>
      <vt:lpstr>Results!Print_Titles</vt:lpstr>
      <vt:lpstr>Resid</vt:lpstr>
      <vt:lpstr>Save_1</vt:lpstr>
      <vt:lpstr>Seasonality</vt:lpstr>
      <vt:lpstr>SeasonAvg</vt:lpstr>
      <vt:lpstr>SF_01</vt:lpstr>
      <vt:lpstr>SF_02</vt:lpstr>
      <vt:lpstr>SF_03</vt:lpstr>
      <vt:lpstr>SF_04</vt:lpstr>
      <vt:lpstr>SF_05</vt:lpstr>
      <vt:lpstr>SF_06</vt:lpstr>
      <vt:lpstr>SF_07</vt:lpstr>
      <vt:lpstr>SF_08</vt:lpstr>
      <vt:lpstr>SF_09</vt:lpstr>
      <vt:lpstr>SF_10</vt:lpstr>
      <vt:lpstr>SF_11</vt:lpstr>
      <vt:lpstr>SF_12</vt:lpstr>
      <vt:lpstr>StartMonth</vt:lpstr>
      <vt:lpstr>SubCost</vt:lpstr>
      <vt:lpstr>SubMax</vt:lpstr>
      <vt:lpstr>Total_0</vt:lpstr>
      <vt:lpstr>Total_1</vt:lpstr>
      <vt:lpstr>Total_2</vt:lpstr>
      <vt:lpstr>Total_3</vt:lpstr>
      <vt:lpstr>Vol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MF-07 Решение о расширении мощностей</dc:title>
  <dc:subject>Библиотека отраслевых примеров МоделРиск — производство</dc:subject>
  <dc:creator>ООО «Стратегия Риска»</dc:creator>
  <cp:keywords>МоделРиск; Монте-Карло; производство</cp:keywords>
  <dc:description>Сколько прессов добавить, когда спрос сезонный, а его рост неопределенный: затраты каждого варианта за пять лет, сверхурочная работа, субподряд и потерянные продажи.</dc:description>
  <cp:lastModifiedBy>ООО «Стратегия Риска»</cp:lastModifiedBy>
  <cp:lastPrinted>2026-10-05T07:58:16Z</cp:lastPrinted>
  <dcterms:created xsi:type="dcterms:W3CDTF">2026-10-05T07:57:02Z</dcterms:created>
  <dcterms:modified xsi:type="dcterms:W3CDTF">2026-10-05T07:58:18Z</dcterms:modified>
</cp:coreProperties>
</file>