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xr:revisionPtr revIDLastSave="0" documentId="8_{710CB52B-3D42-4134-8AED-D3A389839D21}" xr6:coauthVersionLast="47" xr6:coauthVersionMax="47" xr10:uidLastSave="{00000000-0000-0000-0000-000000000000}"/>
  <bookViews>
    <workbookView xWindow="-98" yWindow="-98" windowWidth="21795" windowHeight="12975" xr2:uid="{00000000-000D-0000-FFFF-FFFF00000000}"/>
  </bookViews>
  <sheets>
    <sheet name="Описание" sheetId="1" r:id="rId1"/>
    <sheet name="Исходные данные" sheetId="2" r:id="rId2"/>
    <sheet name="Запасы" sheetId="3" r:id="rId3"/>
    <sheet name="Результаты" sheetId="4" r:id="rId4"/>
    <sheet name="ModelRiskDSN" sheetId="5" state="hidden" r:id="rId5"/>
    <sheet name="ModelRiskSYS1" sheetId="6" state="hidden" r:id="rId6"/>
    <sheet name="ModelRiskCharts" sheetId="7" state="hidden" r:id="rId7"/>
  </sheets>
  <definedNames>
    <definedName name="AnnDem">'Запасы'!$D$9</definedName>
    <definedName name="Checks">'Запасы'!$D$56:$D$57</definedName>
    <definedName name="Cycles">'Запасы'!$D$12</definedName>
    <definedName name="DayDem">'Запасы'!$D$20</definedName>
    <definedName name="DDLT">'Запасы'!$D$21</definedName>
    <definedName name="DDLT_Mean">'Запасы'!$D$32</definedName>
    <definedName name="DDLT_SD">'Запасы'!$D$33</definedName>
    <definedName name="DelayProb">'Исходные данные'!$D$18</definedName>
    <definedName name="DemMean">'Исходные данные'!$D$10</definedName>
    <definedName name="DemSD">'Исходные данные'!$D$11</definedName>
    <definedName name="GamScale">'Запасы'!$D$19</definedName>
    <definedName name="GamShape">'Запасы'!$D$18</definedName>
    <definedName name="HoldCost">'Запасы'!$D$10</definedName>
    <definedName name="HoldRate">'Исходные данные'!$D$24</definedName>
    <definedName name="InputMeans">'Исходные данные'!$I$17:$I$19</definedName>
    <definedName name="LeadTime">'Запасы'!$D$17</definedName>
    <definedName name="LT_Mean">'Запасы'!$D$30</definedName>
    <definedName name="LT_Var">'Запасы'!$D$31</definedName>
    <definedName name="LTD_Mean">'Запасы'!$D$28</definedName>
    <definedName name="LTD_Var">'Запасы'!$D$29</definedName>
    <definedName name="LTDelay">'Исходные данные'!$D$19</definedName>
    <definedName name="LTDelay_Hi">'Исходные данные'!$H$19</definedName>
    <definedName name="LTDelay_Lo">'Исходные данные'!$F$19</definedName>
    <definedName name="LTDelay_Mean">'Исходные данные'!$I$19</definedName>
    <definedName name="LTDelay_ML">'Исходные данные'!$G$19</definedName>
    <definedName name="LTN_Mean">'Запасы'!$D$26</definedName>
    <definedName name="LTN_Var">'Запасы'!$D$27</definedName>
    <definedName name="LTNormal">'Исходные данные'!$D$17</definedName>
    <definedName name="LTNormal_Hi">'Исходные данные'!$H$17</definedName>
    <definedName name="LTNormal_Lo">'Исходные данные'!$F$17</definedName>
    <definedName name="LTNormal_Mean">'Исходные данные'!$I$17</definedName>
    <definedName name="LTNormal_ML">'Исходные данные'!$G$17</definedName>
    <definedName name="OrderCost">'Исходные данные'!$D$25</definedName>
    <definedName name="OrderQty">'Запасы'!$D$11</definedName>
    <definedName name="Out_Cost_1">'Запасы'!$E$41</definedName>
    <definedName name="Out_Cost_2">'Запасы'!$E$42</definedName>
    <definedName name="Out_Cost_3">'Запасы'!$E$43</definedName>
    <definedName name="Out_Cost_4">'Запасы'!$E$44</definedName>
    <definedName name="Out_Cost_5">'Запасы'!$E$45</definedName>
    <definedName name="Out_Cost_6">'Запасы'!$E$46</definedName>
    <definedName name="Out_DDLT">'Запасы'!$D$51</definedName>
    <definedName name="Out_LT">'Запасы'!$D$52</definedName>
    <definedName name="Out_Short_1">'Запасы'!$D$41</definedName>
    <definedName name="Out_Short_2">'Запасы'!$D$42</definedName>
    <definedName name="Out_Short_3">'Запасы'!$D$43</definedName>
    <definedName name="Out_Short_4">'Запасы'!$D$44</definedName>
    <definedName name="Out_Short_5">'Запасы'!$D$45</definedName>
    <definedName name="Out_Short_6">'Запасы'!$D$46</definedName>
    <definedName name="_xlnm.Print_Area" localSheetId="3">'Результаты'!$A$1:$R$45</definedName>
    <definedName name="_xlnm.Print_Titles" localSheetId="1">'Исходные данные'!$1:$4</definedName>
    <definedName name="_xlnm.Print_Titles" localSheetId="3">'Результаты'!$1:$4</definedName>
    <definedName name="ROP_1">'Запасы'!$B$41</definedName>
    <definedName name="ROP_2">'Запасы'!$B$42</definedName>
    <definedName name="ROP_3">'Запасы'!$B$43</definedName>
    <definedName name="ROP_4">'Запасы'!$B$44</definedName>
    <definedName name="ROP_5">'Запасы'!$B$45</definedName>
    <definedName name="ROP_6">'Запасы'!$B$46</definedName>
    <definedName name="ROP_Norm95">'Запасы'!$D$34</definedName>
    <definedName name="ROP_Norm99">'Запасы'!$D$35</definedName>
    <definedName name="ROPMin">'Исходные данные'!$D$30</definedName>
    <definedName name="ROPStep">'Исходные данные'!$D$31</definedName>
    <definedName name="SellDays">'Исходные данные'!$D$12</definedName>
    <definedName name="ShortCost">'Исходные данные'!$D$26</definedName>
    <definedName name="SimOpt_AccountDomain" hidden="1">""</definedName>
    <definedName name="SimOpt_AccountName" hidden="1">""</definedName>
    <definedName name="SimOpt_AccountPassword" hidden="1">""</definedName>
    <definedName name="SimOpt_CheckPrecisionAfter" hidden="1">10</definedName>
    <definedName name="SimOpt_GotoSample" hidden="1">0</definedName>
    <definedName name="SimOpt_Macros0" hidden="1">""</definedName>
    <definedName name="SimOpt_Macros1" hidden="1">""</definedName>
    <definedName name="SimOpt_Macros2" hidden="1">""</definedName>
    <definedName name="SimOpt_Macros3" hidden="1">""</definedName>
    <definedName name="SimOpt_MacrosUsage" hidden="1">0</definedName>
    <definedName name="SimOpt_MinSimBufferSize" hidden="1">0</definedName>
    <definedName name="SimOpt_RefreshExcel" hidden="1">0</definedName>
    <definedName name="SimOpt_RefreshRate" hidden="1">1</definedName>
    <definedName name="SimOpt_SamplesCount" hidden="1">10000</definedName>
    <definedName name="SimOpt_Seed0" hidden="1">1</definedName>
    <definedName name="SimOpt_SeedFixed" hidden="1">1</definedName>
    <definedName name="SimOpt_SeedMultiplyType" hidden="1">0</definedName>
    <definedName name="SimOpt_ServerAddress" hidden="1">""</definedName>
    <definedName name="SimOpt_ShowResultsAtEnd" hidden="1">1</definedName>
    <definedName name="SimOpt_ShowSparklines" hidden="1">0</definedName>
    <definedName name="SimOpt_SimsCount" hidden="1">1</definedName>
    <definedName name="SimOpt_SkipTurboConsistency" hidden="1">0</definedName>
    <definedName name="SimOpt_StopOnOutputError" hidden="1">0</definedName>
    <definedName name="SimOpt_TurboParityChecked" hidden="1">0</definedName>
    <definedName name="SimOpt_UploadEnabled" hidden="1">0</definedName>
    <definedName name="SimOpt_UploadModel" hidden="1">0</definedName>
    <definedName name="SimOpt_UploadProfile" hidden="1">"MODELRISK"</definedName>
    <definedName name="SimOpt_UploadRemotely" hidden="1">0</definedName>
    <definedName name="SimOpt_UseTurboByDefault" hidden="1">0</definedName>
    <definedName name="SS_1">'Запасы'!$C$41</definedName>
    <definedName name="SS_2">'Запасы'!$C$42</definedName>
    <definedName name="SS_3">'Запасы'!$C$43</definedName>
    <definedName name="SS_4">'Запасы'!$C$44</definedName>
    <definedName name="SS_5">'Запасы'!$C$45</definedName>
    <definedName name="SS_6">'Запасы'!$C$46</definedName>
    <definedName name="UnitCost">'Исходные данные'!$D$23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00" i="4" l="1"/>
  <c r="C99" i="4"/>
  <c r="C98" i="4"/>
  <c r="C97" i="4"/>
  <c r="C96" i="4"/>
  <c r="C95" i="4"/>
  <c r="C94" i="4"/>
  <c r="C93" i="4"/>
  <c r="C92" i="4"/>
  <c r="C91" i="4"/>
  <c r="C90" i="4"/>
  <c r="C89" i="4"/>
  <c r="C88" i="4"/>
  <c r="C87" i="4"/>
  <c r="C86" i="4"/>
  <c r="C85" i="4"/>
  <c r="C84" i="4"/>
  <c r="C83" i="4"/>
  <c r="C82" i="4"/>
  <c r="C81" i="4"/>
  <c r="C80" i="4"/>
  <c r="C79" i="4"/>
  <c r="C78" i="4"/>
  <c r="C77" i="4"/>
  <c r="C76" i="4"/>
  <c r="C75" i="4"/>
  <c r="C74" i="4"/>
  <c r="C73" i="4"/>
  <c r="C72" i="4"/>
  <c r="C71" i="4"/>
  <c r="C70" i="4"/>
  <c r="C69" i="4"/>
  <c r="C68" i="4"/>
  <c r="C67" i="4"/>
  <c r="C66" i="4"/>
  <c r="C65" i="4"/>
  <c r="C64" i="4"/>
  <c r="C63" i="4"/>
  <c r="C62" i="4"/>
  <c r="C61" i="4"/>
  <c r="C60" i="4"/>
  <c r="C59" i="4"/>
  <c r="C58" i="4"/>
  <c r="C57" i="4"/>
  <c r="C56" i="4"/>
  <c r="C55" i="4"/>
  <c r="C54" i="4"/>
  <c r="C53" i="4"/>
  <c r="C52" i="4"/>
  <c r="C51" i="4"/>
  <c r="D57" i="3"/>
  <c r="B46" i="3"/>
  <c r="B28" i="4"/>
  <c r="B45" i="3"/>
  <c r="B27" i="4"/>
  <c r="B44" i="3"/>
  <c r="B43" i="3"/>
  <c r="B25" i="4" s="1"/>
  <c r="B42" i="3"/>
  <c r="B24" i="4" s="1"/>
  <c r="B41" i="3"/>
  <c r="B23" i="4"/>
  <c r="D19" i="3"/>
  <c r="D20" i="3" s="1" a="1"/>
  <c r="D20" i="3" s="1"/>
  <c r="D18" i="3"/>
  <c r="D10" i="3"/>
  <c r="D9" i="3"/>
  <c r="D11" i="3"/>
  <c r="D56" i="3" s="1"/>
  <c r="B7" i="4" s="1"/>
  <c r="B26" i="4"/>
  <c r="D27" i="3" a="1"/>
  <c r="D29" i="3" a="1"/>
  <c r="D17" i="2" a="1"/>
  <c r="I17" i="2" a="1"/>
  <c r="D19" i="2" a="1"/>
  <c r="I19" i="2" a="1"/>
  <c r="D29" i="3" l="1"/>
  <c r="D27" i="3"/>
  <c r="D12" i="3"/>
  <c r="I19" i="2"/>
  <c r="D28" i="3" s="1"/>
  <c r="D19" i="2"/>
  <c r="I17" i="2"/>
  <c r="D26" i="3" s="1"/>
  <c r="D17" i="2"/>
  <c r="D17" i="3" s="1"/>
  <c r="D21" i="3" a="1"/>
  <c r="D30" i="3" l="1"/>
  <c r="D31" i="3"/>
  <c r="D21" i="3"/>
  <c r="D52" i="3" a="1"/>
  <c r="D52" i="3" s="1"/>
  <c r="G13" i="4" a="1"/>
  <c r="E13" i="4" a="1"/>
  <c r="D13" i="4" a="1"/>
  <c r="F13" i="4" a="1"/>
  <c r="D33" i="3" l="1"/>
  <c r="D17" i="4" s="1"/>
  <c r="D32" i="3"/>
  <c r="F13" i="4"/>
  <c r="D13" i="4"/>
  <c r="E13" i="4"/>
  <c r="G13" i="4"/>
  <c r="D46" i="3" a="1"/>
  <c r="D46" i="3" s="1"/>
  <c r="D45" i="3" a="1"/>
  <c r="D45" i="3" s="1"/>
  <c r="D42" i="3" a="1"/>
  <c r="D42" i="3" s="1"/>
  <c r="D51" i="3" a="1"/>
  <c r="D51" i="3" s="1"/>
  <c r="D43" i="3" a="1"/>
  <c r="D43" i="3" s="1"/>
  <c r="D44" i="3" a="1"/>
  <c r="D44" i="3" s="1"/>
  <c r="D41" i="3" a="1"/>
  <c r="D41" i="3" s="1"/>
  <c r="D54" i="4" a="1"/>
  <c r="C186" i="4" a="1"/>
  <c r="C105" i="4" a="1"/>
  <c r="F12" i="4" a="1"/>
  <c r="D57" i="4" a="1"/>
  <c r="C139" i="4" a="1"/>
  <c r="D95" i="4" a="1"/>
  <c r="C197" i="4" a="1"/>
  <c r="C120" i="4" a="1"/>
  <c r="C170" i="4" a="1"/>
  <c r="C188" i="4" a="1"/>
  <c r="C111" i="4" a="1"/>
  <c r="D76" i="4" a="1"/>
  <c r="C184" i="4" a="1"/>
  <c r="C138" i="4" a="1"/>
  <c r="C28" i="4" a="1"/>
  <c r="B6" i="4" a="1"/>
  <c r="D88" i="4" a="1"/>
  <c r="C181" i="4" a="1"/>
  <c r="C203" i="4" a="1"/>
  <c r="D63" i="4" a="1"/>
  <c r="C179" i="4" a="1"/>
  <c r="D92" i="4" a="1"/>
  <c r="D75" i="4" a="1"/>
  <c r="D86" i="4" a="1"/>
  <c r="D73" i="4" a="1"/>
  <c r="D67" i="4" a="1"/>
  <c r="C153" i="4" a="1"/>
  <c r="C156" i="4" a="1"/>
  <c r="D62" i="4" a="1"/>
  <c r="C171" i="4" a="1"/>
  <c r="D69" i="4" a="1"/>
  <c r="C182" i="4" a="1"/>
  <c r="C106" i="4" a="1"/>
  <c r="C145" i="4" a="1"/>
  <c r="C23" i="4" a="1"/>
  <c r="C128" i="4" a="1"/>
  <c r="C143" i="4" a="1"/>
  <c r="C150" i="4" a="1"/>
  <c r="C24" i="4" a="1"/>
  <c r="C124" i="4" a="1"/>
  <c r="C178" i="4" a="1"/>
  <c r="D64" i="4" a="1"/>
  <c r="C192" i="4" a="1"/>
  <c r="C115" i="4" a="1"/>
  <c r="C110" i="4" a="1"/>
  <c r="D94" i="4" a="1"/>
  <c r="D99" i="4" a="1"/>
  <c r="D87" i="4" a="1"/>
  <c r="D90" i="4" a="1"/>
  <c r="C107" i="4" a="1"/>
  <c r="C201" i="4" a="1"/>
  <c r="C160" i="4" a="1"/>
  <c r="C175" i="4" a="1"/>
  <c r="C113" i="4" a="1"/>
  <c r="C152" i="4" a="1"/>
  <c r="D58" i="4" a="1"/>
  <c r="C147" i="4" a="1"/>
  <c r="D61" i="4" a="1"/>
  <c r="C166" i="4" a="1"/>
  <c r="C130" i="4" a="1"/>
  <c r="C125" i="4" a="1"/>
  <c r="D68" i="4" a="1"/>
  <c r="D15" i="4" a="1"/>
  <c r="C135" i="4" a="1"/>
  <c r="C162" i="4" a="1"/>
  <c r="D56" i="4" a="1"/>
  <c r="D79" i="4" a="1"/>
  <c r="C193" i="4" a="1"/>
  <c r="C118" i="4" a="1"/>
  <c r="C176" i="4" a="1"/>
  <c r="D78" i="4" a="1"/>
  <c r="C163" i="4" a="1"/>
  <c r="C36" i="4" a="1"/>
  <c r="C154" i="4" a="1"/>
  <c r="D83" i="4" a="1"/>
  <c r="C185" i="4" a="1"/>
  <c r="C172" i="4" a="1"/>
  <c r="C140" i="4" a="1"/>
  <c r="C108" i="4" a="1"/>
  <c r="D74" i="4" a="1"/>
  <c r="C103" i="4" a="1"/>
  <c r="C191" i="4" a="1"/>
  <c r="C159" i="4" a="1"/>
  <c r="C127" i="4" a="1"/>
  <c r="D89" i="4" a="1"/>
  <c r="G12" i="4" a="1"/>
  <c r="C146" i="4" a="1"/>
  <c r="D96" i="4" a="1"/>
  <c r="D51" i="4" a="1"/>
  <c r="C189" i="4" a="1"/>
  <c r="C35" i="4" a="1"/>
  <c r="C174" i="4" a="1"/>
  <c r="C177" i="4" a="1"/>
  <c r="D84" i="4" a="1"/>
  <c r="C141" i="4" a="1"/>
  <c r="D80" i="4" a="1"/>
  <c r="C180" i="4" a="1"/>
  <c r="C116" i="4" a="1"/>
  <c r="C199" i="4" a="1"/>
  <c r="D97" i="4" a="1"/>
  <c r="D60" i="4" a="1"/>
  <c r="C165" i="4" a="1"/>
  <c r="C144" i="4" a="1"/>
  <c r="D12" i="4" a="1"/>
  <c r="D93" i="4" a="1"/>
  <c r="C25" i="4" a="1"/>
  <c r="C190" i="4" a="1"/>
  <c r="D91" i="4" a="1"/>
  <c r="C109" i="4" a="1"/>
  <c r="C200" i="4" a="1"/>
  <c r="C168" i="4" a="1"/>
  <c r="C136" i="4" a="1"/>
  <c r="C104" i="4" a="1"/>
  <c r="D70" i="4" a="1"/>
  <c r="D77" i="4" a="1"/>
  <c r="C187" i="4" a="1"/>
  <c r="C155" i="4" a="1"/>
  <c r="C123" i="4" a="1"/>
  <c r="D85" i="4" a="1"/>
  <c r="C202" i="4" a="1"/>
  <c r="C133" i="4" a="1"/>
  <c r="D71" i="4" a="1"/>
  <c r="C129" i="4" a="1"/>
  <c r="C173" i="4" a="1"/>
  <c r="E12" i="4" a="1"/>
  <c r="C158" i="4" a="1"/>
  <c r="C169" i="4" a="1"/>
  <c r="D59" i="4" a="1"/>
  <c r="C134" i="4" a="1"/>
  <c r="D55" i="4" a="1"/>
  <c r="C148" i="4" a="1"/>
  <c r="D82" i="4" a="1"/>
  <c r="C167" i="4" a="1"/>
  <c r="D53" i="4" a="1"/>
  <c r="C117" i="4" a="1"/>
  <c r="C27" i="4" a="1"/>
  <c r="C121" i="4" a="1"/>
  <c r="C112" i="4" a="1"/>
  <c r="C195" i="4" a="1"/>
  <c r="C131" i="4" a="1"/>
  <c r="C26" i="4" a="1"/>
  <c r="D72" i="4" a="1"/>
  <c r="C149" i="4" a="1"/>
  <c r="C196" i="4" a="1"/>
  <c r="C164" i="4" a="1"/>
  <c r="C132" i="4" a="1"/>
  <c r="D98" i="4" a="1"/>
  <c r="D66" i="4" a="1"/>
  <c r="D65" i="4" a="1"/>
  <c r="C183" i="4" a="1"/>
  <c r="C151" i="4" a="1"/>
  <c r="C119" i="4" a="1"/>
  <c r="D81" i="4" a="1"/>
  <c r="C194" i="4" a="1"/>
  <c r="C126" i="4" a="1"/>
  <c r="C198" i="4" a="1"/>
  <c r="C122" i="4" a="1"/>
  <c r="C157" i="4" a="1"/>
  <c r="C137" i="4" a="1"/>
  <c r="C142" i="4" a="1"/>
  <c r="C161" i="4" a="1"/>
  <c r="D52" i="4" a="1"/>
  <c r="C114" i="4" a="1"/>
  <c r="D100" i="4" a="1"/>
  <c r="E23" i="4" a="1"/>
  <c r="D23" i="4" a="1"/>
  <c r="D27" i="4" a="1"/>
  <c r="E27" i="4" a="1"/>
  <c r="E24" i="4" a="1"/>
  <c r="D24" i="4" a="1"/>
  <c r="E25" i="4" a="1"/>
  <c r="D25" i="4" a="1"/>
  <c r="E26" i="4" a="1"/>
  <c r="D26" i="4" a="1"/>
  <c r="E28" i="4" a="1"/>
  <c r="D28" i="4" a="1"/>
  <c r="C45" i="3" l="1"/>
  <c r="D16" i="4"/>
  <c r="C46" i="3"/>
  <c r="C42" i="3"/>
  <c r="C41" i="3"/>
  <c r="E41" i="3" s="1" a="1"/>
  <c r="E41" i="3" s="1"/>
  <c r="C44" i="3"/>
  <c r="D34" i="3"/>
  <c r="D35" i="3"/>
  <c r="C43" i="3"/>
  <c r="D28" i="4"/>
  <c r="E28" i="4"/>
  <c r="D26" i="4"/>
  <c r="E26" i="4"/>
  <c r="D25" i="4"/>
  <c r="E25" i="4"/>
  <c r="D24" i="4"/>
  <c r="E24" i="4"/>
  <c r="E27" i="4"/>
  <c r="D27" i="4"/>
  <c r="D23" i="4"/>
  <c r="E23" i="4"/>
  <c r="D100" i="4"/>
  <c r="C114" i="4"/>
  <c r="D52" i="4"/>
  <c r="C161" i="4"/>
  <c r="C142" i="4"/>
  <c r="C137" i="4"/>
  <c r="C157" i="4"/>
  <c r="C122" i="4"/>
  <c r="C198" i="4"/>
  <c r="C126" i="4"/>
  <c r="C194" i="4"/>
  <c r="D81" i="4"/>
  <c r="C119" i="4"/>
  <c r="C151" i="4"/>
  <c r="C183" i="4"/>
  <c r="D65" i="4"/>
  <c r="D66" i="4"/>
  <c r="D98" i="4"/>
  <c r="C132" i="4"/>
  <c r="C164" i="4"/>
  <c r="C196" i="4"/>
  <c r="C149" i="4"/>
  <c r="D72" i="4"/>
  <c r="C26" i="4"/>
  <c r="C131" i="4"/>
  <c r="C195" i="4"/>
  <c r="C112" i="4"/>
  <c r="C121" i="4"/>
  <c r="C27" i="4"/>
  <c r="C117" i="4"/>
  <c r="D53" i="4"/>
  <c r="C167" i="4"/>
  <c r="D82" i="4"/>
  <c r="C148" i="4"/>
  <c r="D55" i="4"/>
  <c r="C134" i="4"/>
  <c r="D59" i="4"/>
  <c r="C169" i="4"/>
  <c r="C158" i="4"/>
  <c r="E12" i="4"/>
  <c r="C173" i="4"/>
  <c r="C129" i="4"/>
  <c r="D71" i="4"/>
  <c r="C133" i="4"/>
  <c r="C202" i="4"/>
  <c r="D85" i="4"/>
  <c r="C123" i="4"/>
  <c r="C155" i="4"/>
  <c r="C187" i="4"/>
  <c r="D77" i="4"/>
  <c r="D70" i="4"/>
  <c r="C104" i="4"/>
  <c r="C136" i="4"/>
  <c r="C168" i="4"/>
  <c r="C200" i="4"/>
  <c r="C109" i="4"/>
  <c r="D91" i="4"/>
  <c r="C190" i="4"/>
  <c r="C25" i="4"/>
  <c r="D93" i="4"/>
  <c r="D12" i="4"/>
  <c r="C144" i="4"/>
  <c r="C165" i="4"/>
  <c r="D60" i="4"/>
  <c r="D97" i="4"/>
  <c r="C199" i="4"/>
  <c r="C116" i="4"/>
  <c r="C180" i="4"/>
  <c r="D80" i="4"/>
  <c r="C141" i="4"/>
  <c r="D84" i="4"/>
  <c r="C177" i="4"/>
  <c r="C174" i="4"/>
  <c r="C35" i="4"/>
  <c r="C189" i="4"/>
  <c r="D51" i="4"/>
  <c r="D96" i="4"/>
  <c r="C146" i="4"/>
  <c r="G12" i="4"/>
  <c r="D89" i="4"/>
  <c r="C127" i="4"/>
  <c r="C159" i="4"/>
  <c r="C191" i="4"/>
  <c r="C103" i="4"/>
  <c r="D74" i="4"/>
  <c r="C108" i="4"/>
  <c r="C140" i="4"/>
  <c r="C172" i="4"/>
  <c r="C185" i="4"/>
  <c r="D83" i="4"/>
  <c r="C154" i="4"/>
  <c r="C36" i="4"/>
  <c r="C163" i="4"/>
  <c r="D78" i="4"/>
  <c r="C176" i="4"/>
  <c r="C118" i="4"/>
  <c r="C193" i="4"/>
  <c r="D79" i="4"/>
  <c r="D56" i="4"/>
  <c r="C162" i="4"/>
  <c r="C135" i="4"/>
  <c r="D15" i="4"/>
  <c r="D68" i="4"/>
  <c r="C125" i="4"/>
  <c r="C130" i="4"/>
  <c r="C166" i="4"/>
  <c r="D61" i="4"/>
  <c r="C147" i="4"/>
  <c r="D58" i="4"/>
  <c r="C152" i="4"/>
  <c r="C113" i="4"/>
  <c r="C175" i="4"/>
  <c r="C160" i="4"/>
  <c r="C201" i="4"/>
  <c r="C107" i="4"/>
  <c r="D90" i="4"/>
  <c r="D87" i="4"/>
  <c r="D99" i="4"/>
  <c r="D94" i="4"/>
  <c r="C110" i="4"/>
  <c r="C115" i="4"/>
  <c r="C192" i="4"/>
  <c r="D64" i="4"/>
  <c r="C178" i="4"/>
  <c r="C124" i="4"/>
  <c r="C24" i="4"/>
  <c r="C150" i="4"/>
  <c r="C143" i="4"/>
  <c r="C128" i="4"/>
  <c r="C23" i="4"/>
  <c r="C145" i="4"/>
  <c r="C106" i="4"/>
  <c r="C182" i="4"/>
  <c r="D69" i="4"/>
  <c r="C171" i="4"/>
  <c r="D62" i="4"/>
  <c r="C156" i="4"/>
  <c r="C153" i="4"/>
  <c r="D67" i="4"/>
  <c r="D73" i="4"/>
  <c r="D86" i="4"/>
  <c r="D75" i="4"/>
  <c r="D92" i="4"/>
  <c r="C179" i="4"/>
  <c r="D63" i="4"/>
  <c r="C203" i="4"/>
  <c r="C181" i="4"/>
  <c r="D88" i="4"/>
  <c r="B6" i="4"/>
  <c r="C28" i="4"/>
  <c r="C138" i="4"/>
  <c r="C184" i="4"/>
  <c r="D76" i="4"/>
  <c r="C111" i="4"/>
  <c r="C188" i="4"/>
  <c r="C170" i="4"/>
  <c r="C120" i="4"/>
  <c r="C197" i="4"/>
  <c r="D95" i="4"/>
  <c r="C139" i="4"/>
  <c r="D57" i="4"/>
  <c r="F12" i="4"/>
  <c r="C105" i="4"/>
  <c r="C186" i="4"/>
  <c r="D54" i="4"/>
  <c r="E46" i="3" a="1"/>
  <c r="E46" i="3" s="1"/>
  <c r="E44" i="3" a="1"/>
  <c r="E44" i="3" s="1"/>
  <c r="E43" i="3" a="1"/>
  <c r="E43" i="3" s="1"/>
  <c r="E42" i="3" a="1"/>
  <c r="E42" i="3" s="1"/>
  <c r="E45" i="3" a="1"/>
  <c r="E45" i="3" s="1"/>
  <c r="E36" i="4" a="1"/>
  <c r="E35" i="4" a="1"/>
  <c r="F23" i="4" a="1"/>
  <c r="F27" i="4" a="1"/>
  <c r="F25" i="4" a="1"/>
  <c r="F28" i="4" a="1"/>
  <c r="F26" i="4" a="1"/>
  <c r="F24" i="4" a="1"/>
  <c r="F23" i="4" l="1"/>
  <c r="E35" i="4"/>
  <c r="E36" i="4"/>
  <c r="D35" i="4"/>
  <c r="D36" i="4"/>
  <c r="F24" i="4"/>
  <c r="F26" i="4"/>
  <c r="F28" i="4"/>
  <c r="F25" i="4"/>
  <c r="F27" i="4"/>
  <c r="C228" i="4"/>
  <c r="C219" i="4"/>
  <c r="C217" i="4"/>
  <c r="C218" i="4"/>
  <c r="C210" i="4"/>
  <c r="C230" i="4"/>
  <c r="D230" i="4" s="1"/>
  <c r="G230" i="4" s="1" a="1"/>
  <c r="G230" i="4" s="1"/>
  <c r="C226" i="4"/>
  <c r="C224" i="4"/>
  <c r="C222" i="4"/>
  <c r="C213" i="4"/>
  <c r="C220" i="4"/>
  <c r="C212" i="4"/>
  <c r="C225" i="4"/>
  <c r="C221" i="4"/>
  <c r="C223" i="4"/>
  <c r="C208" i="4"/>
  <c r="C207" i="4"/>
  <c r="C214" i="4"/>
  <c r="C211" i="4"/>
  <c r="C227" i="4"/>
  <c r="C216" i="4"/>
  <c r="C215" i="4"/>
  <c r="C206" i="4"/>
  <c r="C209" i="4"/>
  <c r="C229" i="4"/>
  <c r="G23" i="4" l="1"/>
  <c r="G27" i="4"/>
  <c r="E214" i="4"/>
  <c r="D214" i="4"/>
  <c r="G214" i="4" s="1" a="1"/>
  <c r="G214" i="4" s="1"/>
  <c r="E206" i="4"/>
  <c r="D206" i="4"/>
  <c r="G206" i="4" s="1" a="1"/>
  <c r="G206" i="4" s="1"/>
  <c r="G28" i="4"/>
  <c r="D219" i="4"/>
  <c r="G219" i="4" s="1" a="1"/>
  <c r="G219" i="4" s="1"/>
  <c r="E219" i="4"/>
  <c r="D223" i="4"/>
  <c r="G223" i="4" s="1" a="1"/>
  <c r="G223" i="4" s="1"/>
  <c r="E223" i="4"/>
  <c r="E226" i="4"/>
  <c r="D226" i="4"/>
  <c r="G226" i="4" s="1" a="1"/>
  <c r="G226" i="4" s="1"/>
  <c r="D215" i="4"/>
  <c r="G215" i="4" s="1" a="1"/>
  <c r="G215" i="4" s="1"/>
  <c r="E215" i="4"/>
  <c r="E221" i="4"/>
  <c r="D221" i="4"/>
  <c r="G221" i="4" s="1" a="1"/>
  <c r="G221" i="4" s="1"/>
  <c r="E216" i="4"/>
  <c r="D216" i="4"/>
  <c r="G216" i="4" s="1" a="1"/>
  <c r="G216" i="4" s="1"/>
  <c r="E210" i="4"/>
  <c r="D210" i="4"/>
  <c r="G210" i="4" s="1" a="1"/>
  <c r="G210" i="4" s="1"/>
  <c r="D212" i="4"/>
  <c r="G212" i="4" s="1" a="1"/>
  <c r="G212" i="4" s="1"/>
  <c r="E212" i="4"/>
  <c r="E218" i="4"/>
  <c r="D218" i="4"/>
  <c r="G218" i="4" s="1" a="1"/>
  <c r="G218" i="4" s="1"/>
  <c r="G26" i="4"/>
  <c r="E213" i="4"/>
  <c r="D213" i="4"/>
  <c r="G213" i="4" s="1" a="1"/>
  <c r="G213" i="4" s="1"/>
  <c r="E229" i="4"/>
  <c r="D229" i="4"/>
  <c r="G229" i="4" s="1" a="1"/>
  <c r="G229" i="4" s="1"/>
  <c r="D207" i="4"/>
  <c r="G207" i="4" s="1" a="1"/>
  <c r="G207" i="4" s="1"/>
  <c r="E207" i="4"/>
  <c r="D222" i="4"/>
  <c r="G222" i="4" s="1" a="1"/>
  <c r="G222" i="4" s="1"/>
  <c r="F221" i="4" s="1"/>
  <c r="E222" i="4"/>
  <c r="D228" i="4"/>
  <c r="G228" i="4" s="1" a="1"/>
  <c r="G228" i="4" s="1"/>
  <c r="E228" i="4"/>
  <c r="E209" i="4"/>
  <c r="D209" i="4"/>
  <c r="G209" i="4" s="1" a="1"/>
  <c r="G209" i="4" s="1"/>
  <c r="E208" i="4"/>
  <c r="D208" i="4"/>
  <c r="G208" i="4" s="1" a="1"/>
  <c r="G208" i="4" s="1"/>
  <c r="E224" i="4"/>
  <c r="D224" i="4"/>
  <c r="G224" i="4" s="1" a="1"/>
  <c r="G224" i="4" s="1"/>
  <c r="G25" i="4"/>
  <c r="D225" i="4"/>
  <c r="G225" i="4" s="1" a="1"/>
  <c r="G225" i="4" s="1"/>
  <c r="E225" i="4"/>
  <c r="D227" i="4"/>
  <c r="G227" i="4" s="1" a="1"/>
  <c r="G227" i="4" s="1"/>
  <c r="E227" i="4"/>
  <c r="D211" i="4"/>
  <c r="G211" i="4" s="1" a="1"/>
  <c r="G211" i="4" s="1"/>
  <c r="E211" i="4"/>
  <c r="D220" i="4"/>
  <c r="G220" i="4" s="1" a="1"/>
  <c r="G220" i="4" s="1"/>
  <c r="E220" i="4"/>
  <c r="D217" i="4"/>
  <c r="G217" i="4" s="1" a="1"/>
  <c r="G217" i="4" s="1"/>
  <c r="E217" i="4"/>
  <c r="G24" i="4"/>
  <c r="F228" i="4" l="1"/>
  <c r="F210" i="4"/>
  <c r="F206" i="4"/>
  <c r="F207" i="4"/>
  <c r="F214" i="4"/>
  <c r="F226" i="4"/>
  <c r="F216" i="4"/>
  <c r="F223" i="4"/>
  <c r="F217" i="4"/>
  <c r="F220" i="4"/>
  <c r="F225" i="4"/>
  <c r="F211" i="4"/>
  <c r="F209" i="4"/>
  <c r="F208" i="4"/>
  <c r="F229" i="4"/>
  <c r="F224" i="4"/>
  <c r="F212" i="4"/>
  <c r="F218" i="4"/>
  <c r="F227" i="4"/>
  <c r="F215" i="4"/>
  <c r="F213" i="4"/>
  <c r="F219" i="4"/>
  <c r="F222" i="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<sst xmlns="http://schemas.openxmlformats.org/spreadsheetml/2006/main" count="349" uniqueCount="262">
  <si>
    <t xml:space="preserve">Управление запасами при неопределенном спросе и сроке поставки</t>
  </si>
  <si>
    <t xml:space="preserve">Пример МоделРиск  ·  Производство  ·  MF-04</t>
  </si>
  <si>
    <t xml:space="preserve">Когда заказывать?  Спрос, пока заказ в пути, уровень обслуживания, который он обеспечивает, и затраты.</t>
  </si>
  <si>
    <t xml:space="preserve">Далее:  Исходные данные  ▸</t>
  </si>
  <si>
    <t xml:space="preserve">Карточка модели</t>
  </si>
  <si>
    <t xml:space="preserve">Отрасль</t>
  </si>
  <si>
    <t xml:space="preserve">Производство</t>
  </si>
  <si>
    <t xml:space="preserve">Сложность</t>
  </si>
  <si>
    <t xml:space="preserve">★★★☆☆   Спрос за случайный срок поставки как агрегированная величина, уровень обслуживания каждой точки заказа и ее затраты.</t>
  </si>
  <si>
    <t xml:space="preserve">Вопрос бизнеса</t>
  </si>
  <si>
    <t xml:space="preserve">Дистрибьютор продает около 40 штук компонента в день и заказывает у поставщика, который обычно привозит примерно за неделю — но примерно один заказ из десяти задерживается еще на одну–три недели. При каком уровне запаса заказывать, чтобы клиенты были обеспечены, какой уровень обслуживания дает каждая точка заказа и какая из них дешевле всего, если учесть и хранение запаса, и нехватку?</t>
  </si>
  <si>
    <t xml:space="preserve">Для кого</t>
  </si>
  <si>
    <t xml:space="preserve">Специалистам по цепям поставок и планированию запасов, руководителям операций, закупщикам.</t>
  </si>
  <si>
    <t xml:space="preserve">Основные результаты</t>
  </si>
  <si>
    <t xml:space="preserve">Спрос за срок поставки, по моделированию и по учебной нормальной формуле · для шести точек заказа: уровень обслуживания цикла, коэффициент выполнения спроса, нехватка за год и годовые затраты · точка заказа, которая действительно нужна для обслуживания 95% и 99%.</t>
  </si>
  <si>
    <t xml:space="preserve">Приемы МоделРиск</t>
  </si>
  <si>
    <t xml:space="preserve">Срок поставки как PERT плюс рисковое событие сбоя (VoseRiskEvent) · спрос за срок поставки как сумма случайного числа дневных спросов (VoseAggregateMC) · уровни обслуживания и ожидаемая нехватка по моделированию (VoseSimProbability, VoseSimMean) · экономичный размер заказа · нормальное приближение для сравнения.</t>
  </si>
  <si>
    <t xml:space="preserve">Файл</t>
  </si>
  <si>
    <t xml:space="preserve">MF-04 Управление запасами при неопределенном спросе и сроке поставки  ·  Версия 1.0  ·  Ноябрь 2026  ·  создано в МоделРиск</t>
  </si>
  <si>
    <t xml:space="preserve">Вопрос бизнеса</t>
  </si>
  <si>
    <t xml:space="preserve">Дистрибьютор держит на складе ходовой компонент: около 40 штук в день, но в одни дни 20, а в другие 70. Когда запас падает до точки заказа, он заказывает экономичную партию, которую поставщик обычно привозит за пять–десять дней. Однако примерно один заказ из десяти задерживается — пропущенный рейс, таможенная проверка — еще на одну–три недели, и запаса должно хватить до его прибытия. Учебная точка заказа добавляет страховой запас на основе нормального распределения. Модель моделирует спрос за срок поставки таким, каков он на самом деле, сравнивает шесть точек заказа по обслуживанию и затратам и показывает, насколько нормальная формула недооценивает потребность.</t>
  </si>
  <si>
    <t xml:space="preserve">Как устроена модель</t>
  </si>
  <si>
    <t xml:space="preserve">Дальше три листа, слева направо. Каждый передает данные следующему.</t>
  </si>
  <si>
    <t xml:space="preserve">1  Исходные данные</t>
  </si>
  <si>
    <t xml:space="preserve">Среднее и разброс дневного спроса; обычный срок поставки (PERT), вероятность и длительность сбоя (рисковое событие); стоимость единицы, затраты на хранение, на размещение заказа и на нехватку единицы; сравниваемые точки заказа.</t>
  </si>
  <si>
    <t xml:space="preserve">2  Запасы</t>
  </si>
  <si>
    <t xml:space="preserve">Размер заказа — экономичный размер заказа. На каждой итерации разыгрывается один срок поставки — обычный плюс возможный сбой, в целых днях — и складывается столько же дневных спросов (VoseAggregateMC). Для каждой точки заказа нехватка в этом цикле пополнения и затраты за год таких циклов записываются как выходы.</t>
  </si>
  <si>
    <t xml:space="preserve">3  Результаты</t>
  </si>
  <si>
    <t xml:space="preserve">Уровень обслуживания цикла (вероятность отсутствия нехватки в цикле), коэффициент выполнения спроса (доля спроса, обслуженная со склада), нехватка за год и годовые затраты для каждой точки заказа; точка заказа, нужная для обслуживания 95% и 99%, в сравнении с нормальной формулой.</t>
  </si>
  <si>
    <t xml:space="preserve">Как пользоваться моделью</t>
  </si>
  <si>
    <t xml:space="preserve">Шаг 1</t>
  </si>
  <si>
    <t xml:space="preserve">Введите свой спрос, сроки поставки поставщика и вероятность сбоя.</t>
  </si>
  <si>
    <t xml:space="preserve">Шаг 2</t>
  </si>
  <si>
    <t xml:space="preserve">Введите свои затраты и диапазон сравниваемых точек заказа.</t>
  </si>
  <si>
    <t xml:space="preserve">Шаг 3</t>
  </si>
  <si>
    <t xml:space="preserve">Запустите моделирование на ленте МоделРиск (уже заданы 10 000 итераций и фиксированное начальное число генератора).</t>
  </si>
  <si>
    <t xml:space="preserve">Шаг 4</t>
  </si>
  <si>
    <t xml:space="preserve">Выберите точку заказа с наименьшими затратами или ту, что достигает вашей цели обслуживания.</t>
  </si>
  <si>
    <t xml:space="preserve">Структура модели</t>
  </si>
  <si>
    <t xml:space="preserve">Исходные данные</t>
  </si>
  <si>
    <t xml:space="preserve">Спрос, срок поставки, затраты, точки заказа.</t>
  </si>
  <si>
    <t xml:space="preserve">Запасы</t>
  </si>
  <si>
    <t xml:space="preserve">Размер заказа; срок поставки и спрос за него; нормальная формула; нехватка и затраты по точкам заказа; выходы и проверки.</t>
  </si>
  <si>
    <t xml:space="preserve">Результаты</t>
  </si>
  <si>
    <t xml:space="preserve">Обслуживание и затраты по точкам заказа; моделирование против нормальной формулы.</t>
  </si>
  <si>
    <t xml:space="preserve">Цветовые обозначения</t>
  </si>
  <si>
    <t xml:space="preserve">Исходное значение</t>
  </si>
  <si>
    <t xml:space="preserve">Допущение, которое можно менять. Исходные данные — только в этих ячейках.</t>
  </si>
  <si>
    <t xml:space="preserve">Неопределенная величина</t>
  </si>
  <si>
    <t xml:space="preserve">Распределение МоделРиск: новое случайное значение выбирается при каждом пересчете (F9) и в каждой итерации моделирования.</t>
  </si>
  <si>
    <t xml:space="preserve">Расчет</t>
  </si>
  <si>
    <t xml:space="preserve">Формула. Не перезаписывайте.</t>
  </si>
  <si>
    <t xml:space="preserve">Ключевой результат</t>
  </si>
  <si>
    <t xml:space="preserve">Отмечен функцией VoseOutput: при моделировании сохраняется его полное распределение.</t>
  </si>
  <si>
    <t xml:space="preserve">Результат моделирования</t>
  </si>
  <si>
    <t xml:space="preserve">Функция VoseSim…: статистика последнего моделирования, заполняется автоматически.</t>
  </si>
  <si>
    <t xml:space="preserve">Единицы и обозначения</t>
  </si>
  <si>
    <t xml:space="preserve">Единицы</t>
  </si>
  <si>
    <t xml:space="preserve">Штуки компонента; деньги в долл. США.</t>
  </si>
  <si>
    <t xml:space="preserve">Точка заказа</t>
  </si>
  <si>
    <t xml:space="preserve">Уровень запаса (на складе плюс в заказе), при котором размещается новый заказ.</t>
  </si>
  <si>
    <t xml:space="preserve">Уровень обслуживания цикла</t>
  </si>
  <si>
    <t xml:space="preserve">Вероятность, что запас не кончится до прихода заказа.</t>
  </si>
  <si>
    <t xml:space="preserve">Выполнение спроса</t>
  </si>
  <si>
    <t xml:space="preserve">Доля спроса, обслуженная со склада: 1 − нехватка ÷ размер заказа.</t>
  </si>
  <si>
    <t xml:space="preserve">Страховой запас</t>
  </si>
  <si>
    <t xml:space="preserve">Точка заказа − средний спрос за срок поставки.</t>
  </si>
  <si>
    <t xml:space="preserve">Основные допущения и ограничения</t>
  </si>
  <si>
    <t xml:space="preserve">Политика</t>
  </si>
  <si>
    <t xml:space="preserve">Непрерывный контроль: заказ фиксированного размера всякий раз, когда запас достигает точки заказа; в каждый момент открыт только один заказ.</t>
  </si>
  <si>
    <t xml:space="preserve">Спрос</t>
  </si>
  <si>
    <t xml:space="preserve">Дневные спросы — независимые гамма-величины; неудовлетворенный спрос теряется.</t>
  </si>
  <si>
    <t xml:space="preserve">Срок поставки</t>
  </si>
  <si>
    <t xml:space="preserve">Не зависит от спроса; сбои затрагивают заказы целиком.</t>
  </si>
  <si>
    <t xml:space="preserve">Данные</t>
  </si>
  <si>
    <t xml:space="preserve">Продукт и все цифры придуманы для этого примера.</t>
  </si>
  <si>
    <t xml:space="preserve">Функции МоделРиск в модели</t>
  </si>
  <si>
    <t>VosePERT, VoseRiskEvent</t>
  </si>
  <si>
    <t xml:space="preserve">Обычный срок поставки и задержка из-за сбоя.</t>
  </si>
  <si>
    <t>VoseAggregateMC, VoseGammaObject</t>
  </si>
  <si>
    <t xml:space="preserve">Спрос за срок поставки: случайное число дней, в каждый из которых спрос гамма-распределен.</t>
  </si>
  <si>
    <t>VoseVariance, VosePERTObject, VoseRiskEventObject</t>
  </si>
  <si>
    <t xml:space="preserve">Дисперсия обычного срока поставки и задержки из-за сбоя, для нормальной формулы.</t>
  </si>
  <si>
    <t>VoseSimProbability, VoseSimMean, VoseSimPercentile</t>
  </si>
  <si>
    <t xml:space="preserve">Уровни обслуживания, ожидаемая нехватка и затраты, точки заказа, нужные для целей.</t>
  </si>
  <si>
    <t xml:space="preserve">Что почитать</t>
  </si>
  <si>
    <t xml:space="preserve">Управление запасами</t>
  </si>
  <si>
    <t>Silver, E. A., Pyke, D. F. &amp; Thomas, D. J. (2017). Inventory and Production Management in Supply Chains, 4th edition. CRC Press.</t>
  </si>
  <si>
    <t xml:space="preserve">Анализ рисков</t>
  </si>
  <si>
    <t xml:space="preserve">Метод Монте-Карло в анализе рисков: что это и как работает (статья)</t>
  </si>
  <si>
    <t xml:space="preserve">© 2026 ООО «Стратегия Риска»   ·   www.riskstrategy.ru   ·   Учебный пример: цифры придуманы для обучения и не описывают реальную компанию, проект или актив.</t>
  </si>
  <si>
    <t xml:space="preserve">ИСХОДНЫЕ ДАННЫЕ   ·   Все допущения модели, их неопределенность и обоснование. Меняйте только желтые ячейки.</t>
  </si>
  <si>
    <t xml:space="preserve">◂  Описание</t>
  </si>
  <si>
    <t xml:space="preserve">Далее:  Запасы  ▸</t>
  </si>
  <si>
    <t xml:space="preserve">Как читать этот лист:  желтые ячейки — исходные данные.  В оранжевых ячейках распределения МоделРиск, они показывают текущее случайное значение (F9 — выбрать заново).  Мин. / Наиболее вероятное / Макс. — минимум, наиболее вероятное значение и максимум для PERT.  Среднее — среднее значение распределения (VoseMean); если диапазон задан неверно, показывается ✗.</t>
  </si>
  <si>
    <t xml:space="preserve">1   Спрос</t>
  </si>
  <si>
    <t xml:space="preserve">Допущение</t>
  </si>
  <si>
    <t xml:space="preserve">Ед. изм.</t>
  </si>
  <si>
    <t xml:space="preserve">Значение в модели</t>
  </si>
  <si>
    <t xml:space="preserve">Неопределенность</t>
  </si>
  <si>
    <t xml:space="preserve">Обоснование / источник (условно)</t>
  </si>
  <si>
    <t xml:space="preserve">Средний дневной спрос</t>
  </si>
  <si>
    <t xml:space="preserve">шт. в день</t>
  </si>
  <si>
    <t xml:space="preserve">Константа</t>
  </si>
  <si>
    <t xml:space="preserve">Продажи прошлого года ÷ дни продаж.</t>
  </si>
  <si>
    <t xml:space="preserve">Стандартное отклонение дневного спроса</t>
  </si>
  <si>
    <t xml:space="preserve">По дневным записям продаж.</t>
  </si>
  <si>
    <t xml:space="preserve">Дней продаж в году</t>
  </si>
  <si>
    <t xml:space="preserve">дн.</t>
  </si>
  <si>
    <t xml:space="preserve">2   Срок поставки</t>
  </si>
  <si>
    <t xml:space="preserve">Дни от размещения заказа до получения.</t>
  </si>
  <si>
    <t xml:space="preserve">Мин.</t>
  </si>
  <si>
    <t xml:space="preserve">Наиболее вероятное</t>
  </si>
  <si>
    <t xml:space="preserve">Макс.</t>
  </si>
  <si>
    <t xml:space="preserve">Среднее</t>
  </si>
  <si>
    <t xml:space="preserve">Обычный срок поставки</t>
  </si>
  <si>
    <t>PERT</t>
  </si>
  <si>
    <t xml:space="preserve">Обычная поставка поставщика.</t>
  </si>
  <si>
    <t xml:space="preserve">Вероятность сбоя</t>
  </si>
  <si>
    <t xml:space="preserve">заказов</t>
  </si>
  <si>
    <t xml:space="preserve">Примерно один заказ из десяти задерживается.</t>
  </si>
  <si>
    <t xml:space="preserve">Задержка из-за сбоя</t>
  </si>
  <si>
    <t xml:space="preserve">Рисковое событие  · PERT</t>
  </si>
  <si>
    <t xml:space="preserve">Пропущенный рейс или таможенная проверка: одна–три лишние недели.</t>
  </si>
  <si>
    <t xml:space="preserve">3   Затраты</t>
  </si>
  <si>
    <t xml:space="preserve">Стоимость единицы</t>
  </si>
  <si>
    <t xml:space="preserve">долл.</t>
  </si>
  <si>
    <t xml:space="preserve">Затраты на хранение</t>
  </si>
  <si>
    <t xml:space="preserve">стоимости единицы в год</t>
  </si>
  <si>
    <t xml:space="preserve">Капитал, хранение, устаревание.</t>
  </si>
  <si>
    <t xml:space="preserve">Затраты на размещение заказа</t>
  </si>
  <si>
    <t xml:space="preserve">Закупка, бронирование перевозки, приемка.</t>
  </si>
  <si>
    <t xml:space="preserve">Затраты на недостающую единицу</t>
  </si>
  <si>
    <t xml:space="preserve">Потерянная маржа и репутация.</t>
  </si>
  <si>
    <t xml:space="preserve">4   Сравниваемые точки заказа</t>
  </si>
  <si>
    <t xml:space="preserve">Наименьшая точка заказа</t>
  </si>
  <si>
    <t xml:space="preserve">шт.</t>
  </si>
  <si>
    <t xml:space="preserve">Сравниваются шесть.</t>
  </si>
  <si>
    <t xml:space="preserve">Шаг между точками заказа</t>
  </si>
  <si>
    <t xml:space="preserve">ЗАПАСЫ   ·   Размер заказа, срок поставки этой итерации и спрос за него, нехватка и затраты для каждой точки заказа.</t>
  </si>
  <si>
    <t xml:space="preserve">◂  Исходные данные</t>
  </si>
  <si>
    <t xml:space="preserve">Далее:  Результаты  ▸</t>
  </si>
  <si>
    <t xml:space="preserve">1   Размер заказа</t>
  </si>
  <si>
    <t xml:space="preserve">Экономичный размер заказа уравновешивает затраты на заказ и на хранение.</t>
  </si>
  <si>
    <t xml:space="preserve">Величина</t>
  </si>
  <si>
    <t xml:space="preserve">Значение</t>
  </si>
  <si>
    <t xml:space="preserve">Как рассчитывается</t>
  </si>
  <si>
    <t xml:space="preserve">Годовой спрос</t>
  </si>
  <si>
    <t xml:space="preserve">Дневной спрос × дни продаж</t>
  </si>
  <si>
    <t xml:space="preserve">Затраты на хранение единицы</t>
  </si>
  <si>
    <t xml:space="preserve">долл. в год</t>
  </si>
  <si>
    <t xml:space="preserve">Размер заказа</t>
  </si>
  <si>
    <t xml:space="preserve">√(2 × годовой спрос × затраты на заказ ÷ затраты на хранение), с округлением</t>
  </si>
  <si>
    <t xml:space="preserve">Заказов в год</t>
  </si>
  <si>
    <t xml:space="preserve">изменений</t>
  </si>
  <si>
    <t xml:space="preserve">Каждый заказ — один цикл пополнения</t>
  </si>
  <si>
    <t xml:space="preserve">2   Спрос за срок поставки</t>
  </si>
  <si>
    <t xml:space="preserve">Нажмите F9 для следующего цикла пополнения.</t>
  </si>
  <si>
    <t xml:space="preserve">Срок поставки в этом цикле</t>
  </si>
  <si>
    <t xml:space="preserve">Обычный срок поставки + возможный сбой, в целых днях</t>
  </si>
  <si>
    <t xml:space="preserve">Дневной спрос: параметр формы гамма-распределения α</t>
  </si>
  <si>
    <t xml:space="preserve">(среднее ÷ стандартное отклонение)²</t>
  </si>
  <si>
    <t xml:space="preserve">Дневной спрос: параметр масштаба гамма-распределения β</t>
  </si>
  <si>
    <t xml:space="preserve">Дисперсия ÷ среднее, чтобы α × β было средним</t>
  </si>
  <si>
    <t xml:space="preserve">Дневной спрос</t>
  </si>
  <si>
    <t xml:space="preserve">объект</t>
  </si>
  <si>
    <t xml:space="preserve">Гамма-распределение со средним и стандартным отклонением спроса</t>
  </si>
  <si>
    <t xml:space="preserve">Спрос за срок поставки</t>
  </si>
  <si>
    <t xml:space="preserve">VoseAggregateMC(дни, дневной спрос): сумма за столько дней</t>
  </si>
  <si>
    <t xml:space="preserve">3   Нормальная формула</t>
  </si>
  <si>
    <t xml:space="preserve">Учебный подход: спрос за срок поставки как нормальное распределение с правильными средним и разбросом.</t>
  </si>
  <si>
    <t xml:space="preserve">Обычный срок поставки: среднее</t>
  </si>
  <si>
    <t xml:space="preserve">Среднее PERT, с листа «Исходные данные»</t>
  </si>
  <si>
    <t xml:space="preserve">Обычный срок поставки: дисперсия</t>
  </si>
  <si>
    <t xml:space="preserve">дней²</t>
  </si>
  <si>
    <t xml:space="preserve">VoseVariance для PERT</t>
  </si>
  <si>
    <t xml:space="preserve">Задержка из-за сбоя: среднее</t>
  </si>
  <si>
    <t xml:space="preserve">Среднее рискового события, с листа «Исходные данные»: вероятность × средняя задержка</t>
  </si>
  <si>
    <t xml:space="preserve">Задержка из-за сбоя: дисперсия</t>
  </si>
  <si>
    <t xml:space="preserve">VoseVariance рискового события: в большинстве заказов задержка нулевая</t>
  </si>
  <si>
    <t xml:space="preserve">Срок поставки: среднее</t>
  </si>
  <si>
    <t xml:space="preserve">Сумма двух средних</t>
  </si>
  <si>
    <t xml:space="preserve">Срок поставки: дисперсия</t>
  </si>
  <si>
    <t xml:space="preserve">Сумма двух дисперсий: части независимы</t>
  </si>
  <si>
    <t xml:space="preserve">Спрос за срок поставки: среднее</t>
  </si>
  <si>
    <t xml:space="preserve">Средний срок поставки × средний дневной спрос</t>
  </si>
  <si>
    <t xml:space="preserve">Спрос за срок поставки: стандартное отклонение</t>
  </si>
  <si>
    <t xml:space="preserve">√(срок поставки × дисперсия спроса + спрос² × дисперсия срока поставки)</t>
  </si>
  <si>
    <t xml:space="preserve">Точка заказа для обслуживания 95%, нормальная формула</t>
  </si>
  <si>
    <t xml:space="preserve">Среднее + 1,645 стандартного отклонения</t>
  </si>
  <si>
    <t xml:space="preserve">Точка заказа для обслуживания 99%, нормальная формула</t>
  </si>
  <si>
    <t xml:space="preserve">Среднее + 2,326 стандартного отклонения</t>
  </si>
  <si>
    <t xml:space="preserve">4   Нехватка и затраты в этом цикле</t>
  </si>
  <si>
    <t xml:space="preserve">Для каждой точки заказа: нехватка до прихода заказа и затраты за год таких циклов. Оба значения — выходы.</t>
  </si>
  <si>
    <t xml:space="preserve">Нехватка</t>
  </si>
  <si>
    <t xml:space="preserve">Стоимость</t>
  </si>
  <si>
    <t xml:space="preserve">Страховой запас = точка заказа − средний спрос за срок поставки</t>
  </si>
  <si>
    <t xml:space="preserve">Нехватка = МАКС(0; спрос за срок поставки − точка заказа)</t>
  </si>
  <si>
    <t xml:space="preserve">Затраты = затраты на хранение × (половина заказа + страховой запас)</t>
  </si>
  <si>
    <t xml:space="preserve">   + затраты на заказ × заказов в год</t>
  </si>
  <si>
    <t xml:space="preserve">   + затраты на недостающую единицу × нехватка × заказов в год</t>
  </si>
  <si>
    <t xml:space="preserve">5   Значение в этой итерации</t>
  </si>
  <si>
    <t xml:space="preserve">Ключевые результаты, которые МоделРиск записывает в каждой итерации (VoseOutput). Их статистика — на листе «Результаты».</t>
  </si>
  <si>
    <t xml:space="preserve">Результат</t>
  </si>
  <si>
    <t xml:space="preserve">Смысл</t>
  </si>
  <si>
    <t xml:space="preserve">6   Проверки модели</t>
  </si>
  <si>
    <t xml:space="preserve">Везде должно быть «ОК». «ПРОВЕРИТЬ» означает, что исходное значение вышло за пределы, на которые рассчитана модель.</t>
  </si>
  <si>
    <t xml:space="preserve">Один заказ за раз: размер заказа больше наибольшей точки заказа</t>
  </si>
  <si>
    <t xml:space="preserve">Спрос изменчив  (стандартное отклонение больше нуля)</t>
  </si>
  <si>
    <t xml:space="preserve">РЕЗУЛЬТАТЫ   ·   Заполняются автоматически по последнему моделированию. После изменения исходных данных запустите моделирование снова.</t>
  </si>
  <si>
    <t xml:space="preserve">◂  Запасы</t>
  </si>
  <si>
    <t xml:space="preserve">1   Спрос, пока заказ в пути</t>
  </si>
  <si>
    <t xml:space="preserve">Спрос за срок поставки — распределение</t>
  </si>
  <si>
    <t xml:space="preserve">Спрос за один срок поставки: по моделированию и по нормальной формуле.</t>
  </si>
  <si>
    <t xml:space="preserve">Показатель</t>
  </si>
  <si>
    <t xml:space="preserve">5-й проц.</t>
  </si>
  <si>
    <t xml:space="preserve">Медиана</t>
  </si>
  <si>
    <t xml:space="preserve">95-й проц.</t>
  </si>
  <si>
    <t xml:space="preserve">Спрос за срок поставки, моделирование</t>
  </si>
  <si>
    <t xml:space="preserve">Стандартное отклонение, моделирование</t>
  </si>
  <si>
    <t xml:space="preserve">Среднее, нормальная формула</t>
  </si>
  <si>
    <t xml:space="preserve">Стандартное отклонение, нормальная формула</t>
  </si>
  <si>
    <t xml:space="preserve">2   Какую точку заказа выбрать?</t>
  </si>
  <si>
    <t xml:space="preserve">Обслуживание и затраты для каждой точки заказа при экономичном размере заказа.</t>
  </si>
  <si>
    <t xml:space="preserve">Точка заказа  (шт.)</t>
  </si>
  <si>
    <t xml:space="preserve">Обслуживание</t>
  </si>
  <si>
    <t xml:space="preserve">Самое низкое</t>
  </si>
  <si>
    <t xml:space="preserve">цикла</t>
  </si>
  <si>
    <t xml:space="preserve">шт. в год</t>
  </si>
  <si>
    <t xml:space="preserve">стоимость</t>
  </si>
  <si>
    <t xml:space="preserve">Спрос за срок поставки — накопленная вероятность</t>
  </si>
  <si>
    <t xml:space="preserve">Выполнение спроса = 1 − нехватка в цикле ÷ размер заказа; нехватка за год = нехватка в цикле × заказов в год.</t>
  </si>
  <si>
    <t xml:space="preserve">3   Нормальная формула против моделирования</t>
  </si>
  <si>
    <t xml:space="preserve">Точка заказа, нужная для каждой цели обслуживания, и обслуживание, которое на самом деле дает нормальная формула.</t>
  </si>
  <si>
    <t xml:space="preserve">Цель обслуживания цикла</t>
  </si>
  <si>
    <t xml:space="preserve">Нужно</t>
  </si>
  <si>
    <t xml:space="preserve">Нормальное</t>
  </si>
  <si>
    <t xml:space="preserve">Дает</t>
  </si>
  <si>
    <t xml:space="preserve">шт., моделирование</t>
  </si>
  <si>
    <t xml:space="preserve">формула, шт.</t>
  </si>
  <si>
    <t xml:space="preserve">на самом деле</t>
  </si>
  <si>
    <t>95%</t>
  </si>
  <si>
    <t>99%</t>
  </si>
  <si>
    <t xml:space="preserve">4   Как читать результаты</t>
  </si>
  <si>
    <t xml:space="preserve">•  Спрос за срок поставки в среднем около 330 штук, но у распределения два горба: большинство заказов приходят примерно за неделю, и за это время спрос 200–400 штук, а один заказ из десяти, задержанный сбоем, ждет две–четыре недели при спросе 500–1000. У нормальной формулы правильные среднее и стандартное отклонение, но не эта форма.</t>
  </si>
  <si>
    <t xml:space="preserve">•  Точка заказа по нормальной формуле для обслуживания 95% (571 шт.) приводит к нехватке примерно в 9% циклов, а ее точка для 99% (670) дает около 94%. На самом деле для 95% нужно около 720 штук, а для 99% — около 900: страховой запас определяют задержанные заказы.</t>
  </si>
  <si>
    <t xml:space="preserve">•  Если сопоставить затраты на хранение (5 долл. за единицу в год) и на нехватку (8 долл. за недостающую единицу), дешевле всего здесь точка заказа около 750, примерно 7300 долл. в год. Она обслуживает со склада 96% циклов и 99,6% спроса.</t>
  </si>
  <si>
    <t xml:space="preserve">•  Коэффициент выполнения спроса намного выше уровня обслуживания цикла: когда запас кончается, это обычно несколько дней в конце долгой задержки, так что большая часть спроса все равно обслуживается. Выбирайте показатель, который замечают клиенты.</t>
  </si>
  <si>
    <t xml:space="preserve">•  Меньше сбоев может оказаться выгоднее большего запаса: попробуйте на листе «Исходные данные» вероятность сбоя 5%.</t>
  </si>
  <si>
    <t xml:space="preserve">Данные для графиков</t>
  </si>
  <si>
    <t xml:space="preserve">Статистика последнего моделирования для графиков и рейтинга выше. Строки сгруппированы: нажмите «+» на левом поле, чтобы их показать.</t>
  </si>
  <si>
    <t xml:space="preserve">Накопленная вероятность</t>
  </si>
  <si>
    <t xml:space="preserve">Вероятность превышения</t>
  </si>
  <si>
    <t>Out_DDLT</t>
  </si>
  <si>
    <t xml:space="preserve">Процентили: Out_DDLT</t>
  </si>
  <si>
    <t xml:space="preserve">Гистограмма: Out_DDLT</t>
  </si>
  <si>
    <t xml:space="preserve">Граница</t>
  </si>
  <si>
    <t xml:space="preserve">Индекс</t>
  </si>
  <si>
    <t xml:space="preserve">Середина</t>
  </si>
  <si>
    <t xml:space="preserve">Вероятность</t>
  </si>
  <si>
    <t xml:space="preserve">Ниже границы</t>
  </si>
  <si>
    <t>DSN Files 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</si>
</sst>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_);\(#,##0\);&quot;–&quot;_)"/>
    <numFmt numFmtId="165" formatCode="#,##0.0_);\(#,##0.0\);&quot;–&quot;_)"/>
    <numFmt numFmtId="166" formatCode="#,##0.00_);\(#,##0.00\);&quot;–&quot;_)"/>
    <numFmt numFmtId="167" formatCode="#,##0_);\(#,##0\);&quot;–&quot;_);&quot;–&quot;"/>
    <numFmt numFmtId="168" formatCode="0.0%;\-0.0%;0.0%;&quot;–&quot;"/>
    <numFmt numFmtId="169" formatCode="0.00%;\-0.00%;0.00%;&quot;–&quot;"/>
    <numFmt numFmtId="170" formatCode="0.0%"/>
  </numFmts>
  <fonts count="24" x14ac:knownFonts="1">
    <font>
      <sz val="11"/>
      <color theme="1"/>
      <name val="Calibri"/>
      <family val="2"/>
      <scheme val="minor"/>
    </font>
    <font>
      <sz val="10"/>
      <color rgb="FF1F2328"/>
      <name val="Calibri"/>
    </font>
    <font>
      <sz val="10"/>
      <color rgb="FF9A3412"/>
      <name val="Calibri"/>
    </font>
    <font>
      <sz val="10"/>
      <color rgb="FF111214"/>
      <name val="Calibri"/>
    </font>
    <font>
      <b/>
      <sz val="10"/>
      <color rgb="FF14532D"/>
      <name val="Calibri"/>
    </font>
    <font>
      <b/>
      <sz val="16"/>
      <color rgb="FF111214"/>
      <name val="Calibri"/>
    </font>
    <font>
      <sz val="10"/>
      <color rgb="FF55585F"/>
      <name val="Calibri"/>
    </font>
    <font>
      <sz val="9"/>
      <color rgb="FF55585F"/>
      <name val="Calibri"/>
    </font>
    <font>
      <u/>
      <sz val="9"/>
      <color rgb="FF1F2328"/>
      <name val="Calibri"/>
    </font>
    <font>
      <b/>
      <sz val="20"/>
      <color rgb="FF111214"/>
      <name val="Calibri"/>
    </font>
    <font>
      <b/>
      <sz val="12"/>
      <color rgb="FF1F2328"/>
      <name val="Calibri"/>
    </font>
    <font>
      <b/>
      <sz val="10"/>
      <color rgb="FF55585F"/>
      <name val="Calibri"/>
    </font>
    <font>
      <b/>
      <sz val="10"/>
      <color rgb="FF111214"/>
      <name val="Calibri"/>
    </font>
    <font>
      <i/>
      <sz val="9"/>
      <color rgb="FF55585F"/>
      <name val="Calibri"/>
    </font>
    <font>
      <u/>
      <sz val="10"/>
      <color rgb="FF1F2328"/>
      <name val="Calibri"/>
    </font>
    <font>
      <b/>
      <sz val="10"/>
      <color rgb="FF1F2328"/>
      <name val="Calibri"/>
    </font>
    <font>
      <i/>
      <sz val="9"/>
      <color rgb="FF8B8E95"/>
      <name val="Calibri"/>
    </font>
    <font>
      <b/>
      <sz val="9"/>
      <color rgb="FF55585F"/>
      <name val="Calibri"/>
    </font>
    <font>
      <sz val="9"/>
      <color rgb="FF55585F"/>
      <name val="Calibri"/>
    </font>
    <font>
      <sz val="8"/>
      <color rgb="FF55585F"/>
      <name val="Calibri"/>
    </font>
    <font>
      <b/>
      <sz val="10"/>
      <color rgb="FF15803D"/>
      <name val="Calibri"/>
    </font>
    <font>
      <sz val="10"/>
      <color rgb="FF55585F"/>
      <name val="Calibri"/>
    </font>
    <font>
      <sz val="9"/>
      <color rgb="FF8B8E95"/>
      <name val="Calibri"/>
    </font>
    <font>
      <b/>
      <sz val="11"/>
      <color rgb="FF1F2328"/>
      <name val="Calibri"/>
    </font>
  </fonts>
  <fills count="8">
    <fill>
      <patternFill patternType="none"/>
    </fill>
    <fill>
      <patternFill patternType="gray125"/>
    </fill>
    <fill>
      <patternFill patternType="solid">
        <fgColor rgb="FFFFF4CC"/>
        <bgColor rgb="FFFFF4CC"/>
      </patternFill>
    </fill>
    <fill>
      <patternFill patternType="solid">
        <fgColor rgb="FFFCE4D6"/>
        <bgColor rgb="FFFCE4D6"/>
      </patternFill>
    </fill>
    <fill>
      <patternFill patternType="solid">
        <fgColor rgb="FFE3F1E6"/>
        <bgColor rgb="FFE3F1E6"/>
      </patternFill>
    </fill>
    <fill>
      <patternFill patternType="solid">
        <fgColor rgb="FFEEF0F2"/>
        <bgColor rgb="FFEEF0F2"/>
      </patternFill>
    </fill>
    <fill>
      <patternFill patternType="solid">
        <fgColor rgb="FFF4F4F5"/>
        <bgColor rgb="FFF4F4F5"/>
      </patternFill>
    </fill>
    <fill>
      <patternFill patternType="solid">
        <fgColor rgb="FFF4F4F5"/>
        <bgColor rgb="FFF4F4F5"/>
      </patternFill>
    </fill>
  </fills>
  <borders count="11">
    <border>
      <left/>
      <right/>
      <top/>
      <bottom/>
      <diagonal/>
    </border>
    <border>
      <left style="thin">
        <color rgb="FFD9DADD"/>
      </left>
      <right style="thin">
        <color rgb="FFD9DADD"/>
      </right>
      <top style="thin">
        <color rgb="FFD9DADD"/>
      </top>
      <bottom style="thin">
        <color rgb="FFD9DADD"/>
      </bottom>
      <diagonal/>
    </border>
    <border>
      <left/>
      <right/>
      <top/>
      <bottom/>
      <diagonal/>
    </border>
    <border>
      <left style="thin">
        <color rgb="FF15803D"/>
      </left>
      <right style="thin">
        <color rgb="FF15803D"/>
      </right>
      <top style="thin">
        <color rgb="FF15803D"/>
      </top>
      <bottom style="thin">
        <color rgb="FF15803D"/>
      </bottom>
      <diagonal/>
    </border>
    <border>
      <left/>
      <right/>
      <top/>
      <bottom style="thin">
        <color rgb="FFD9DADD"/>
      </bottom>
      <diagonal/>
    </border>
    <border>
      <left/>
      <right/>
      <top/>
      <bottom style="medium">
        <color rgb="FF2F3136"/>
      </bottom>
      <diagonal/>
    </border>
    <border>
      <left/>
      <right/>
      <top/>
      <bottom style="thin">
        <color rgb="FFECEDEF"/>
      </bottom>
      <diagonal/>
    </border>
    <border>
      <left style="thin">
        <color rgb="FFD9DADD"/>
      </left>
      <right style="thin">
        <color rgb="FFD9DADD"/>
      </right>
      <top style="thin">
        <color rgb="FFD9DADD"/>
      </top>
      <bottom style="thin">
        <color rgb="FFECEDEF"/>
      </bottom>
      <diagonal/>
    </border>
    <border>
      <left/>
      <right/>
      <top/>
      <bottom style="thin">
        <color rgb="FFECEDEF"/>
      </bottom>
      <diagonal/>
    </border>
    <border>
      <left style="thin">
        <color rgb="FF15803D"/>
      </left>
      <right style="thin">
        <color rgb="FF15803D"/>
      </right>
      <top style="thin">
        <color rgb="FF15803D"/>
      </top>
      <bottom style="thin">
        <color rgb="FFECEDEF"/>
      </bottom>
      <diagonal/>
    </border>
    <border>
      <left/>
      <right/>
      <top style="thin">
        <color rgb="FFD9DADD"/>
      </top>
      <bottom style="thin">
        <color rgb="FFD9DADD"/>
      </bottom>
      <diagonal/>
    </border>
  </borders>
  <cellStyleXfs count="6">
    <xf numFmtId="0" fontId="0" fillId="0" borderId="0"/>
    <xf numFmtId="0" fontId="1" fillId="2" borderId="1">
      <alignment horizontal="right" vertical="center"/>
    </xf>
    <xf numFmtId="0" fontId="2" fillId="3" borderId="1">
      <alignment horizontal="right" vertical="center"/>
    </xf>
    <xf numFmtId="0" fontId="3" fillId="0" borderId="2">
      <alignment horizontal="right" vertical="center"/>
    </xf>
    <xf numFmtId="0" fontId="4" fillId="4" borderId="3">
      <alignment horizontal="right" vertical="center"/>
    </xf>
    <xf numFmtId="0" fontId="1" fillId="5" borderId="1">
      <alignment horizontal="right" vertical="center"/>
    </xf>
  </cellStyleXfs>
  <cellXfs count="68">
    <xf numFmtId="0" fontId="0" fillId="0" borderId="0" xfId="0"/>
    <xf numFmtId="0" fontId="0" fillId="6" borderId="0" xfId="0" applyFill="1"/>
    <xf numFmtId="0" fontId="9" fillId="6" borderId="0" xfId="0" applyFont="1" applyFill="1" applyAlignment="1">
      <alignment vertical="center"/>
    </xf>
    <xf numFmtId="0" fontId="7" fillId="6" borderId="0" xfId="0" applyFont="1" applyFill="1" applyAlignment="1">
      <alignment horizontal="right" vertical="center"/>
    </xf>
    <xf numFmtId="0" fontId="6" fillId="6" borderId="0" xfId="0" applyFont="1" applyFill="1" applyAlignment="1">
      <alignment vertical="center"/>
    </xf>
    <xf numFmtId="0" fontId="0" fillId="7" borderId="4" xfId="0" applyFill="1" applyBorder="1"/>
    <xf numFmtId="0" fontId="8" fillId="7" borderId="4" xfId="0" applyFont="1" applyFill="1" applyBorder="1" applyAlignment="1">
      <alignment horizontal="right" vertical="center"/>
    </xf>
    <xf numFmtId="0" fontId="10" fillId="0" borderId="5" xfId="0" applyFont="1" applyBorder="1"/>
    <xf numFmtId="0" fontId="0" fillId="0" borderId="5" xfId="0" applyBorder="1"/>
    <xf numFmtId="0" fontId="11" fillId="0" borderId="6" xfId="0" applyFont="1" applyBorder="1" applyAlignment="1">
      <alignment horizontal="left" vertical="top" indent="1"/>
    </xf>
    <xf numFmtId="0" fontId="3" fillId="0" borderId="6" xfId="0" applyFont="1" applyBorder="1" applyAlignment="1">
      <alignment horizontal="left" vertical="top" wrapText="1" indent="1"/>
    </xf>
    <xf numFmtId="0" fontId="12" fillId="0" borderId="6" xfId="0" applyFont="1" applyBorder="1" applyAlignment="1">
      <alignment horizontal="left" vertical="top" wrapText="1" indent="1"/>
    </xf>
    <xf numFmtId="0" fontId="3" fillId="0" borderId="0" xfId="0" applyFont="1" applyAlignment="1">
      <alignment horizontal="left" vertical="top" wrapText="1" indent="1"/>
    </xf>
    <xf numFmtId="0" fontId="13" fillId="0" borderId="0" xfId="0" applyFont="1" applyAlignment="1">
      <alignment vertical="center"/>
    </xf>
    <xf numFmtId="0" fontId="14" fillId="0" borderId="6" xfId="0" applyFont="1" applyBorder="1" applyAlignment="1">
      <alignment horizontal="left" vertical="center" indent="1"/>
    </xf>
    <xf numFmtId="0" fontId="1" fillId="2" borderId="1" xfId="1" applyAlignment="1">
      <alignment horizontal="center" vertical="center"/>
    </xf>
    <xf numFmtId="0" fontId="2" fillId="3" borderId="1" xfId="2" applyAlignment="1">
      <alignment horizontal="center" vertical="center"/>
    </xf>
    <xf numFmtId="0" fontId="3" fillId="0" borderId="2" xfId="3" applyAlignment="1">
      <alignment horizontal="center" vertical="center"/>
    </xf>
    <xf numFmtId="0" fontId="4" fillId="4" borderId="3" xfId="4" applyAlignment="1">
      <alignment horizontal="center" vertical="center"/>
    </xf>
    <xf numFmtId="0" fontId="1" fillId="5" borderId="1" xfId="5" applyAlignment="1">
      <alignment horizontal="center" vertical="center"/>
    </xf>
    <xf numFmtId="0" fontId="15" fillId="0" borderId="6" xfId="0" applyFont="1" applyBorder="1" applyAlignment="1">
      <alignment horizontal="left" vertical="top" wrapText="1" indent="1"/>
    </xf>
    <xf numFmtId="0" fontId="5" fillId="6" borderId="0" xfId="0" applyFont="1" applyFill="1" applyAlignment="1">
      <alignment vertical="center"/>
    </xf>
    <xf numFmtId="0" fontId="8" fillId="7" borderId="4" xfId="0" applyFont="1" applyFill="1" applyBorder="1" applyAlignment="1">
      <alignment vertical="center"/>
    </xf>
    <xf numFmtId="0" fontId="17" fillId="7" borderId="4" xfId="0" applyFont="1" applyFill="1" applyBorder="1" applyAlignment="1">
      <alignment horizontal="left" vertical="center" wrapText="1" indent="1"/>
    </xf>
    <xf numFmtId="0" fontId="17" fillId="7" borderId="4" xfId="0" applyFont="1" applyFill="1" applyBorder="1" applyAlignment="1">
      <alignment horizontal="right" vertical="center" wrapText="1"/>
    </xf>
    <xf numFmtId="0" fontId="3" fillId="0" borderId="6" xfId="0" applyFont="1" applyBorder="1" applyAlignment="1">
      <alignment horizontal="left" vertical="center" indent="1"/>
    </xf>
    <xf numFmtId="0" fontId="18" fillId="0" borderId="6" xfId="0" applyFont="1" applyBorder="1" applyAlignment="1">
      <alignment horizontal="left" vertical="center" indent="1"/>
    </xf>
    <xf numFmtId="164" fontId="1" fillId="2" borderId="7" xfId="1" applyNumberFormat="1" applyBorder="1">
      <alignment horizontal="right" vertical="center"/>
    </xf>
    <xf numFmtId="0" fontId="0" fillId="0" borderId="6" xfId="0" applyBorder="1"/>
    <xf numFmtId="0" fontId="18" fillId="0" borderId="6" xfId="0" applyFont="1" applyBorder="1" applyAlignment="1">
      <alignment horizontal="left" vertical="center" wrapText="1" indent="1"/>
    </xf>
    <xf numFmtId="165" fontId="2" fillId="3" borderId="7" xfId="2" applyNumberFormat="1" applyBorder="1">
      <alignment horizontal="right" vertical="center"/>
    </xf>
    <xf numFmtId="165" fontId="1" fillId="2" borderId="7" xfId="1" applyNumberFormat="1" applyBorder="1">
      <alignment horizontal="right" vertical="center"/>
    </xf>
    <xf numFmtId="165" fontId="3" fillId="0" borderId="8" xfId="3" applyNumberFormat="1" applyBorder="1">
      <alignment horizontal="right" vertical="center"/>
    </xf>
    <xf numFmtId="9" fontId="1" fillId="2" borderId="7" xfId="1" applyNumberFormat="1" applyBorder="1">
      <alignment horizontal="right" vertical="center"/>
    </xf>
    <xf numFmtId="0" fontId="17" fillId="7" borderId="4" xfId="0" applyFont="1" applyFill="1" applyBorder="1" applyAlignment="1">
      <alignment horizontal="left" vertical="center" indent="1"/>
    </xf>
    <xf numFmtId="0" fontId="17" fillId="7" borderId="4" xfId="0" applyFont="1" applyFill="1" applyBorder="1" applyAlignment="1">
      <alignment horizontal="right" vertical="center"/>
    </xf>
    <xf numFmtId="164" fontId="3" fillId="0" borderId="8" xfId="3" applyNumberFormat="1" applyBorder="1">
      <alignment horizontal="right" vertical="center"/>
    </xf>
    <xf numFmtId="166" fontId="3" fillId="0" borderId="8" xfId="3" applyNumberFormat="1" applyBorder="1">
      <alignment horizontal="right" vertical="center"/>
    </xf>
    <xf numFmtId="0" fontId="3" fillId="0" borderId="8" xfId="3" applyBorder="1" applyAlignment="1">
      <alignment horizontal="left" vertical="center" indent="1"/>
    </xf>
    <xf numFmtId="164" fontId="2" fillId="3" borderId="7" xfId="2" applyNumberFormat="1" applyBorder="1">
      <alignment horizontal="right" vertical="center"/>
    </xf>
    <xf numFmtId="0" fontId="17" fillId="7" borderId="2" xfId="0" applyFont="1" applyFill="1" applyBorder="1" applyAlignment="1">
      <alignment horizontal="left" vertical="center" indent="1"/>
    </xf>
    <xf numFmtId="0" fontId="17" fillId="7" borderId="2" xfId="0" applyFont="1" applyFill="1" applyBorder="1" applyAlignment="1">
      <alignment horizontal="right" vertical="center"/>
    </xf>
    <xf numFmtId="0" fontId="19" fillId="7" borderId="4" xfId="0" applyFont="1" applyFill="1" applyBorder="1" applyAlignment="1">
      <alignment horizontal="right" vertical="center"/>
    </xf>
    <xf numFmtId="164" fontId="3" fillId="0" borderId="8" xfId="3" applyNumberFormat="1" applyBorder="1" applyAlignment="1">
      <alignment horizontal="left" vertical="center" indent="1"/>
    </xf>
    <xf numFmtId="164" fontId="4" fillId="4" borderId="9" xfId="4" applyNumberFormat="1" applyBorder="1">
      <alignment horizontal="right" vertical="center"/>
    </xf>
    <xf numFmtId="0" fontId="20" fillId="0" borderId="6" xfId="0" applyFont="1" applyBorder="1" applyAlignment="1">
      <alignment horizontal="center" vertical="center"/>
    </xf>
    <xf numFmtId="0" fontId="15" fillId="5" borderId="10" xfId="0" applyFont="1" applyFill="1" applyBorder="1" applyAlignment="1">
      <alignment horizontal="left" vertical="center" indent="1"/>
    </xf>
    <xf numFmtId="0" fontId="0" fillId="5" borderId="10" xfId="0" applyFill="1" applyBorder="1"/>
    <xf numFmtId="0" fontId="18" fillId="0" borderId="0" xfId="0" applyFont="1" applyAlignment="1">
      <alignment horizontal="left" vertical="center" indent="1"/>
    </xf>
    <xf numFmtId="0" fontId="23" fillId="0" borderId="5" xfId="0" applyFont="1" applyBorder="1"/>
    <xf numFmtId="167" fontId="1" fillId="5" borderId="7" xfId="5" applyNumberFormat="1" applyBorder="1">
      <alignment horizontal="right" vertical="center"/>
    </xf>
    <xf numFmtId="0" fontId="21" fillId="0" borderId="6" xfId="0" applyFont="1" applyBorder="1" applyAlignment="1">
      <alignment horizontal="left" vertical="center" indent="1"/>
    </xf>
    <xf numFmtId="0" fontId="17" fillId="7" borderId="2" xfId="0" applyFont="1" applyFill="1" applyBorder="1" applyAlignment="1">
      <alignment horizontal="left" vertical="center" wrapText="1" indent="1"/>
    </xf>
    <xf numFmtId="0" fontId="17" fillId="7" borderId="2" xfId="0" applyFont="1" applyFill="1" applyBorder="1" applyAlignment="1">
      <alignment horizontal="right" vertical="center" wrapText="1"/>
    </xf>
    <xf numFmtId="168" fontId="1" fillId="5" borderId="7" xfId="5" applyNumberFormat="1" applyBorder="1">
      <alignment horizontal="right" vertical="center"/>
    </xf>
    <xf numFmtId="169" fontId="1" fillId="5" borderId="7" xfId="5" applyNumberFormat="1" applyBorder="1">
      <alignment horizontal="right" vertical="center"/>
    </xf>
    <xf numFmtId="0" fontId="1" fillId="5" borderId="7" xfId="5" applyBorder="1">
      <alignment horizontal="right" vertical="center"/>
    </xf>
    <xf numFmtId="0" fontId="13" fillId="0" borderId="0" xfId="0" applyFont="1" applyAlignment="1">
      <alignment horizontal="left" vertical="center" indent="1"/>
    </xf>
    <xf numFmtId="9" fontId="3" fillId="0" borderId="2" xfId="3" applyNumberFormat="1">
      <alignment horizontal="right" vertical="center"/>
    </xf>
    <xf numFmtId="4" fontId="3" fillId="0" borderId="2" xfId="3" applyNumberFormat="1">
      <alignment horizontal="right" vertical="center"/>
    </xf>
    <xf numFmtId="170" fontId="3" fillId="0" borderId="2" xfId="3" applyNumberFormat="1">
      <alignment horizontal="right" vertical="center"/>
    </xf>
    <xf numFmtId="0" fontId="22" fillId="0" borderId="0" xfId="0" applyFont="1"/>
    <xf numFmtId="1" fontId="3" fillId="0" borderId="2" xfId="3" applyNumberFormat="1">
      <alignment horizontal="right" vertical="center"/>
    </xf>
    <xf numFmtId="0" fontId="3" fillId="0" borderId="0" xfId="0" applyFont="1" applyAlignment="1">
      <alignment horizontal="left" vertical="top" wrapText="1" indent="1"/>
    </xf>
    <xf numFmtId="0" fontId="0" fillId="0" borderId="0" xfId="0"/>
    <xf numFmtId="0" fontId="16" fillId="0" borderId="0" xfId="0" applyFont="1"/>
    <xf numFmtId="0" fontId="13" fillId="0" borderId="0" xfId="0" applyFont="1" applyAlignment="1">
      <alignment horizontal="left" vertical="center" wrapText="1" indent="1"/>
    </xf>
    <xf numFmtId="0" fontId="0" fillId="0" borderId="0" xfId="0" applyAlignment="1"/>
  </cellXfs>
  <cellStyles count="6">
    <cellStyle name="Normal" xfId="0" builtinId="0"/>
    <cellStyle name="Расчет" xfId="3" xr:uid="{00000000-0005-0000-0000-000003000000}"/>
    <cellStyle name="Исходное значение" xfId="1" xr:uid="{00000000-0005-0000-0000-000001000000}"/>
    <cellStyle name="Ключевой результат" xfId="4" xr:uid="{00000000-0005-0000-0000-000004000000}"/>
    <cellStyle name="Результат моделирования" xfId="5" xr:uid="{00000000-0005-0000-0000-000005000000}"/>
    <cellStyle name="Неопределенная величина" xfId="2" xr:uid="{00000000-0005-0000-0000-000002000000}"/>
  </cellStyles>
  <dxfs count="13">
    <dxf>
      <font>
        <color rgb="FF15803D"/>
      </font>
    </dxf>
    <dxf>
      <font>
        <color rgb="FF15803D"/>
      </font>
    </dxf>
    <dxf>
      <font>
        <color rgb="FF15803D"/>
      </font>
    </dxf>
    <dxf>
      <font>
        <color rgb="FF15803D"/>
      </font>
    </dxf>
    <dxf>
      <font>
        <color rgb="FF15803D"/>
      </font>
    </dxf>
    <dxf>
      <font>
        <color rgb="FF15803D"/>
      </font>
    </dxf>
    <dxf>
      <font>
        <color rgb="FF8B8E95"/>
      </font>
    </dxf>
    <dxf>
      <font>
        <color rgb="FF8B8E95"/>
      </font>
    </dxf>
    <dxf>
      <font>
        <color rgb="FFB45309"/>
      </font>
      <fill>
        <patternFill patternType="solid">
          <fgColor rgb="FFFEF3C7"/>
          <bgColor rgb="FFFEF3C7"/>
        </patternFill>
      </fill>
    </dxf>
    <dxf>
      <font>
        <b/>
        <color rgb="FFB91C1C"/>
      </font>
    </dxf>
    <dxf>
      <font>
        <b/>
        <color rgb="FFB91C1C"/>
      </font>
      <fill>
        <patternFill patternType="solid">
          <fgColor rgb="FFFEE2E2"/>
          <bgColor rgb="FFFEE2E2"/>
        </patternFill>
      </fill>
    </dxf>
    <dxf>
      <font>
        <b/>
        <color rgb="FFB91C1C"/>
      </font>
      <fill>
        <patternFill patternType="solid">
          <fgColor rgb="FFFEE2E2"/>
          <bgColor rgb="FFFEE2E2"/>
        </patternFill>
      </fill>
    </dxf>
    <dxf>
      <font>
        <b/>
        <color rgb="FFB91C1C"/>
      </font>
      <fill>
        <patternFill patternType="solid">
          <fgColor rgb="FFFEE2E2"/>
          <bgColor rgb="FFFEE2E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col"/>
        <c:grouping val="clustered"/>
        <c:varyColors val="0"/>
        <c:ser>
          <c:idx val="0"/>
          <c:order val="0"/>
          <c:tx>
            <c:v>Спрос за срок поставки</c:v>
          </c:tx>
          <c:spPr>
            <a:solidFill>
              <a:srgbClr val="2F3136"/>
            </a:solidFill>
            <a:ln>
              <a:noFill/>
              <a:prstDash val="solid"/>
            </a:ln>
          </c:spPr>
          <c:invertIfNegative val="1"/>
          <c:cat>
            <c:numRef>
              <c:f>'Результаты'!$E$206:$E$229</c:f>
              <c:numCache>
                <c:formatCode>#,##0.00</c:formatCode>
                <c:ptCount val="24"/>
                <c:pt idx="0">
                  <c:v>183.15879251920916</c:v>
                </c:pt>
                <c:pt idx="1">
                  <c:v>215.32953974267502</c:v>
                </c:pt>
                <c:pt idx="2">
                  <c:v>247.50028696614092</c:v>
                </c:pt>
                <c:pt idx="3">
                  <c:v>279.67103418960676</c:v>
                </c:pt>
                <c:pt idx="4">
                  <c:v>311.84178141307268</c:v>
                </c:pt>
                <c:pt idx="5">
                  <c:v>344.0125286365386</c:v>
                </c:pt>
                <c:pt idx="6">
                  <c:v>376.18327586000441</c:v>
                </c:pt>
                <c:pt idx="7">
                  <c:v>408.35402308347034</c:v>
                </c:pt>
                <c:pt idx="8">
                  <c:v>440.52477030693626</c:v>
                </c:pt>
                <c:pt idx="9">
                  <c:v>472.69551753040207</c:v>
                </c:pt>
                <c:pt idx="10">
                  <c:v>504.86626475386799</c:v>
                </c:pt>
                <c:pt idx="11">
                  <c:v>537.03701197733392</c:v>
                </c:pt>
                <c:pt idx="12">
                  <c:v>569.20775920079973</c:v>
                </c:pt>
                <c:pt idx="13">
                  <c:v>601.37850642426565</c:v>
                </c:pt>
                <c:pt idx="14">
                  <c:v>633.54925364773158</c:v>
                </c:pt>
                <c:pt idx="15">
                  <c:v>665.7200008711975</c:v>
                </c:pt>
                <c:pt idx="16">
                  <c:v>697.89074809466331</c:v>
                </c:pt>
                <c:pt idx="17">
                  <c:v>730.06149531812923</c:v>
                </c:pt>
                <c:pt idx="18">
                  <c:v>762.23224254159516</c:v>
                </c:pt>
                <c:pt idx="19">
                  <c:v>794.40298976506097</c:v>
                </c:pt>
                <c:pt idx="20">
                  <c:v>826.57373698852678</c:v>
                </c:pt>
                <c:pt idx="21">
                  <c:v>858.7444842119927</c:v>
                </c:pt>
                <c:pt idx="22">
                  <c:v>890.91523143545862</c:v>
                </c:pt>
                <c:pt idx="23">
                  <c:v>923.08597865892455</c:v>
                </c:pt>
              </c:numCache>
            </c:numRef>
          </c:cat>
          <c:val>
            <c:numRef>
              <c:f>'Результаты'!$F$206:$F$229</c:f>
              <c:numCache>
                <c:formatCode>0.0%</c:formatCode>
                <c:ptCount val="24"/>
                <c:pt idx="0">
                  <c:v>3.7367945968340081E-2</c:v>
                </c:pt>
                <c:pt idx="1">
                  <c:v>0.10864247643579637</c:v>
                </c:pt>
                <c:pt idx="2">
                  <c:v>0.17641198530481819</c:v>
                </c:pt>
                <c:pt idx="3">
                  <c:v>0.20227856879798617</c:v>
                </c:pt>
                <c:pt idx="4">
                  <c:v>0.16753974948176864</c:v>
                </c:pt>
                <c:pt idx="5">
                  <c:v>0.1138724182908103</c:v>
                </c:pt>
                <c:pt idx="6">
                  <c:v>5.7936208250220389E-2</c:v>
                </c:pt>
                <c:pt idx="7">
                  <c:v>2.2915759822165649E-2</c:v>
                </c:pt>
                <c:pt idx="8">
                  <c:v>8.9770080955637876E-3</c:v>
                </c:pt>
                <c:pt idx="9">
                  <c:v>3.3068762712304967E-3</c:v>
                </c:pt>
                <c:pt idx="10">
                  <c:v>3.3068762712303856E-3</c:v>
                </c:pt>
                <c:pt idx="11">
                  <c:v>4.0538771243041616E-3</c:v>
                </c:pt>
                <c:pt idx="12">
                  <c:v>6.1700944816925896E-3</c:v>
                </c:pt>
                <c:pt idx="13">
                  <c:v>7.2487072975950806E-3</c:v>
                </c:pt>
                <c:pt idx="14">
                  <c:v>7.6331706961332291E-3</c:v>
                </c:pt>
                <c:pt idx="15">
                  <c:v>7.250774080843736E-3</c:v>
                </c:pt>
                <c:pt idx="16">
                  <c:v>8.4602901876558168E-3</c:v>
                </c:pt>
                <c:pt idx="17">
                  <c:v>9.339966867205507E-3</c:v>
                </c:pt>
                <c:pt idx="18">
                  <c:v>1.0701331324157626E-2</c:v>
                </c:pt>
                <c:pt idx="19">
                  <c:v>7.6844156327154911E-3</c:v>
                </c:pt>
                <c:pt idx="20">
                  <c:v>6.1528630837628384E-3</c:v>
                </c:pt>
                <c:pt idx="21">
                  <c:v>4.9815415564002929E-3</c:v>
                </c:pt>
                <c:pt idx="22">
                  <c:v>4.3057622968878384E-3</c:v>
                </c:pt>
                <c:pt idx="23">
                  <c:v>3.4613323807153318E-3</c:v>
                </c:pt>
              </c:numCache>
            </c:numRef>
          </c:val>
          <c:extLst>
            <c:ext xmlns:c14="http://schemas.microsoft.com/office/drawing/2007/8/2/chart" uri="{6F2FDCE9-48DA-4B69-8628-5D25D57E5C99}">
              <c14:invertSolidFillFmt>
                <c14:spPr xmlns:c14="http://schemas.microsoft.com/office/drawing/2007/8/2/chart">
                  <a:solidFill>
                    <a:srgbClr val="FFFFFF"/>
                  </a:solidFill>
                  <a:ln>
                    <a:noFill/>
                    <a:prstDash val="solid"/>
                  </a:ln>
                </c14:spPr>
              </c14:invertSolidFillFmt>
            </c:ext>
            <c:ext xmlns:c16="http://schemas.microsoft.com/office/drawing/2014/chart" uri="{C3380CC4-5D6E-409C-BE32-E72D297353CC}">
              <c16:uniqueId val="{00000000-B8E4-421B-A692-CDD564EBCD9F}"/>
            </c:ext>
          </c:extLst>
        </c:ser>
        <c:dLbls>
          <c:showLegendKey val="0"/>
          <c:showVal val="0"/>
          <c:showCatName val="0"/>
          <c:showSerName val="0"/>
          <c:showPercent val="0"/>
          <c:showBubbleSize val="0"/>
        </c:dLbls>
        <c:gapWidth val="8"/>
        <c:axId val="10"/>
        <c:axId val="100"/>
      </c:barChart>
      <c:catAx>
        <c:axId val="10"/>
        <c:scaling>
          <c:orientation val="minMax"/>
        </c:scaling>
        <c:delete val="0"/>
        <c:axPos val="b"/>
        <c:title>
          <c:tx>
            <c:rich>
              <a:bodyPr/>
              <a:lstStyle/>
              <a:p>
                <a:pPr>
                  <a:defRPr/>
                </a:pPr>
                <a:r>
                  <a:rPr lang="en-US"/>
                  <a:t>шт.</a:t>
                </a:r>
              </a:p>
            </c:rich>
          </c:tx>
          <c:overlay val="0"/>
        </c:title>
        <c:numFmt formatCode="#,##0" sourceLinked="0"/>
        <c:majorTickMark val="none"/>
        <c:minorTickMark val="none"/>
        <c:tickLblPos val="nextTo"/>
        <c:crossAx val="100"/>
        <c:crosses val="autoZero"/>
        <c:auto val="1"/>
        <c:lblAlgn val="ctr"/>
        <c:lblOffset val="100"/>
        <c:tickLblSkip val="4"/>
        <c:noMultiLvlLbl val="1"/>
      </c:catAx>
      <c:valAx>
        <c:axId val="100"/>
        <c:scaling>
          <c:orientation val="minMax"/>
        </c:scaling>
        <c:delete val="0"/>
        <c:axPos val="l"/>
        <c:majorGridlines>
          <c:spPr>
            <a:ln>
              <a:solidFill>
                <a:srgbClr val="ECEDEF"/>
              </a:solidFill>
              <a:prstDash val="solid"/>
            </a:ln>
          </c:spPr>
        </c:majorGridlines>
        <c:title>
          <c:tx>
            <c:rich>
              <a:bodyPr/>
              <a:lstStyle/>
              <a:p>
                <a:pPr>
                  <a:defRPr/>
                </a:pPr>
                <a:r>
                  <a:rPr lang="en-US"/>
                  <a:t>Вероятность</a:t>
                </a:r>
              </a:p>
            </c:rich>
          </c:tx>
          <c:overlay val="0"/>
        </c:title>
        <c:numFmt formatCode="0%" sourceLinked="0"/>
        <c:majorTickMark val="none"/>
        <c:minorTickMark val="none"/>
        <c:tickLblPos val="nextTo"/>
        <c:crossAx val="10"/>
        <c:crosses val="min"/>
        <c:crossBetween val="between"/>
      </c:valAx>
    </c:plotArea>
    <c:plotVisOnly val="0"/>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autoTitleDeleted val="1"/>
    <c:plotArea>
      <c:layout/>
      <c:scatterChart>
        <c:scatterStyle val="lineMarker"/>
        <c:varyColors val="0"/>
        <c:ser>
          <c:idx val="0"/>
          <c:order val="0"/>
          <c:tx>
            <c:v>Спрос за срок поставки</c:v>
          </c:tx>
          <c:spPr>
            <a:ln w="25400">
              <a:solidFill>
                <a:srgbClr val="2F3136"/>
              </a:solidFill>
              <a:prstDash val="solid"/>
            </a:ln>
          </c:spPr>
          <c:marker>
            <c:symbol val="none"/>
          </c:marker>
          <c:xVal>
            <c:numRef>
              <c:f>'Результаты'!$D$51:$D$100</c:f>
              <c:numCache>
                <c:formatCode>#,##0.00</c:formatCode>
                <c:ptCount val="50"/>
                <c:pt idx="0">
                  <c:v>175.37014160287714</c:v>
                </c:pt>
                <c:pt idx="1">
                  <c:v>192.99305483118496</c:v>
                </c:pt>
                <c:pt idx="2">
                  <c:v>202.31379703711133</c:v>
                </c:pt>
                <c:pt idx="3">
                  <c:v>210.3325486830926</c:v>
                </c:pt>
                <c:pt idx="4">
                  <c:v>216.29818187959154</c:v>
                </c:pt>
                <c:pt idx="5">
                  <c:v>221.24108168509517</c:v>
                </c:pt>
                <c:pt idx="6">
                  <c:v>226.37519858719557</c:v>
                </c:pt>
                <c:pt idx="7">
                  <c:v>231.17581330596693</c:v>
                </c:pt>
                <c:pt idx="8">
                  <c:v>235.39560547540592</c:v>
                </c:pt>
                <c:pt idx="9">
                  <c:v>238.87258454285526</c:v>
                </c:pt>
                <c:pt idx="10">
                  <c:v>243.06710528295181</c:v>
                </c:pt>
                <c:pt idx="11">
                  <c:v>247.09866764263205</c:v>
                </c:pt>
                <c:pt idx="12">
                  <c:v>250.27297720871263</c:v>
                </c:pt>
                <c:pt idx="13">
                  <c:v>253.82665848995521</c:v>
                </c:pt>
                <c:pt idx="14">
                  <c:v>257.1140728125319</c:v>
                </c:pt>
                <c:pt idx="15">
                  <c:v>260.83194090665086</c:v>
                </c:pt>
                <c:pt idx="16">
                  <c:v>263.97180642606378</c:v>
                </c:pt>
                <c:pt idx="17">
                  <c:v>267.22438870928056</c:v>
                </c:pt>
                <c:pt idx="18">
                  <c:v>271.02669932630283</c:v>
                </c:pt>
                <c:pt idx="19">
                  <c:v>274.09480162077239</c:v>
                </c:pt>
                <c:pt idx="20">
                  <c:v>277.18253604108992</c:v>
                </c:pt>
                <c:pt idx="21">
                  <c:v>279.926326361755</c:v>
                </c:pt>
                <c:pt idx="22">
                  <c:v>282.98243376189657</c:v>
                </c:pt>
                <c:pt idx="23">
                  <c:v>285.96606859353886</c:v>
                </c:pt>
                <c:pt idx="24">
                  <c:v>289.05626774460876</c:v>
                </c:pt>
                <c:pt idx="25">
                  <c:v>292.36434871116853</c:v>
                </c:pt>
                <c:pt idx="26">
                  <c:v>295.80513587593725</c:v>
                </c:pt>
                <c:pt idx="27">
                  <c:v>298.91018512035413</c:v>
                </c:pt>
                <c:pt idx="28">
                  <c:v>302.43956693022875</c:v>
                </c:pt>
                <c:pt idx="29">
                  <c:v>305.85005424135471</c:v>
                </c:pt>
                <c:pt idx="30">
                  <c:v>309.36878592307676</c:v>
                </c:pt>
                <c:pt idx="31">
                  <c:v>313.5286342772261</c:v>
                </c:pt>
                <c:pt idx="32">
                  <c:v>317.35252498521476</c:v>
                </c:pt>
                <c:pt idx="33">
                  <c:v>321.86640636176901</c:v>
                </c:pt>
                <c:pt idx="34">
                  <c:v>326.15857829098746</c:v>
                </c:pt>
                <c:pt idx="35">
                  <c:v>330.62745386504196</c:v>
                </c:pt>
                <c:pt idx="36">
                  <c:v>335.4027747175233</c:v>
                </c:pt>
                <c:pt idx="37">
                  <c:v>340.6101806771477</c:v>
                </c:pt>
                <c:pt idx="38">
                  <c:v>346.3199411605591</c:v>
                </c:pt>
                <c:pt idx="39">
                  <c:v>352.09362824059286</c:v>
                </c:pt>
                <c:pt idx="40">
                  <c:v>359.63806447505181</c:v>
                </c:pt>
                <c:pt idx="41">
                  <c:v>368.56587143919609</c:v>
                </c:pt>
                <c:pt idx="42">
                  <c:v>379.05056787269979</c:v>
                </c:pt>
                <c:pt idx="43">
                  <c:v>393.04217441187694</c:v>
                </c:pt>
                <c:pt idx="44">
                  <c:v>418.81291275989543</c:v>
                </c:pt>
                <c:pt idx="45">
                  <c:v>544.7291812108125</c:v>
                </c:pt>
                <c:pt idx="46">
                  <c:v>637.82490823415014</c:v>
                </c:pt>
                <c:pt idx="47">
                  <c:v>720.15290761385711</c:v>
                </c:pt>
                <c:pt idx="48">
                  <c:v>782.928322235574</c:v>
                </c:pt>
                <c:pt idx="49">
                  <c:v>892.69972850706813</c:v>
                </c:pt>
              </c:numCache>
            </c:numRef>
          </c:xVal>
          <c:yVal>
            <c:numRef>
              <c:f>'Результаты'!$B$51:$B$100</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0-A8D6-4ABD-8026-74C9E1F8B218}"/>
            </c:ext>
          </c:extLst>
        </c:ser>
        <c:dLbls>
          <c:showLegendKey val="0"/>
          <c:showVal val="0"/>
          <c:showCatName val="0"/>
          <c:showSerName val="0"/>
          <c:showPercent val="0"/>
          <c:showBubbleSize val="0"/>
        </c:dLbls>
        <c:axId val="10"/>
        <c:axId val="20"/>
      </c:scatterChart>
      <c:valAx>
        <c:axId val="10"/>
        <c:scaling>
          <c:orientation val="minMax"/>
        </c:scaling>
        <c:delete val="0"/>
        <c:axPos val="b"/>
        <c:title>
          <c:tx>
            <c:rich>
              <a:bodyPr/>
              <a:lstStyle/>
              <a:p>
                <a:pPr>
                  <a:defRPr/>
                </a:pPr>
                <a:r>
                  <a:rPr lang="en-US"/>
                  <a:t>шт.</a:t>
                </a:r>
              </a:p>
            </c:rich>
          </c:tx>
          <c:overlay val="0"/>
        </c:title>
        <c:numFmt formatCode="#,##0" sourceLinked="0"/>
        <c:majorTickMark val="none"/>
        <c:minorTickMark val="none"/>
        <c:tickLblPos val="nextTo"/>
        <c:crossAx val="20"/>
        <c:crosses val="autoZero"/>
        <c:crossBetween val="midCat"/>
      </c:valAx>
      <c:valAx>
        <c:axId val="20"/>
        <c:scaling>
          <c:orientation val="minMax"/>
          <c:max val="1"/>
          <c:min val="0"/>
        </c:scaling>
        <c:delete val="0"/>
        <c:axPos val="l"/>
        <c:majorGridlines>
          <c:spPr>
            <a:ln>
              <a:solidFill>
                <a:srgbClr val="ECEDEF"/>
              </a:solidFill>
              <a:prstDash val="solid"/>
            </a:ln>
          </c:spPr>
        </c:majorGridlines>
        <c:title>
          <c:tx>
            <c:rich>
              <a:bodyPr/>
              <a:lstStyle/>
              <a:p>
                <a:pPr>
                  <a:defRPr/>
                </a:pPr>
                <a:r>
                  <a:rPr lang="en-US"/>
                  <a:t>Накопленная вероятность</a:t>
                </a:r>
              </a:p>
            </c:rich>
          </c:tx>
          <c:overlay val="0"/>
        </c:title>
        <c:numFmt formatCode="0%" sourceLinked="0"/>
        <c:majorTickMark val="none"/>
        <c:minorTickMark val="none"/>
        <c:tickLblPos val="nextTo"/>
        <c:crossAx val="10"/>
        <c:crosses val="min"/>
        <c:crossBetween val="midCat"/>
      </c:valAx>
    </c:plotArea>
    <c:legend>
      <c:legendPos val="b"/>
      <c:overlay val="0"/>
    </c:legend>
    <c:plotVisOnly val="0"/>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0</xdr:colOff>
      <xdr:row>19</xdr:row>
      <xdr:rowOff>0</xdr:rowOff>
    </xdr:from>
    <xdr:ext cx="9144000" cy="15240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8</xdr:col>
      <xdr:colOff>0</xdr:colOff>
      <xdr:row>9</xdr:row>
      <xdr:rowOff>0</xdr:rowOff>
    </xdr:from>
    <xdr:ext cx="6263999" cy="2376000"/>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8</xdr:col>
      <xdr:colOff>0</xdr:colOff>
      <xdr:row>24</xdr:row>
      <xdr:rowOff>0</xdr:rowOff>
    </xdr:from>
    <xdr:ext cx="6263999" cy="2664000"/>
    <xdr:graphicFrame macro="">
      <xdr:nvGraphicFramePr>
        <xdr:cNvPr id="3" name="Chart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2F3136"/>
    <pageSetUpPr fitToPage="1"/>
  </sheetPr>
  <dimension ref="A1:D73"/>
  <sheetViews>
    <sheetView showGridLines="0" tabSelected="1" workbookViewId="0">
      <pane ySplit="5" topLeftCell="A6" activePane="bottomLeft" state="frozen"/>
      <selection pane="bottomLeft"/>
    </sheetView>
  </sheetViews>
  <sheetFormatPr defaultRowHeight="14.25" x14ac:dyDescent="0.45"/>
  <cols>
    <col min="1" max="1" width="2" customWidth="1"/>
    <col min="2" max="2" width="26" customWidth="1"/>
    <col min="3" max="3" width="112" customWidth="1"/>
    <col min="4" max="4" width="2" customWidth="1"/>
    <col min="6" max="6" width="9.06640625" customWidth="1"/>
  </cols>
  <sheetData>
    <row r="1" spans="1:4" ht="6" customHeight="1" x14ac:dyDescent="0.45"/>
    <row r="2" spans="1:4" ht="34.049999999999997" customHeight="1" x14ac:dyDescent="0.45">
      <c r="A2" s="1"/>
      <c r="B2" s="2" t="s">
        <v>0</v>
      </c>
      <c r="C2" s="1"/>
      <c r="D2" s="3" t="s">
        <v>1</v>
      </c>
    </row>
    <row r="3" spans="1:4" ht="20" customHeight="1" x14ac:dyDescent="0.45">
      <c r="A3" s="1"/>
      <c r="B3" s="4" t="s">
        <v>2</v>
      </c>
      <c r="C3" s="1"/>
      <c r="D3" s="1"/>
    </row>
    <row r="4" spans="1:4" ht="20" customHeight="1" x14ac:dyDescent="0.45">
      <c r="A4" s="5"/>
      <c r="B4" s="5"/>
      <c r="C4" s="5"/>
      <c r="D4" s="6" t="s">
        <v>3</v>
      </c>
    </row>
    <row r="5" spans="1:4" ht="8" customHeight="1" x14ac:dyDescent="0.45"/>
    <row r="6" spans="1:4" ht="22.05" customHeight="1" x14ac:dyDescent="0.5">
      <c r="B6" s="7" t="s">
        <v>4</v>
      </c>
      <c r="C6" s="8"/>
    </row>
    <row r="7" spans="1:4" x14ac:dyDescent="0.45">
      <c r="B7" s="9" t="s">
        <v>5</v>
      </c>
      <c r="C7" s="10" t="s">
        <v>6</v>
      </c>
    </row>
    <row r="8" spans="1:4" x14ac:dyDescent="0.45">
      <c r="B8" s="9" t="s">
        <v>7</v>
      </c>
      <c r="C8" s="10" t="s">
        <v>8</v>
      </c>
    </row>
    <row r="9" spans="1:4" ht="39.4" x14ac:dyDescent="0.45">
      <c r="B9" s="9" t="s">
        <v>9</v>
      </c>
      <c r="C9" s="11" t="s">
        <v>10</v>
      </c>
    </row>
    <row r="10" spans="1:4" x14ac:dyDescent="0.45">
      <c r="B10" s="9" t="s">
        <v>11</v>
      </c>
      <c r="C10" s="10" t="s">
        <v>12</v>
      </c>
    </row>
    <row r="11" spans="1:4" ht="26.25" x14ac:dyDescent="0.45">
      <c r="B11" s="9" t="s">
        <v>13</v>
      </c>
      <c r="C11" s="10" t="s">
        <v>14</v>
      </c>
    </row>
    <row r="12" spans="1:4" ht="39.4" x14ac:dyDescent="0.45">
      <c r="B12" s="9" t="s">
        <v>15</v>
      </c>
      <c r="C12" s="10" t="s">
        <v>16</v>
      </c>
    </row>
    <row r="13" spans="1:4" x14ac:dyDescent="0.45">
      <c r="B13" s="9" t="s">
        <v>17</v>
      </c>
      <c r="C13" s="10" t="s">
        <v>18</v>
      </c>
    </row>
    <row r="14" spans="1:4" ht="12" customHeight="1" x14ac:dyDescent="0.45"/>
    <row r="15" spans="1:4" ht="22.05" customHeight="1" x14ac:dyDescent="0.5">
      <c r="B15" s="7" t="s">
        <v>19</v>
      </c>
      <c r="C15" s="8"/>
    </row>
    <row r="16" spans="1:4" ht="57" customHeight="1" x14ac:dyDescent="0.45">
      <c r="B16" s="63" t="s">
        <v>20</v>
      </c>
      <c r="C16" s="64"/>
    </row>
    <row r="17" spans="2:3" ht="12" customHeight="1" x14ac:dyDescent="0.45"/>
    <row r="18" spans="2:3" ht="22.05" customHeight="1" x14ac:dyDescent="0.5">
      <c r="B18" s="7" t="s">
        <v>21</v>
      </c>
      <c r="C18" s="8"/>
    </row>
    <row r="19" spans="2:3" ht="18" customHeight="1" x14ac:dyDescent="0.45">
      <c r="B19" s="13" t="s">
        <v>22</v>
      </c>
    </row>
    <row r="20" spans="2:3" ht="15" customHeight="1" x14ac:dyDescent="0.45"/>
    <row r="21" spans="2:3" ht="15" customHeight="1" x14ac:dyDescent="0.45"/>
    <row r="22" spans="2:3" ht="15" customHeight="1" x14ac:dyDescent="0.45"/>
    <row r="23" spans="2:3" ht="15" customHeight="1" x14ac:dyDescent="0.45"/>
    <row r="24" spans="2:3" ht="15" customHeight="1" x14ac:dyDescent="0.45"/>
    <row r="25" spans="2:3" ht="15" customHeight="1" x14ac:dyDescent="0.45"/>
    <row r="26" spans="2:3" ht="15" customHeight="1" x14ac:dyDescent="0.45"/>
    <row r="27" spans="2:3" ht="15" customHeight="1" x14ac:dyDescent="0.45"/>
    <row r="28" spans="2:3" ht="26.25" x14ac:dyDescent="0.45">
      <c r="B28" s="9" t="s">
        <v>23</v>
      </c>
      <c r="C28" s="10" t="s">
        <v>24</v>
      </c>
    </row>
    <row r="29" spans="2:3" ht="39.4" x14ac:dyDescent="0.45">
      <c r="B29" s="9" t="s">
        <v>25</v>
      </c>
      <c r="C29" s="10" t="s">
        <v>26</v>
      </c>
    </row>
    <row r="30" spans="2:3" ht="26.25" x14ac:dyDescent="0.45">
      <c r="B30" s="9" t="s">
        <v>27</v>
      </c>
      <c r="C30" s="10" t="s">
        <v>28</v>
      </c>
    </row>
    <row r="31" spans="2:3" ht="12" customHeight="1" x14ac:dyDescent="0.45"/>
    <row r="32" spans="2:3" ht="22.05" customHeight="1" x14ac:dyDescent="0.5">
      <c r="B32" s="7" t="s">
        <v>29</v>
      </c>
      <c r="C32" s="8"/>
    </row>
    <row r="33" spans="2:3" x14ac:dyDescent="0.45">
      <c r="B33" s="9" t="s">
        <v>30</v>
      </c>
      <c r="C33" s="10" t="s">
        <v>31</v>
      </c>
    </row>
    <row r="34" spans="2:3" x14ac:dyDescent="0.45">
      <c r="B34" s="9" t="s">
        <v>32</v>
      </c>
      <c r="C34" s="10" t="s">
        <v>33</v>
      </c>
    </row>
    <row r="35" spans="2:3" x14ac:dyDescent="0.45">
      <c r="B35" s="9" t="s">
        <v>34</v>
      </c>
      <c r="C35" s="10" t="s">
        <v>35</v>
      </c>
    </row>
    <row r="36" spans="2:3" x14ac:dyDescent="0.45">
      <c r="B36" s="9" t="s">
        <v>36</v>
      </c>
      <c r="C36" s="10" t="s">
        <v>37</v>
      </c>
    </row>
    <row r="37" spans="2:3" ht="12" customHeight="1" x14ac:dyDescent="0.45"/>
    <row r="38" spans="2:3" ht="22.05" customHeight="1" x14ac:dyDescent="0.5">
      <c r="B38" s="7" t="s">
        <v>38</v>
      </c>
      <c r="C38" s="8"/>
    </row>
    <row r="39" spans="2:3" x14ac:dyDescent="0.45">
      <c r="B39" s="14" t="s">
        <v>39</v>
      </c>
      <c r="C39" s="10" t="s">
        <v>40</v>
      </c>
    </row>
    <row r="40" spans="2:3" x14ac:dyDescent="0.45">
      <c r="B40" s="14" t="s">
        <v>41</v>
      </c>
      <c r="C40" s="10" t="s">
        <v>42</v>
      </c>
    </row>
    <row r="41" spans="2:3" x14ac:dyDescent="0.45">
      <c r="B41" s="14" t="s">
        <v>43</v>
      </c>
      <c r="C41" s="10" t="s">
        <v>44</v>
      </c>
    </row>
    <row r="42" spans="2:3" ht="12" customHeight="1" x14ac:dyDescent="0.45"/>
    <row r="43" spans="2:3" ht="22.05" customHeight="1" x14ac:dyDescent="0.5">
      <c r="B43" s="7" t="s">
        <v>45</v>
      </c>
      <c r="C43" s="8"/>
    </row>
    <row r="44" spans="2:3" x14ac:dyDescent="0.45">
      <c r="B44" s="15" t="s">
        <v>46</v>
      </c>
      <c r="C44" s="12" t="s">
        <v>47</v>
      </c>
    </row>
    <row r="45" spans="2:3" x14ac:dyDescent="0.45">
      <c r="B45" s="16" t="s">
        <v>48</v>
      </c>
      <c r="C45" s="12" t="s">
        <v>49</v>
      </c>
    </row>
    <row r="46" spans="2:3" x14ac:dyDescent="0.45">
      <c r="B46" s="17" t="s">
        <v>50</v>
      </c>
      <c r="C46" s="12" t="s">
        <v>51</v>
      </c>
    </row>
    <row r="47" spans="2:3" x14ac:dyDescent="0.45">
      <c r="B47" s="18" t="s">
        <v>52</v>
      </c>
      <c r="C47" s="12" t="s">
        <v>53</v>
      </c>
    </row>
    <row r="48" spans="2:3" x14ac:dyDescent="0.45">
      <c r="B48" s="19" t="s">
        <v>54</v>
      </c>
      <c r="C48" s="12" t="s">
        <v>55</v>
      </c>
    </row>
    <row r="49" spans="2:3" ht="12" customHeight="1" x14ac:dyDescent="0.45"/>
    <row r="50" spans="2:3" ht="22.05" customHeight="1" x14ac:dyDescent="0.5">
      <c r="B50" s="7" t="s">
        <v>56</v>
      </c>
      <c r="C50" s="8"/>
    </row>
    <row r="51" spans="2:3" x14ac:dyDescent="0.45">
      <c r="B51" s="9" t="s">
        <v>57</v>
      </c>
      <c r="C51" s="10" t="s">
        <v>58</v>
      </c>
    </row>
    <row r="52" spans="2:3" x14ac:dyDescent="0.45">
      <c r="B52" s="9" t="s">
        <v>59</v>
      </c>
      <c r="C52" s="10" t="s">
        <v>60</v>
      </c>
    </row>
    <row r="53" spans="2:3" x14ac:dyDescent="0.45">
      <c r="B53" s="9" t="s">
        <v>61</v>
      </c>
      <c r="C53" s="10" t="s">
        <v>62</v>
      </c>
    </row>
    <row r="54" spans="2:3" x14ac:dyDescent="0.45">
      <c r="B54" s="9" t="s">
        <v>63</v>
      </c>
      <c r="C54" s="10" t="s">
        <v>64</v>
      </c>
    </row>
    <row r="55" spans="2:3" x14ac:dyDescent="0.45">
      <c r="B55" s="9" t="s">
        <v>65</v>
      </c>
      <c r="C55" s="10" t="s">
        <v>66</v>
      </c>
    </row>
    <row r="56" spans="2:3" ht="12" customHeight="1" x14ac:dyDescent="0.45"/>
    <row r="57" spans="2:3" ht="22.05" customHeight="1" x14ac:dyDescent="0.5">
      <c r="B57" s="7" t="s">
        <v>67</v>
      </c>
      <c r="C57" s="8"/>
    </row>
    <row r="58" spans="2:3" x14ac:dyDescent="0.45">
      <c r="B58" s="9" t="s">
        <v>68</v>
      </c>
      <c r="C58" s="10" t="s">
        <v>69</v>
      </c>
    </row>
    <row r="59" spans="2:3" x14ac:dyDescent="0.45">
      <c r="B59" s="9" t="s">
        <v>70</v>
      </c>
      <c r="C59" s="10" t="s">
        <v>71</v>
      </c>
    </row>
    <row r="60" spans="2:3" x14ac:dyDescent="0.45">
      <c r="B60" s="9" t="s">
        <v>72</v>
      </c>
      <c r="C60" s="10" t="s">
        <v>73</v>
      </c>
    </row>
    <row r="61" spans="2:3" x14ac:dyDescent="0.45">
      <c r="B61" s="9" t="s">
        <v>74</v>
      </c>
      <c r="C61" s="10" t="s">
        <v>75</v>
      </c>
    </row>
    <row r="62" spans="2:3" ht="12" customHeight="1" x14ac:dyDescent="0.45"/>
    <row r="63" spans="2:3" ht="22.05" customHeight="1" x14ac:dyDescent="0.5">
      <c r="B63" s="7" t="s">
        <v>76</v>
      </c>
      <c r="C63" s="8"/>
    </row>
    <row r="64" spans="2:3" x14ac:dyDescent="0.45">
      <c r="B64" s="20" t="s">
        <v>77</v>
      </c>
      <c r="C64" s="10" t="s">
        <v>78</v>
      </c>
    </row>
    <row r="65" spans="2:3" ht="26.25" x14ac:dyDescent="0.45">
      <c r="B65" s="20" t="s">
        <v>79</v>
      </c>
      <c r="C65" s="10" t="s">
        <v>80</v>
      </c>
    </row>
    <row r="66" spans="2:3" ht="39.4" x14ac:dyDescent="0.45">
      <c r="B66" s="20" t="s">
        <v>81</v>
      </c>
      <c r="C66" s="10" t="s">
        <v>82</v>
      </c>
    </row>
    <row r="67" spans="2:3" ht="39.4" x14ac:dyDescent="0.45">
      <c r="B67" s="20" t="s">
        <v>83</v>
      </c>
      <c r="C67" s="10" t="s">
        <v>84</v>
      </c>
    </row>
    <row r="68" spans="2:3" ht="12" customHeight="1" x14ac:dyDescent="0.45"/>
    <row r="69" spans="2:3" ht="22.05" customHeight="1" x14ac:dyDescent="0.5">
      <c r="B69" s="7" t="s">
        <v>85</v>
      </c>
      <c r="C69" s="8"/>
    </row>
    <row r="70" spans="2:3" x14ac:dyDescent="0.45">
      <c r="B70" s="9" t="s">
        <v>86</v>
      </c>
      <c r="C70" s="10" t="s">
        <v>87</v>
      </c>
    </row>
    <row r="71" spans="2:3" x14ac:dyDescent="0.45">
      <c r="B71" s="9" t="s">
        <v>88</v>
      </c>
      <c r="C71" s="10" t="s">
        <v>89</v>
      </c>
    </row>
    <row r="72" spans="2:3" ht="16.05" customHeight="1" x14ac:dyDescent="0.45"/>
    <row r="73" spans="2:3" x14ac:dyDescent="0.45">
      <c r="B73" s="65" t="s">
        <v>90</v>
      </c>
      <c r="C73" s="64"/>
    </row>
  </sheetData>
  <mergeCells count="2">
    <mergeCell ref="B16:C16"/>
    <mergeCell ref="B73:C73"/>
  </mergeCells>
  <hyperlinks>
    <hyperlink ref="D4" location="'Исходные данные'!A1" display="Далее:  Исходные данные  ▸" xr:uid="{00000000-0004-0000-0000-000000000000}"/>
    <hyperlink ref="B39" location="'Исходные данные'!A1" display="Исходные данные" xr:uid="{00000000-0004-0000-0000-000001000000}"/>
    <hyperlink ref="B40" location="'Запасы'!A1" display="Запасы" xr:uid="{00000000-0004-0000-0000-000002000000}"/>
    <hyperlink ref="B41" location="'Результаты'!A1" display="Результаты" xr:uid="{00000000-0004-0000-0000-000003000000}"/>
  </hyperlinks>
  <printOptions horizontalCentered="1"/>
  <pageMargins left="0.4" right="0.4" top="0.5" bottom="0.6" header="0.25" footer="0.25"/>
  <pageSetup paperSize="9" scale="67" fitToHeight="0" orientation="portrait" r:id="rId1"/>
  <headerFooter>
    <oddFooter>&amp;L&amp;K3F5876&amp;8&amp;F · &amp;A&amp;R&amp;K3F5876&amp;8Page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0A800"/>
    <pageSetUpPr fitToPage="1"/>
  </sheetPr>
  <dimension ref="A1:J32"/>
  <sheetViews>
    <sheetView showGridLines="0" workbookViewId="0">
      <pane ySplit="5" topLeftCell="A6" activePane="bottomLeft" state="frozen"/>
      <selection pane="bottomLeft"/>
    </sheetView>
  </sheetViews>
  <sheetFormatPr defaultRowHeight="14.25" x14ac:dyDescent="0.45"/>
  <cols>
    <col min="1" max="1" width="2" customWidth="1"/>
    <col min="2" max="2" width="44" customWidth="1"/>
    <col min="3" max="3" width="19" customWidth="1"/>
    <col min="4" max="4" width="13" customWidth="1"/>
    <col min="5" max="5" width="19" customWidth="1"/>
    <col min="6" max="9" width="10" customWidth="1"/>
    <col min="10" max="10" width="59" customWidth="1"/>
    <col min="12" max="12" width="9.06640625" customWidth="1"/>
  </cols>
  <sheetData>
    <row r="1" spans="1:10" ht="6" customHeight="1" x14ac:dyDescent="0.45"/>
    <row r="2" spans="1:10" ht="30" customHeight="1" x14ac:dyDescent="0.45">
      <c r="A2" s="1"/>
      <c r="B2" s="21" t="s">
        <v>0</v>
      </c>
      <c r="C2" s="1"/>
      <c r="D2" s="1"/>
      <c r="E2" s="1"/>
      <c r="F2" s="1"/>
      <c r="G2" s="1"/>
      <c r="H2" s="1"/>
      <c r="I2" s="1"/>
      <c r="J2" s="3" t="s">
        <v>1</v>
      </c>
    </row>
    <row r="3" spans="1:10" ht="20" customHeight="1" x14ac:dyDescent="0.45">
      <c r="A3" s="1"/>
      <c r="B3" s="4" t="s">
        <v>91</v>
      </c>
      <c r="C3" s="1"/>
      <c r="D3" s="1"/>
      <c r="E3" s="1"/>
      <c r="F3" s="1"/>
      <c r="G3" s="1"/>
      <c r="H3" s="1"/>
      <c r="I3" s="1"/>
      <c r="J3" s="1"/>
    </row>
    <row r="4" spans="1:10" ht="20" customHeight="1" x14ac:dyDescent="0.45">
      <c r="A4" s="5"/>
      <c r="B4" s="22" t="s">
        <v>92</v>
      </c>
      <c r="C4" s="5"/>
      <c r="D4" s="5"/>
      <c r="E4" s="5"/>
      <c r="F4" s="5"/>
      <c r="G4" s="5"/>
      <c r="H4" s="5"/>
      <c r="I4" s="5"/>
      <c r="J4" s="6" t="s">
        <v>93</v>
      </c>
    </row>
    <row r="5" spans="1:10" ht="8" customHeight="1" x14ac:dyDescent="0.45"/>
    <row r="6" spans="1:10" ht="30" customHeight="1" x14ac:dyDescent="0.45">
      <c r="B6" s="66" t="s">
        <v>94</v>
      </c>
      <c r="C6" s="64"/>
      <c r="D6" s="64"/>
      <c r="E6" s="64"/>
      <c r="F6" s="64"/>
      <c r="G6" s="64"/>
      <c r="H6" s="64"/>
      <c r="I6" s="64"/>
      <c r="J6" s="64"/>
    </row>
    <row r="7" spans="1:10" ht="6" customHeight="1" x14ac:dyDescent="0.45"/>
    <row r="8" spans="1:10" ht="22.05" customHeight="1" x14ac:dyDescent="0.5">
      <c r="B8" s="7" t="s">
        <v>95</v>
      </c>
      <c r="C8" s="8"/>
      <c r="D8" s="8"/>
      <c r="E8" s="8"/>
      <c r="F8" s="8"/>
      <c r="G8" s="8"/>
      <c r="H8" s="8"/>
      <c r="I8" s="8"/>
      <c r="J8" s="8"/>
    </row>
    <row r="9" spans="1:10" ht="18" customHeight="1" x14ac:dyDescent="0.45">
      <c r="B9" s="23" t="s">
        <v>96</v>
      </c>
      <c r="C9" s="23" t="s">
        <v>97</v>
      </c>
      <c r="D9" s="24" t="s">
        <v>98</v>
      </c>
      <c r="E9" s="23" t="s">
        <v>99</v>
      </c>
      <c r="F9" s="5"/>
      <c r="G9" s="5"/>
      <c r="H9" s="5"/>
      <c r="I9" s="5"/>
      <c r="J9" s="23" t="s">
        <v>100</v>
      </c>
    </row>
    <row r="10" spans="1:10" x14ac:dyDescent="0.45">
      <c r="B10" s="25" t="s">
        <v>101</v>
      </c>
      <c r="C10" s="26" t="s">
        <v>102</v>
      </c>
      <c r="D10" s="27">
        <v>40</v>
      </c>
      <c r="E10" s="26" t="s">
        <v>103</v>
      </c>
      <c r="F10" s="28"/>
      <c r="G10" s="28"/>
      <c r="H10" s="28"/>
      <c r="I10" s="28"/>
      <c r="J10" s="29" t="s">
        <v>104</v>
      </c>
    </row>
    <row r="11" spans="1:10" x14ac:dyDescent="0.45">
      <c r="B11" s="25" t="s">
        <v>105</v>
      </c>
      <c r="C11" s="26" t="s">
        <v>102</v>
      </c>
      <c r="D11" s="27">
        <v>15</v>
      </c>
      <c r="E11" s="26" t="s">
        <v>103</v>
      </c>
      <c r="F11" s="28"/>
      <c r="G11" s="28"/>
      <c r="H11" s="28"/>
      <c r="I11" s="28"/>
      <c r="J11" s="29" t="s">
        <v>106</v>
      </c>
    </row>
    <row r="12" spans="1:10" x14ac:dyDescent="0.45">
      <c r="B12" s="25" t="s">
        <v>107</v>
      </c>
      <c r="C12" s="26" t="s">
        <v>108</v>
      </c>
      <c r="D12" s="27">
        <v>365</v>
      </c>
      <c r="E12" s="26" t="s">
        <v>103</v>
      </c>
      <c r="F12" s="28"/>
      <c r="G12" s="28"/>
      <c r="H12" s="28"/>
      <c r="I12" s="28"/>
      <c r="J12" s="29"/>
    </row>
    <row r="13" spans="1:10" ht="8" customHeight="1" x14ac:dyDescent="0.45"/>
    <row r="14" spans="1:10" ht="22.05" customHeight="1" x14ac:dyDescent="0.5">
      <c r="B14" s="7" t="s">
        <v>109</v>
      </c>
      <c r="C14" s="8"/>
      <c r="D14" s="8"/>
      <c r="E14" s="8"/>
      <c r="F14" s="8"/>
      <c r="G14" s="8"/>
      <c r="H14" s="8"/>
      <c r="I14" s="8"/>
      <c r="J14" s="8"/>
    </row>
    <row r="15" spans="1:10" ht="18" customHeight="1" x14ac:dyDescent="0.45">
      <c r="B15" s="13" t="s">
        <v>110</v>
      </c>
    </row>
    <row r="16" spans="1:10" ht="18" customHeight="1" x14ac:dyDescent="0.45">
      <c r="B16" s="23" t="s">
        <v>96</v>
      </c>
      <c r="C16" s="23" t="s">
        <v>97</v>
      </c>
      <c r="D16" s="24" t="s">
        <v>98</v>
      </c>
      <c r="E16" s="23" t="s">
        <v>99</v>
      </c>
      <c r="F16" s="24" t="s">
        <v>111</v>
      </c>
      <c r="G16" s="24" t="s">
        <v>112</v>
      </c>
      <c r="H16" s="24" t="s">
        <v>113</v>
      </c>
      <c r="I16" s="24" t="s">
        <v>114</v>
      </c>
      <c r="J16" s="23" t="s">
        <v>100</v>
      </c>
    </row>
    <row r="17" spans="2:10" x14ac:dyDescent="0.45">
      <c r="B17" s="25" t="s">
        <v>115</v>
      </c>
      <c r="C17" s="26" t="s">
        <v>108</v>
      </c>
      <c r="D17" s="30" cm="1">
        <f t="array" aca="1" ref="D17" ca="1">_xll.VoseInput("Обычный срок поставки","дн.")+_xll.VosePERT(F17,G17,H17)</f>
        <v>6.9625657841780448</v>
      </c>
      <c r="E17" s="26" t="s">
        <v>116</v>
      </c>
      <c r="F17" s="31">
        <v>5</v>
      </c>
      <c r="G17" s="31">
        <v>7</v>
      </c>
      <c r="H17" s="31">
        <v>10</v>
      </c>
      <c r="I17" s="32" cm="1">
        <f t="array" ref="I17">IF(AND(F17&lt;=G17,G17&lt;=H17,F17&lt;H17),_xll.VoseMean(_xll.VosePERTObject(F17,G17,H17)),"✗ диапазон")</f>
        <v>7.166666666666667</v>
      </c>
      <c r="J17" s="29" t="s">
        <v>117</v>
      </c>
    </row>
    <row r="18" spans="2:10" x14ac:dyDescent="0.45">
      <c r="B18" s="25" t="s">
        <v>118</v>
      </c>
      <c r="C18" s="26" t="s">
        <v>119</v>
      </c>
      <c r="D18" s="33">
        <v>0.1</v>
      </c>
      <c r="E18" s="26" t="s">
        <v>103</v>
      </c>
      <c r="F18" s="28"/>
      <c r="G18" s="28"/>
      <c r="H18" s="28"/>
      <c r="I18" s="28"/>
      <c r="J18" s="29" t="s">
        <v>120</v>
      </c>
    </row>
    <row r="19" spans="2:10" x14ac:dyDescent="0.45">
      <c r="B19" s="25" t="s">
        <v>121</v>
      </c>
      <c r="C19" s="26" t="s">
        <v>108</v>
      </c>
      <c r="D19" s="30" cm="1">
        <f t="array" aca="1" ref="D19" ca="1">_xll.VoseInput("Задержка из-за сбоя","дн.")+_xll.VoseRiskEvent(DelayProb,_xll.VosePERTObject(F19,G19,H19))</f>
        <v>0</v>
      </c>
      <c r="E19" s="26" t="s">
        <v>122</v>
      </c>
      <c r="F19" s="31">
        <v>5</v>
      </c>
      <c r="G19" s="31">
        <v>10</v>
      </c>
      <c r="H19" s="31">
        <v>20</v>
      </c>
      <c r="I19" s="32" cm="1">
        <f t="array" ref="I19">IF(AND(F19&lt;=G19,G19&lt;=H19,F19&lt;H19),_xll.VoseMean(_xll.VoseRiskEventObject(DelayProb,_xll.VosePERTObject(F19,G19,H19))),"✗ диапазон")</f>
        <v>1.0833333333333335</v>
      </c>
      <c r="J19" s="29" t="s">
        <v>123</v>
      </c>
    </row>
    <row r="20" spans="2:10" ht="8" customHeight="1" x14ac:dyDescent="0.45"/>
    <row r="21" spans="2:10" ht="22.05" customHeight="1" x14ac:dyDescent="0.5">
      <c r="B21" s="7" t="s">
        <v>124</v>
      </c>
      <c r="C21" s="8"/>
      <c r="D21" s="8"/>
      <c r="E21" s="8"/>
      <c r="F21" s="8"/>
      <c r="G21" s="8"/>
      <c r="H21" s="8"/>
      <c r="I21" s="8"/>
      <c r="J21" s="8"/>
    </row>
    <row r="22" spans="2:10" ht="18" customHeight="1" x14ac:dyDescent="0.45">
      <c r="B22" s="23" t="s">
        <v>96</v>
      </c>
      <c r="C22" s="23" t="s">
        <v>97</v>
      </c>
      <c r="D22" s="24" t="s">
        <v>98</v>
      </c>
      <c r="E22" s="23" t="s">
        <v>99</v>
      </c>
      <c r="F22" s="5"/>
      <c r="G22" s="5"/>
      <c r="H22" s="5"/>
      <c r="I22" s="5"/>
      <c r="J22" s="23" t="s">
        <v>100</v>
      </c>
    </row>
    <row r="23" spans="2:10" x14ac:dyDescent="0.45">
      <c r="B23" s="25" t="s">
        <v>125</v>
      </c>
      <c r="C23" s="26" t="s">
        <v>126</v>
      </c>
      <c r="D23" s="27">
        <v>20</v>
      </c>
      <c r="E23" s="26" t="s">
        <v>103</v>
      </c>
      <c r="F23" s="28"/>
      <c r="G23" s="28"/>
      <c r="H23" s="28"/>
      <c r="I23" s="28"/>
      <c r="J23" s="29"/>
    </row>
    <row r="24" spans="2:10" x14ac:dyDescent="0.45">
      <c r="B24" s="25" t="s">
        <v>127</v>
      </c>
      <c r="C24" s="26" t="s">
        <v>128</v>
      </c>
      <c r="D24" s="33">
        <v>0.25</v>
      </c>
      <c r="E24" s="26" t="s">
        <v>103</v>
      </c>
      <c r="F24" s="28"/>
      <c r="G24" s="28"/>
      <c r="H24" s="28"/>
      <c r="I24" s="28"/>
      <c r="J24" s="29" t="s">
        <v>129</v>
      </c>
    </row>
    <row r="25" spans="2:10" x14ac:dyDescent="0.45">
      <c r="B25" s="25" t="s">
        <v>130</v>
      </c>
      <c r="C25" s="26" t="s">
        <v>126</v>
      </c>
      <c r="D25" s="27">
        <v>150</v>
      </c>
      <c r="E25" s="26" t="s">
        <v>103</v>
      </c>
      <c r="F25" s="28"/>
      <c r="G25" s="28"/>
      <c r="H25" s="28"/>
      <c r="I25" s="28"/>
      <c r="J25" s="29" t="s">
        <v>131</v>
      </c>
    </row>
    <row r="26" spans="2:10" x14ac:dyDescent="0.45">
      <c r="B26" s="25" t="s">
        <v>132</v>
      </c>
      <c r="C26" s="26" t="s">
        <v>126</v>
      </c>
      <c r="D26" s="27">
        <v>8</v>
      </c>
      <c r="E26" s="26" t="s">
        <v>103</v>
      </c>
      <c r="F26" s="28"/>
      <c r="G26" s="28"/>
      <c r="H26" s="28"/>
      <c r="I26" s="28"/>
      <c r="J26" s="29" t="s">
        <v>133</v>
      </c>
    </row>
    <row r="27" spans="2:10" ht="8" customHeight="1" x14ac:dyDescent="0.45"/>
    <row r="28" spans="2:10" ht="22.05" customHeight="1" x14ac:dyDescent="0.5">
      <c r="B28" s="7" t="s">
        <v>134</v>
      </c>
      <c r="C28" s="8"/>
      <c r="D28" s="8"/>
      <c r="E28" s="8"/>
      <c r="F28" s="8"/>
      <c r="G28" s="8"/>
      <c r="H28" s="8"/>
      <c r="I28" s="8"/>
      <c r="J28" s="8"/>
    </row>
    <row r="29" spans="2:10" ht="18" customHeight="1" x14ac:dyDescent="0.45">
      <c r="B29" s="23" t="s">
        <v>96</v>
      </c>
      <c r="C29" s="23" t="s">
        <v>97</v>
      </c>
      <c r="D29" s="24" t="s">
        <v>98</v>
      </c>
      <c r="E29" s="23" t="s">
        <v>99</v>
      </c>
      <c r="F29" s="5"/>
      <c r="G29" s="5"/>
      <c r="H29" s="5"/>
      <c r="I29" s="5"/>
      <c r="J29" s="23" t="s">
        <v>100</v>
      </c>
    </row>
    <row r="30" spans="2:10" x14ac:dyDescent="0.45">
      <c r="B30" s="25" t="s">
        <v>135</v>
      </c>
      <c r="C30" s="26" t="s">
        <v>136</v>
      </c>
      <c r="D30" s="27">
        <v>350</v>
      </c>
      <c r="E30" s="26" t="s">
        <v>103</v>
      </c>
      <c r="F30" s="28"/>
      <c r="G30" s="28"/>
      <c r="H30" s="28"/>
      <c r="I30" s="28"/>
      <c r="J30" s="29" t="s">
        <v>137</v>
      </c>
    </row>
    <row r="31" spans="2:10" x14ac:dyDescent="0.45">
      <c r="B31" s="25" t="s">
        <v>138</v>
      </c>
      <c r="C31" s="26" t="s">
        <v>136</v>
      </c>
      <c r="D31" s="27">
        <v>100</v>
      </c>
      <c r="E31" s="26" t="s">
        <v>103</v>
      </c>
      <c r="F31" s="28"/>
      <c r="G31" s="28"/>
      <c r="H31" s="28"/>
      <c r="I31" s="28"/>
      <c r="J31" s="29"/>
    </row>
    <row r="32" spans="2:10" ht="8" customHeight="1" x14ac:dyDescent="0.45"/>
  </sheetData>
  <mergeCells count="1">
    <mergeCell ref="B6:J6"/>
  </mergeCells>
  <conditionalFormatting sqref="I17">
    <cfRule type="expression" dxfId="12" priority="1">
      <formula>LEFT($I17,1)="✗"</formula>
    </cfRule>
  </conditionalFormatting>
  <conditionalFormatting sqref="I19">
    <cfRule type="expression" dxfId="11" priority="2">
      <formula>LEFT($I19,1)="✗"</formula>
    </cfRule>
  </conditionalFormatting>
  <dataValidations count="3">
    <dataValidation type="decimal" operator="greaterThan" showErrorMessage="1" errorTitle="Положительное значение" error="Введите значение больше нуля." sqref="D30:D31 D25:D26 D23 D10:D12" xr:uid="{00000000-0002-0000-0100-000000000000}">
      <formula1>0</formula1>
    </dataValidation>
    <dataValidation type="custom" showErrorMessage="1" errorTitle="Диапазон PERT" error="Мин. должно быть меньше макс., наиболее вероятное — между ними." sqref="F17:H17 F19:H19" xr:uid="{00000000-0002-0000-0100-000003000000}">
      <formula1>AND($F17&lt;=$G17,$G17&lt;=$H17,$F17&lt;$H17)</formula1>
    </dataValidation>
    <dataValidation type="decimal" showErrorMessage="1" errorTitle="Вероятность" error="Введите значение от 0% до 100%." sqref="D18 D24" xr:uid="{00000000-0002-0000-0100-000004000000}">
      <formula1>0</formula1>
      <formula2>1</formula2>
    </dataValidation>
  </dataValidations>
  <hyperlinks>
    <hyperlink ref="B4" location="'Описание'!A1" display="◂  Описание" xr:uid="{00000000-0004-0000-0100-000000000000}"/>
    <hyperlink ref="J4" location="'Запасы'!A1" display="Далее:  Запасы  ▸" xr:uid="{00000000-0004-0000-0100-000001000000}"/>
  </hyperlinks>
  <printOptions horizontalCentered="1"/>
  <pageMargins left="0.4" right="0.4" top="0.5" bottom="0.6" header="0.25" footer="0.25"/>
  <pageSetup paperSize="9" scale="70" fitToHeight="0" orientation="landscape" r:id="rId1"/>
  <headerFooter>
    <oddFooter>&amp;L&amp;K3F5876&amp;8&amp;F · &amp;A&amp;R&amp;K3F5876&amp;8Page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AA0BA"/>
    <pageSetUpPr fitToPage="1"/>
  </sheetPr>
  <dimension ref="A1:I58"/>
  <sheetViews>
    <sheetView showGridLines="0" workbookViewId="0"/>
  </sheetViews>
  <sheetFormatPr defaultRowHeight="14.25" x14ac:dyDescent="0.45"/>
  <cols>
    <col min="1" max="1" width="2" customWidth="1"/>
    <col min="2" max="2" width="44" customWidth="1"/>
    <col min="3" max="7" width="13" customWidth="1"/>
    <col min="8" max="8" width="3" customWidth="1"/>
    <col min="9" max="9" width="52" customWidth="1"/>
  </cols>
  <sheetData>
    <row r="1" spans="1:9" ht="6" customHeight="1" x14ac:dyDescent="0.45"/>
    <row r="2" spans="1:9" ht="30" customHeight="1" x14ac:dyDescent="0.45">
      <c r="A2" s="1"/>
      <c r="B2" s="21" t="s">
        <v>0</v>
      </c>
      <c r="C2" s="1"/>
      <c r="D2" s="1"/>
      <c r="E2" s="1"/>
      <c r="F2" s="1"/>
      <c r="G2" s="1"/>
      <c r="H2" s="1"/>
      <c r="I2" s="3" t="s">
        <v>1</v>
      </c>
    </row>
    <row r="3" spans="1:9" ht="20" customHeight="1" x14ac:dyDescent="0.45">
      <c r="A3" s="1"/>
      <c r="B3" s="4" t="s">
        <v>139</v>
      </c>
      <c r="C3" s="1"/>
      <c r="D3" s="1"/>
      <c r="E3" s="1"/>
      <c r="F3" s="1"/>
      <c r="G3" s="1"/>
      <c r="H3" s="1"/>
      <c r="I3" s="1"/>
    </row>
    <row r="4" spans="1:9" ht="20" customHeight="1" x14ac:dyDescent="0.45">
      <c r="A4" s="5"/>
      <c r="B4" s="22" t="s">
        <v>140</v>
      </c>
      <c r="C4" s="5"/>
      <c r="D4" s="5"/>
      <c r="E4" s="5"/>
      <c r="F4" s="5"/>
      <c r="G4" s="5"/>
      <c r="H4" s="5"/>
      <c r="I4" s="6" t="s">
        <v>141</v>
      </c>
    </row>
    <row r="5" spans="1:9" ht="8" customHeight="1" x14ac:dyDescent="0.45"/>
    <row r="6" spans="1:9" ht="22.05" customHeight="1" x14ac:dyDescent="0.5">
      <c r="B6" s="7" t="s">
        <v>142</v>
      </c>
      <c r="C6" s="8"/>
      <c r="D6" s="8"/>
      <c r="E6" s="8"/>
      <c r="F6" s="8"/>
      <c r="G6" s="8"/>
      <c r="H6" s="8"/>
      <c r="I6" s="8"/>
    </row>
    <row r="7" spans="1:9" ht="18" customHeight="1" x14ac:dyDescent="0.45">
      <c r="B7" s="13" t="s">
        <v>143</v>
      </c>
    </row>
    <row r="8" spans="1:9" ht="18" customHeight="1" x14ac:dyDescent="0.45">
      <c r="B8" s="34" t="s">
        <v>144</v>
      </c>
      <c r="C8" s="34" t="s">
        <v>97</v>
      </c>
      <c r="D8" s="35" t="s">
        <v>145</v>
      </c>
      <c r="E8" s="5"/>
      <c r="F8" s="5"/>
      <c r="G8" s="5"/>
      <c r="H8" s="5"/>
      <c r="I8" s="34" t="s">
        <v>146</v>
      </c>
    </row>
    <row r="9" spans="1:9" x14ac:dyDescent="0.45">
      <c r="B9" s="25" t="s">
        <v>147</v>
      </c>
      <c r="C9" s="26" t="s">
        <v>136</v>
      </c>
      <c r="D9" s="36">
        <f>DemMean*SellDays</f>
        <v>14600</v>
      </c>
      <c r="E9" s="28"/>
      <c r="F9" s="28"/>
      <c r="G9" s="28"/>
      <c r="H9" s="28"/>
      <c r="I9" s="26" t="s">
        <v>148</v>
      </c>
    </row>
    <row r="10" spans="1:9" x14ac:dyDescent="0.45">
      <c r="B10" s="25" t="s">
        <v>149</v>
      </c>
      <c r="C10" s="26" t="s">
        <v>150</v>
      </c>
      <c r="D10" s="37">
        <f>UnitCost*HoldRate</f>
        <v>5</v>
      </c>
      <c r="E10" s="28"/>
      <c r="F10" s="28"/>
      <c r="G10" s="28"/>
      <c r="H10" s="28"/>
      <c r="I10" s="28"/>
    </row>
    <row r="11" spans="1:9" x14ac:dyDescent="0.45">
      <c r="B11" s="25" t="s">
        <v>151</v>
      </c>
      <c r="C11" s="26" t="s">
        <v>136</v>
      </c>
      <c r="D11" s="36">
        <f>ROUND(SQRT(2*AnnDem*OrderCost/HoldCost),-1)</f>
        <v>940</v>
      </c>
      <c r="E11" s="28"/>
      <c r="F11" s="28"/>
      <c r="G11" s="28"/>
      <c r="H11" s="28"/>
      <c r="I11" s="26" t="s">
        <v>152</v>
      </c>
    </row>
    <row r="12" spans="1:9" x14ac:dyDescent="0.45">
      <c r="B12" s="25" t="s">
        <v>153</v>
      </c>
      <c r="C12" s="26" t="s">
        <v>154</v>
      </c>
      <c r="D12" s="32">
        <f>AnnDem/OrderQty</f>
        <v>15.531914893617021</v>
      </c>
      <c r="E12" s="28"/>
      <c r="F12" s="28"/>
      <c r="G12" s="28"/>
      <c r="H12" s="28"/>
      <c r="I12" s="26" t="s">
        <v>155</v>
      </c>
    </row>
    <row r="13" spans="1:9" ht="8" customHeight="1" x14ac:dyDescent="0.45"/>
    <row r="14" spans="1:9" ht="22.05" customHeight="1" x14ac:dyDescent="0.5">
      <c r="B14" s="7" t="s">
        <v>156</v>
      </c>
      <c r="C14" s="8"/>
      <c r="D14" s="8"/>
      <c r="E14" s="8"/>
      <c r="F14" s="8"/>
      <c r="G14" s="8"/>
      <c r="H14" s="8"/>
      <c r="I14" s="8"/>
    </row>
    <row r="15" spans="1:9" ht="18" customHeight="1" x14ac:dyDescent="0.45">
      <c r="B15" s="13" t="s">
        <v>157</v>
      </c>
    </row>
    <row r="16" spans="1:9" ht="18" customHeight="1" x14ac:dyDescent="0.45">
      <c r="B16" s="34" t="s">
        <v>144</v>
      </c>
      <c r="C16" s="34" t="s">
        <v>97</v>
      </c>
      <c r="D16" s="35" t="s">
        <v>145</v>
      </c>
      <c r="E16" s="5"/>
      <c r="F16" s="5"/>
      <c r="G16" s="5"/>
      <c r="H16" s="5"/>
      <c r="I16" s="34" t="s">
        <v>146</v>
      </c>
    </row>
    <row r="17" spans="2:9" x14ac:dyDescent="0.45">
      <c r="B17" s="25" t="s">
        <v>158</v>
      </c>
      <c r="C17" s="26" t="s">
        <v>108</v>
      </c>
      <c r="D17" s="36">
        <f ca="1">MAX(1,ROUND(LTNormal+LTDelay,0))</f>
        <v>7</v>
      </c>
      <c r="E17" s="28"/>
      <c r="F17" s="28"/>
      <c r="G17" s="28"/>
      <c r="H17" s="28"/>
      <c r="I17" s="26" t="s">
        <v>159</v>
      </c>
    </row>
    <row r="18" spans="2:9" x14ac:dyDescent="0.45">
      <c r="B18" s="25" t="s">
        <v>160</v>
      </c>
      <c r="C18" s="26"/>
      <c r="D18" s="37">
        <f>(DemMean/DemSD)^2</f>
        <v>7.1111111111111107</v>
      </c>
      <c r="E18" s="28"/>
      <c r="F18" s="28"/>
      <c r="G18" s="28"/>
      <c r="H18" s="28"/>
      <c r="I18" s="26" t="s">
        <v>161</v>
      </c>
    </row>
    <row r="19" spans="2:9" x14ac:dyDescent="0.45">
      <c r="B19" s="25" t="s">
        <v>162</v>
      </c>
      <c r="C19" s="26" t="s">
        <v>136</v>
      </c>
      <c r="D19" s="37">
        <f>DemSD^2/DemMean</f>
        <v>5.625</v>
      </c>
      <c r="E19" s="28"/>
      <c r="F19" s="28"/>
      <c r="G19" s="28"/>
      <c r="H19" s="28"/>
      <c r="I19" s="26" t="s">
        <v>163</v>
      </c>
    </row>
    <row r="20" spans="2:9" x14ac:dyDescent="0.45">
      <c r="B20" s="25" t="s">
        <v>164</v>
      </c>
      <c r="C20" s="26" t="s">
        <v>165</v>
      </c>
      <c r="D20" s="38" t="str" cm="1">
        <f t="array" ref="D20">_xll.VoseGammaObject(GamShape,GamScale)</f>
        <v>VoseGamma(7.11111111111111,5.625)</v>
      </c>
      <c r="E20" s="28"/>
      <c r="F20" s="28"/>
      <c r="G20" s="28"/>
      <c r="H20" s="28"/>
      <c r="I20" s="26" t="s">
        <v>166</v>
      </c>
    </row>
    <row r="21" spans="2:9" x14ac:dyDescent="0.45">
      <c r="B21" s="25" t="s">
        <v>167</v>
      </c>
      <c r="C21" s="26" t="s">
        <v>136</v>
      </c>
      <c r="D21" s="39" cm="1">
        <f t="array" aca="1" ref="D21" ca="1">_xll.VoseAggregateMC(LeadTime,DayDem)</f>
        <v>288.1553620890852</v>
      </c>
      <c r="E21" s="28"/>
      <c r="F21" s="28"/>
      <c r="G21" s="28"/>
      <c r="H21" s="28"/>
      <c r="I21" s="26" t="s">
        <v>168</v>
      </c>
    </row>
    <row r="22" spans="2:9" ht="8" customHeight="1" x14ac:dyDescent="0.45"/>
    <row r="23" spans="2:9" ht="22.05" customHeight="1" x14ac:dyDescent="0.5">
      <c r="B23" s="7" t="s">
        <v>169</v>
      </c>
      <c r="C23" s="8"/>
      <c r="D23" s="8"/>
      <c r="E23" s="8"/>
      <c r="F23" s="8"/>
      <c r="G23" s="8"/>
      <c r="H23" s="8"/>
      <c r="I23" s="8"/>
    </row>
    <row r="24" spans="2:9" ht="18" customHeight="1" x14ac:dyDescent="0.45">
      <c r="B24" s="13" t="s">
        <v>170</v>
      </c>
    </row>
    <row r="25" spans="2:9" ht="18" customHeight="1" x14ac:dyDescent="0.45">
      <c r="B25" s="34" t="s">
        <v>144</v>
      </c>
      <c r="C25" s="34" t="s">
        <v>97</v>
      </c>
      <c r="D25" s="35" t="s">
        <v>145</v>
      </c>
      <c r="E25" s="5"/>
      <c r="F25" s="5"/>
      <c r="G25" s="5"/>
      <c r="H25" s="5"/>
      <c r="I25" s="34" t="s">
        <v>146</v>
      </c>
    </row>
    <row r="26" spans="2:9" x14ac:dyDescent="0.45">
      <c r="B26" s="25" t="s">
        <v>171</v>
      </c>
      <c r="C26" s="26" t="s">
        <v>108</v>
      </c>
      <c r="D26" s="37">
        <f>LTNormal_Mean</f>
        <v>7.166666666666667</v>
      </c>
      <c r="E26" s="28"/>
      <c r="F26" s="28"/>
      <c r="G26" s="28"/>
      <c r="H26" s="28"/>
      <c r="I26" s="26" t="s">
        <v>172</v>
      </c>
    </row>
    <row r="27" spans="2:9" x14ac:dyDescent="0.45">
      <c r="B27" s="25" t="s">
        <v>173</v>
      </c>
      <c r="C27" s="26" t="s">
        <v>174</v>
      </c>
      <c r="D27" s="37" cm="1">
        <f t="array" ref="D27">_xll.VoseVariance(_xll.VosePERTObject(LTNormal_Lo,LTNormal_ML,LTNormal_Hi))</f>
        <v>0.87698412698412709</v>
      </c>
      <c r="E27" s="28"/>
      <c r="F27" s="28"/>
      <c r="G27" s="28"/>
      <c r="H27" s="28"/>
      <c r="I27" s="26" t="s">
        <v>175</v>
      </c>
    </row>
    <row r="28" spans="2:9" x14ac:dyDescent="0.45">
      <c r="B28" s="25" t="s">
        <v>176</v>
      </c>
      <c r="C28" s="26" t="s">
        <v>108</v>
      </c>
      <c r="D28" s="37">
        <f>LTDelay_Mean</f>
        <v>1.0833333333333335</v>
      </c>
      <c r="E28" s="28"/>
      <c r="F28" s="28"/>
      <c r="G28" s="28"/>
      <c r="H28" s="28"/>
      <c r="I28" s="26" t="s">
        <v>177</v>
      </c>
    </row>
    <row r="29" spans="2:9" x14ac:dyDescent="0.45">
      <c r="B29" s="25" t="s">
        <v>178</v>
      </c>
      <c r="C29" s="26" t="s">
        <v>174</v>
      </c>
      <c r="D29" s="37" cm="1">
        <f t="array" ref="D29">_xll.VoseVariance(_xll.VoseRiskEventObject(DelayProb,_xll.VosePERTObject(LTDelay_Lo,LTDelay_ML,LTDelay_Hi)))</f>
        <v>11.326388888888891</v>
      </c>
      <c r="E29" s="28"/>
      <c r="F29" s="28"/>
      <c r="G29" s="28"/>
      <c r="H29" s="28"/>
      <c r="I29" s="26" t="s">
        <v>179</v>
      </c>
    </row>
    <row r="30" spans="2:9" x14ac:dyDescent="0.45">
      <c r="B30" s="25" t="s">
        <v>180</v>
      </c>
      <c r="C30" s="26" t="s">
        <v>108</v>
      </c>
      <c r="D30" s="37">
        <f>LTN_Mean+LTD_Mean</f>
        <v>8.25</v>
      </c>
      <c r="E30" s="28"/>
      <c r="F30" s="28"/>
      <c r="G30" s="28"/>
      <c r="H30" s="28"/>
      <c r="I30" s="26" t="s">
        <v>181</v>
      </c>
    </row>
    <row r="31" spans="2:9" x14ac:dyDescent="0.45">
      <c r="B31" s="25" t="s">
        <v>182</v>
      </c>
      <c r="C31" s="26" t="s">
        <v>174</v>
      </c>
      <c r="D31" s="37">
        <f>LTN_Var+LTD_Var</f>
        <v>12.203373015873018</v>
      </c>
      <c r="E31" s="28"/>
      <c r="F31" s="28"/>
      <c r="G31" s="28"/>
      <c r="H31" s="28"/>
      <c r="I31" s="26" t="s">
        <v>183</v>
      </c>
    </row>
    <row r="32" spans="2:9" x14ac:dyDescent="0.45">
      <c r="B32" s="25" t="s">
        <v>184</v>
      </c>
      <c r="C32" s="26" t="s">
        <v>136</v>
      </c>
      <c r="D32" s="36">
        <f>LT_Mean*DemMean</f>
        <v>330</v>
      </c>
      <c r="E32" s="28"/>
      <c r="F32" s="28"/>
      <c r="G32" s="28"/>
      <c r="H32" s="28"/>
      <c r="I32" s="26" t="s">
        <v>185</v>
      </c>
    </row>
    <row r="33" spans="2:9" x14ac:dyDescent="0.45">
      <c r="B33" s="25" t="s">
        <v>186</v>
      </c>
      <c r="C33" s="26" t="s">
        <v>136</v>
      </c>
      <c r="D33" s="36">
        <f>SQRT(LT_Mean*DemSD^2+DemMean^2*LT_Var)</f>
        <v>146.22464506845907</v>
      </c>
      <c r="E33" s="28"/>
      <c r="F33" s="28"/>
      <c r="G33" s="28"/>
      <c r="H33" s="28"/>
      <c r="I33" s="26" t="s">
        <v>187</v>
      </c>
    </row>
    <row r="34" spans="2:9" x14ac:dyDescent="0.45">
      <c r="B34" s="25" t="s">
        <v>188</v>
      </c>
      <c r="C34" s="26" t="s">
        <v>136</v>
      </c>
      <c r="D34" s="36">
        <f>DDLT_Mean+_xlfn.NORM.S.INV(0.95)*DDLT_SD</f>
        <v>570.51813779054646</v>
      </c>
      <c r="E34" s="28"/>
      <c r="F34" s="28"/>
      <c r="G34" s="28"/>
      <c r="H34" s="28"/>
      <c r="I34" s="26" t="s">
        <v>189</v>
      </c>
    </row>
    <row r="35" spans="2:9" x14ac:dyDescent="0.45">
      <c r="B35" s="25" t="s">
        <v>190</v>
      </c>
      <c r="C35" s="26" t="s">
        <v>136</v>
      </c>
      <c r="D35" s="36">
        <f>DDLT_Mean+_xlfn.NORM.S.INV(0.99)*DDLT_SD</f>
        <v>670.16939218738628</v>
      </c>
      <c r="E35" s="28"/>
      <c r="F35" s="28"/>
      <c r="G35" s="28"/>
      <c r="H35" s="28"/>
      <c r="I35" s="26" t="s">
        <v>191</v>
      </c>
    </row>
    <row r="36" spans="2:9" ht="8" customHeight="1" x14ac:dyDescent="0.45"/>
    <row r="37" spans="2:9" ht="22.05" customHeight="1" x14ac:dyDescent="0.5">
      <c r="B37" s="7" t="s">
        <v>192</v>
      </c>
      <c r="C37" s="8"/>
      <c r="D37" s="8"/>
      <c r="E37" s="8"/>
      <c r="F37" s="8"/>
      <c r="G37" s="8"/>
      <c r="H37" s="8"/>
      <c r="I37" s="8"/>
    </row>
    <row r="38" spans="2:9" ht="18" customHeight="1" x14ac:dyDescent="0.45">
      <c r="B38" s="13" t="s">
        <v>193</v>
      </c>
    </row>
    <row r="39" spans="2:9" ht="18" customHeight="1" x14ac:dyDescent="0.45">
      <c r="B39" s="40" t="s">
        <v>59</v>
      </c>
      <c r="C39" s="41" t="s">
        <v>65</v>
      </c>
      <c r="D39" s="41" t="s">
        <v>194</v>
      </c>
      <c r="E39" s="41" t="s">
        <v>195</v>
      </c>
      <c r="F39" s="5"/>
      <c r="G39" s="5"/>
      <c r="H39" s="5"/>
      <c r="I39" s="34"/>
    </row>
    <row r="40" spans="2:9" x14ac:dyDescent="0.45">
      <c r="B40" s="42" t="s">
        <v>136</v>
      </c>
      <c r="C40" s="42" t="s">
        <v>136</v>
      </c>
      <c r="D40" s="42" t="s">
        <v>136</v>
      </c>
      <c r="E40" s="42" t="s">
        <v>150</v>
      </c>
    </row>
    <row r="41" spans="2:9" x14ac:dyDescent="0.45">
      <c r="B41" s="43">
        <f>ROPMin+0*ROPStep</f>
        <v>350</v>
      </c>
      <c r="C41" s="36">
        <f t="shared" ref="C41:C46" si="0">B41-DDLT_Mean</f>
        <v>20</v>
      </c>
      <c r="D41" s="44" cm="1">
        <f t="array" aca="1" ref="D41" ca="1">_xll.VoseOutput("Нехватка, точка заказа 1","шт.")+MAX(0,DDLT-B41)</f>
        <v>0</v>
      </c>
      <c r="E41" s="44" cm="1">
        <f t="array" aca="1" ref="E41" ca="1">_xll.VoseOutput("Годовые затраты, точка заказа 1","долл. в год")+HoldCost*(OrderQty/2+MAX(0,C41))+OrderCost*Cycles+ShortCost*D41*Cycles</f>
        <v>4779.7872340425529</v>
      </c>
      <c r="F41" s="28"/>
      <c r="G41" s="28"/>
      <c r="H41" s="28"/>
      <c r="I41" s="26" t="s">
        <v>196</v>
      </c>
    </row>
    <row r="42" spans="2:9" x14ac:dyDescent="0.45">
      <c r="B42" s="43">
        <f>ROPMin+1*ROPStep</f>
        <v>450</v>
      </c>
      <c r="C42" s="36">
        <f t="shared" si="0"/>
        <v>120</v>
      </c>
      <c r="D42" s="44" cm="1">
        <f t="array" aca="1" ref="D42" ca="1">_xll.VoseOutput("Нехватка, точка заказа 2","шт.")+MAX(0,DDLT-B42)</f>
        <v>0</v>
      </c>
      <c r="E42" s="44" cm="1">
        <f t="array" aca="1" ref="E42" ca="1">_xll.VoseOutput("Годовые затраты, точка заказа 2","долл. в год")+HoldCost*(OrderQty/2+MAX(0,C42))+OrderCost*Cycles+ShortCost*D42*Cycles</f>
        <v>5279.7872340425529</v>
      </c>
      <c r="F42" s="28"/>
      <c r="G42" s="28"/>
      <c r="H42" s="28"/>
      <c r="I42" s="26" t="s">
        <v>197</v>
      </c>
    </row>
    <row r="43" spans="2:9" x14ac:dyDescent="0.45">
      <c r="B43" s="43">
        <f>ROPMin+2*ROPStep</f>
        <v>550</v>
      </c>
      <c r="C43" s="36">
        <f t="shared" si="0"/>
        <v>220</v>
      </c>
      <c r="D43" s="44" cm="1">
        <f t="array" aca="1" ref="D43" ca="1">_xll.VoseOutput("Нехватка, точка заказа 3","шт.")+MAX(0,DDLT-B43)</f>
        <v>0</v>
      </c>
      <c r="E43" s="44" cm="1">
        <f t="array" aca="1" ref="E43" ca="1">_xll.VoseOutput("Годовые затраты, точка заказа 3","долл. в год")+HoldCost*(OrderQty/2+MAX(0,C43))+OrderCost*Cycles+ShortCost*D43*Cycles</f>
        <v>5779.7872340425529</v>
      </c>
      <c r="F43" s="28"/>
      <c r="G43" s="28"/>
      <c r="H43" s="28"/>
      <c r="I43" s="26" t="s">
        <v>198</v>
      </c>
    </row>
    <row r="44" spans="2:9" x14ac:dyDescent="0.45">
      <c r="B44" s="43">
        <f>ROPMin+3*ROPStep</f>
        <v>650</v>
      </c>
      <c r="C44" s="36">
        <f t="shared" si="0"/>
        <v>320</v>
      </c>
      <c r="D44" s="44" cm="1">
        <f t="array" aca="1" ref="D44" ca="1">_xll.VoseOutput("Нехватка, точка заказа 4","шт.")+MAX(0,DDLT-B44)</f>
        <v>0</v>
      </c>
      <c r="E44" s="44" cm="1">
        <f t="array" aca="1" ref="E44" ca="1">_xll.VoseOutput("Годовые затраты, точка заказа 4","долл. в год")+HoldCost*(OrderQty/2+MAX(0,C44))+OrderCost*Cycles+ShortCost*D44*Cycles</f>
        <v>6279.7872340425529</v>
      </c>
      <c r="F44" s="28"/>
      <c r="G44" s="28"/>
      <c r="H44" s="28"/>
      <c r="I44" s="26" t="s">
        <v>199</v>
      </c>
    </row>
    <row r="45" spans="2:9" x14ac:dyDescent="0.45">
      <c r="B45" s="43">
        <f>ROPMin+4*ROPStep</f>
        <v>750</v>
      </c>
      <c r="C45" s="36">
        <f t="shared" si="0"/>
        <v>420</v>
      </c>
      <c r="D45" s="44" cm="1">
        <f t="array" aca="1" ref="D45" ca="1">_xll.VoseOutput("Нехватка, точка заказа 5","шт.")+MAX(0,DDLT-B45)</f>
        <v>0</v>
      </c>
      <c r="E45" s="44" cm="1">
        <f t="array" aca="1" ref="E45" ca="1">_xll.VoseOutput("Годовые затраты, точка заказа 5","долл. в год")+HoldCost*(OrderQty/2+MAX(0,C45))+OrderCost*Cycles+ShortCost*D45*Cycles</f>
        <v>6779.7872340425529</v>
      </c>
      <c r="F45" s="28"/>
      <c r="G45" s="28"/>
      <c r="H45" s="28"/>
      <c r="I45" s="26" t="s">
        <v>200</v>
      </c>
    </row>
    <row r="46" spans="2:9" x14ac:dyDescent="0.45">
      <c r="B46" s="43">
        <f>ROPMin+5*ROPStep</f>
        <v>850</v>
      </c>
      <c r="C46" s="36">
        <f t="shared" si="0"/>
        <v>520</v>
      </c>
      <c r="D46" s="44" cm="1">
        <f t="array" aca="1" ref="D46" ca="1">_xll.VoseOutput("Нехватка, точка заказа 6","шт.")+MAX(0,DDLT-B46)</f>
        <v>0</v>
      </c>
      <c r="E46" s="44" cm="1">
        <f t="array" aca="1" ref="E46" ca="1">_xll.VoseOutput("Годовые затраты, точка заказа 6","долл. в год")+HoldCost*(OrderQty/2+MAX(0,C46))+OrderCost*Cycles+ShortCost*D46*Cycles</f>
        <v>7279.7872340425529</v>
      </c>
      <c r="F46" s="28"/>
      <c r="G46" s="28"/>
      <c r="H46" s="28"/>
      <c r="I46" s="28"/>
    </row>
    <row r="47" spans="2:9" ht="8" customHeight="1" x14ac:dyDescent="0.45"/>
    <row r="48" spans="2:9" ht="22.05" customHeight="1" x14ac:dyDescent="0.5">
      <c r="B48" s="7" t="s">
        <v>201</v>
      </c>
      <c r="C48" s="8"/>
      <c r="D48" s="8"/>
      <c r="E48" s="8"/>
      <c r="F48" s="8"/>
      <c r="G48" s="8"/>
      <c r="H48" s="8"/>
      <c r="I48" s="8"/>
    </row>
    <row r="49" spans="2:9" ht="18" customHeight="1" x14ac:dyDescent="0.45">
      <c r="B49" s="13" t="s">
        <v>202</v>
      </c>
    </row>
    <row r="50" spans="2:9" ht="18" customHeight="1" x14ac:dyDescent="0.45">
      <c r="B50" s="34" t="s">
        <v>203</v>
      </c>
      <c r="C50" s="34" t="s">
        <v>97</v>
      </c>
      <c r="D50" s="35" t="s">
        <v>145</v>
      </c>
      <c r="E50" s="5"/>
      <c r="F50" s="5"/>
      <c r="G50" s="5"/>
      <c r="H50" s="5"/>
      <c r="I50" s="34" t="s">
        <v>204</v>
      </c>
    </row>
    <row r="51" spans="2:9" x14ac:dyDescent="0.45">
      <c r="B51" s="25" t="s">
        <v>167</v>
      </c>
      <c r="C51" s="26" t="s">
        <v>136</v>
      </c>
      <c r="D51" s="44" cm="1">
        <f t="array" aca="1" ref="D51" ca="1">_xll.VoseOutput("Спрос за срок поставки","шт.")+DDLT</f>
        <v>288.1553620890852</v>
      </c>
      <c r="E51" s="28"/>
      <c r="F51" s="28"/>
      <c r="G51" s="28"/>
      <c r="H51" s="28"/>
      <c r="I51" s="26"/>
    </row>
    <row r="52" spans="2:9" x14ac:dyDescent="0.45">
      <c r="B52" s="25" t="s">
        <v>72</v>
      </c>
      <c r="C52" s="26" t="s">
        <v>108</v>
      </c>
      <c r="D52" s="44" cm="1">
        <f t="array" aca="1" ref="D52" ca="1">_xll.VoseOutput("Срок поставки","дн.")+LeadTime</f>
        <v>7</v>
      </c>
      <c r="E52" s="28"/>
      <c r="F52" s="28"/>
      <c r="G52" s="28"/>
      <c r="H52" s="28"/>
      <c r="I52" s="26"/>
    </row>
    <row r="53" spans="2:9" ht="8" customHeight="1" x14ac:dyDescent="0.45"/>
    <row r="54" spans="2:9" ht="22.05" customHeight="1" x14ac:dyDescent="0.5">
      <c r="B54" s="7" t="s">
        <v>205</v>
      </c>
      <c r="C54" s="8"/>
      <c r="D54" s="8"/>
      <c r="E54" s="8"/>
      <c r="F54" s="8"/>
      <c r="G54" s="8"/>
      <c r="H54" s="8"/>
      <c r="I54" s="8"/>
    </row>
    <row r="55" spans="2:9" ht="18" customHeight="1" x14ac:dyDescent="0.45">
      <c r="B55" s="13" t="s">
        <v>206</v>
      </c>
    </row>
    <row r="56" spans="2:9" x14ac:dyDescent="0.45">
      <c r="B56" s="25" t="s">
        <v>207</v>
      </c>
      <c r="C56" s="28"/>
      <c r="D56" s="45" t="str">
        <f>IF(OrderQty&gt;ROP_6,"ОК","ПРОВЕРИТЬ")</f>
        <v>ОК</v>
      </c>
      <c r="E56" s="28"/>
      <c r="F56" s="28"/>
      <c r="G56" s="28"/>
      <c r="H56" s="28"/>
      <c r="I56" s="28"/>
    </row>
    <row r="57" spans="2:9" x14ac:dyDescent="0.45">
      <c r="B57" s="25" t="s">
        <v>208</v>
      </c>
      <c r="C57" s="28"/>
      <c r="D57" s="45" t="str">
        <f>IF(DemSD&gt;0,"ОК","ПРОВЕРИТЬ")</f>
        <v>ОК</v>
      </c>
      <c r="E57" s="28"/>
      <c r="F57" s="28"/>
      <c r="G57" s="28"/>
      <c r="H57" s="28"/>
      <c r="I57" s="28"/>
    </row>
    <row r="58" spans="2:9" ht="14" customHeight="1" x14ac:dyDescent="0.45"/>
  </sheetData>
  <conditionalFormatting sqref="D56:D57">
    <cfRule type="expression" dxfId="10" priority="1">
      <formula>D56="CHECK"</formula>
    </cfRule>
  </conditionalFormatting>
  <hyperlinks>
    <hyperlink ref="B4" location="'Исходные данные'!A1" display="◂  Исходные данные" xr:uid="{00000000-0004-0000-0200-000000000000}"/>
    <hyperlink ref="I4" location="'Результаты'!A1" display="Далее:  Результаты  ▸" xr:uid="{00000000-0004-0000-0200-000001000000}"/>
  </hyperlinks>
  <printOptions horizontalCentered="1"/>
  <pageMargins left="0.4" right="0.4" top="0.5" bottom="0.6" header="0.25" footer="0.25"/>
  <pageSetup paperSize="9" scale="83" fitToHeight="0" orientation="landscape" r:id="rId1"/>
  <headerFooter>
    <oddFooter>&amp;L&amp;K3F5876&amp;8&amp;F · &amp;A&amp;R&amp;K3F5876&amp;8Page &amp;P of &amp;N</oddFooter>
  </headerFooter>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5803D"/>
    <outlinePr summaryBelow="0"/>
    <pageSetUpPr fitToPage="1"/>
  </sheetPr>
  <dimension ref="A1:R230"/>
  <sheetViews>
    <sheetView showGridLines="0" workbookViewId="0">
      <pane ySplit="5" topLeftCell="A6" activePane="bottomLeft" state="frozen"/>
      <selection pane="bottomLeft"/>
    </sheetView>
  </sheetViews>
  <sheetFormatPr defaultRowHeight="14.25" outlineLevelRow="1" x14ac:dyDescent="0.45"/>
  <cols>
    <col min="1" max="1" width="2" customWidth="1"/>
    <col min="2" max="2" width="44" customWidth="1"/>
    <col min="3" max="3" width="10" customWidth="1"/>
    <col min="4" max="7" width="11" customWidth="1"/>
    <col min="8" max="8" width="3" customWidth="1"/>
    <col min="9" max="18" width="8.59765625" customWidth="1"/>
    <col min="20" max="20" width="9.06640625" customWidth="1"/>
  </cols>
  <sheetData>
    <row r="1" spans="1:18" ht="6" customHeight="1" x14ac:dyDescent="0.45"/>
    <row r="2" spans="1:18" ht="30" customHeight="1" x14ac:dyDescent="0.45">
      <c r="A2" s="1"/>
      <c r="B2" s="21" t="s">
        <v>0</v>
      </c>
      <c r="C2" s="1"/>
      <c r="D2" s="1"/>
      <c r="E2" s="1"/>
      <c r="F2" s="1"/>
      <c r="G2" s="1"/>
      <c r="H2" s="1"/>
      <c r="I2" s="1"/>
      <c r="J2" s="1"/>
      <c r="K2" s="1"/>
      <c r="L2" s="1"/>
      <c r="M2" s="1"/>
      <c r="N2" s="1"/>
      <c r="O2" s="1"/>
      <c r="P2" s="1"/>
      <c r="Q2" s="1"/>
      <c r="R2" s="3" t="s">
        <v>1</v>
      </c>
    </row>
    <row r="3" spans="1:18" ht="20" customHeight="1" x14ac:dyDescent="0.45">
      <c r="A3" s="1"/>
      <c r="B3" s="4" t="s">
        <v>209</v>
      </c>
      <c r="C3" s="1"/>
      <c r="D3" s="1"/>
      <c r="E3" s="1"/>
      <c r="F3" s="1"/>
      <c r="G3" s="1"/>
      <c r="H3" s="1"/>
      <c r="I3" s="1"/>
      <c r="J3" s="1"/>
      <c r="K3" s="1"/>
      <c r="L3" s="1"/>
      <c r="M3" s="1"/>
      <c r="N3" s="1"/>
      <c r="O3" s="1"/>
      <c r="P3" s="1"/>
      <c r="Q3" s="1"/>
      <c r="R3" s="1"/>
    </row>
    <row r="4" spans="1:18" ht="20" customHeight="1" x14ac:dyDescent="0.45">
      <c r="A4" s="5"/>
      <c r="B4" s="22" t="s">
        <v>210</v>
      </c>
      <c r="C4" s="5"/>
      <c r="D4" s="5"/>
      <c r="E4" s="5"/>
      <c r="F4" s="5"/>
      <c r="G4" s="5"/>
      <c r="H4" s="5"/>
      <c r="I4" s="5"/>
      <c r="J4" s="5"/>
      <c r="K4" s="5"/>
      <c r="L4" s="5"/>
      <c r="M4" s="5"/>
      <c r="N4" s="5"/>
      <c r="O4" s="5"/>
      <c r="P4" s="5"/>
      <c r="Q4" s="5"/>
      <c r="R4" s="5"/>
    </row>
    <row r="5" spans="1:18" ht="8" customHeight="1" x14ac:dyDescent="0.45"/>
    <row r="6" spans="1:18" ht="26" customHeight="1" x14ac:dyDescent="0.45">
      <c r="B6" s="46" t="str" cm="1">
        <f t="array" aca="1" ref="B6" ca="1">IF(ISNUMBER(_xll.VoseSimMean(Out_DDLT)),"✔  Показаны результаты последнего моделирования в этом сеансе Excel. После изменения исходных данных запустите моделирование снова.","▶  Результатов моделирования пока нет. Запустите моделирование на ленте МоделРиск — лист заполнится автоматически.")</f>
        <v>✔  Показаны результаты последнего моделирования в этом сеансе Excel. После изменения исходных данных запустите моделирование снова.</v>
      </c>
      <c r="C6" s="47"/>
      <c r="D6" s="47"/>
      <c r="E6" s="47"/>
      <c r="F6" s="47"/>
      <c r="G6" s="47"/>
    </row>
    <row r="7" spans="1:18" x14ac:dyDescent="0.45">
      <c r="B7" s="48" t="str">
        <f>IF(COUNTIF(Checks,"ПРОВЕРИТЬ")=0,"✔  Все проверки модели пройдены («ОК»).","✗  "&amp;COUNTIF(Checks,"ПРОВЕРИТЬ")&amp;" проверок не пройдено («ПРОВЕРИТЬ»): см. раздел «Проверки модели» в конце расчетного листа.")</f>
        <v>✔  Все проверки модели пройдены («ОК»).</v>
      </c>
    </row>
    <row r="8" spans="1:18" ht="8" customHeight="1" x14ac:dyDescent="0.45"/>
    <row r="9" spans="1:18" ht="22.05" customHeight="1" x14ac:dyDescent="0.5">
      <c r="B9" s="7" t="s">
        <v>211</v>
      </c>
      <c r="C9" s="8"/>
      <c r="D9" s="8"/>
      <c r="E9" s="8"/>
      <c r="F9" s="8"/>
      <c r="G9" s="8"/>
      <c r="I9" s="49" t="s">
        <v>212</v>
      </c>
      <c r="J9" s="8"/>
      <c r="K9" s="8"/>
      <c r="L9" s="8"/>
      <c r="M9" s="8"/>
      <c r="N9" s="8"/>
      <c r="O9" s="8"/>
      <c r="P9" s="8"/>
      <c r="Q9" s="8"/>
      <c r="R9" s="8"/>
    </row>
    <row r="10" spans="1:18" ht="18" customHeight="1" x14ac:dyDescent="0.45">
      <c r="B10" s="13" t="s">
        <v>213</v>
      </c>
    </row>
    <row r="11" spans="1:18" ht="18" customHeight="1" x14ac:dyDescent="0.45">
      <c r="B11" s="23" t="s">
        <v>214</v>
      </c>
      <c r="C11" s="23" t="s">
        <v>97</v>
      </c>
      <c r="D11" s="24" t="s">
        <v>215</v>
      </c>
      <c r="E11" s="24" t="s">
        <v>216</v>
      </c>
      <c r="F11" s="24" t="s">
        <v>217</v>
      </c>
      <c r="G11" s="24" t="s">
        <v>114</v>
      </c>
    </row>
    <row r="12" spans="1:18" x14ac:dyDescent="0.45">
      <c r="B12" s="25" t="s">
        <v>218</v>
      </c>
      <c r="C12" s="26" t="s">
        <v>136</v>
      </c>
      <c r="D12" s="50" cm="1">
        <f t="array" aca="1" ref="D12" ca="1">_xll.VoseSimPercentile(Out_DDLT,0.05)</f>
        <v>202.31379703711133</v>
      </c>
      <c r="E12" s="50" cm="1">
        <f t="array" aca="1" ref="E12" ca="1">_xll.VoseSimPercentile(Out_DDLT,0.5)</f>
        <v>290.89660009566683</v>
      </c>
      <c r="F12" s="50" cm="1">
        <f t="array" aca="1" ref="F12" ca="1">_xll.VoseSimPercentile(Out_DDLT,0.95)</f>
        <v>720.15290761385711</v>
      </c>
      <c r="G12" s="50" cm="1">
        <f t="array" aca="1" ref="G12" ca="1">_xll.VoseSimMean(Out_DDLT)</f>
        <v>328.94676989734381</v>
      </c>
    </row>
    <row r="13" spans="1:18" x14ac:dyDescent="0.45">
      <c r="B13" s="25" t="s">
        <v>72</v>
      </c>
      <c r="C13" s="26" t="s">
        <v>108</v>
      </c>
      <c r="D13" s="50" cm="1">
        <f t="array" aca="1" ref="D13" ca="1">_xll.VoseSimPercentile(Out_LT,0.05)</f>
        <v>6</v>
      </c>
      <c r="E13" s="50" cm="1">
        <f t="array" aca="1" ref="E13" ca="1">_xll.VoseSimPercentile(Out_LT,0.5)</f>
        <v>7</v>
      </c>
      <c r="F13" s="50" cm="1">
        <f t="array" aca="1" ref="F13" ca="1">_xll.VoseSimPercentile(Out_LT,0.95)</f>
        <v>18</v>
      </c>
      <c r="G13" s="50" cm="1">
        <f t="array" aca="1" ref="G13" ca="1">_xll.VoseSimMean(Out_LT)</f>
        <v>8.2277000000000005</v>
      </c>
    </row>
    <row r="14" spans="1:18" ht="18" customHeight="1" x14ac:dyDescent="0.45">
      <c r="B14" s="23" t="s">
        <v>214</v>
      </c>
      <c r="C14" s="23" t="s">
        <v>97</v>
      </c>
      <c r="D14" s="24" t="s">
        <v>145</v>
      </c>
      <c r="E14" s="5"/>
      <c r="F14" s="5"/>
      <c r="G14" s="5"/>
    </row>
    <row r="15" spans="1:18" x14ac:dyDescent="0.45">
      <c r="B15" s="25" t="s">
        <v>219</v>
      </c>
      <c r="C15" s="26" t="s">
        <v>136</v>
      </c>
      <c r="D15" s="50" cm="1">
        <f t="array" aca="1" ref="D15" ca="1">_xll.VoseSimStdev(Out_DDLT)</f>
        <v>145.76205478878111</v>
      </c>
      <c r="E15" s="28"/>
      <c r="F15" s="28"/>
      <c r="G15" s="28"/>
    </row>
    <row r="16" spans="1:18" x14ac:dyDescent="0.45">
      <c r="B16" s="51" t="s">
        <v>220</v>
      </c>
      <c r="C16" s="26" t="s">
        <v>136</v>
      </c>
      <c r="D16" s="36">
        <f>DDLT_Mean</f>
        <v>330</v>
      </c>
      <c r="E16" s="28"/>
      <c r="F16" s="28"/>
      <c r="G16" s="28"/>
    </row>
    <row r="17" spans="2:18" x14ac:dyDescent="0.45">
      <c r="B17" s="51" t="s">
        <v>221</v>
      </c>
      <c r="C17" s="26" t="s">
        <v>136</v>
      </c>
      <c r="D17" s="36">
        <f>DDLT_SD</f>
        <v>146.22464506845907</v>
      </c>
      <c r="E17" s="28"/>
      <c r="F17" s="28"/>
      <c r="G17" s="28"/>
    </row>
    <row r="18" spans="2:18" ht="8" customHeight="1" x14ac:dyDescent="0.45"/>
    <row r="19" spans="2:18" ht="22.05" customHeight="1" x14ac:dyDescent="0.5">
      <c r="B19" s="7" t="s">
        <v>222</v>
      </c>
      <c r="C19" s="8"/>
      <c r="D19" s="8"/>
      <c r="E19" s="8"/>
      <c r="F19" s="8"/>
      <c r="G19" s="8"/>
    </row>
    <row r="20" spans="2:18" ht="18" customHeight="1" x14ac:dyDescent="0.45">
      <c r="B20" s="13" t="s">
        <v>223</v>
      </c>
    </row>
    <row r="21" spans="2:18" ht="18" customHeight="1" x14ac:dyDescent="0.45">
      <c r="B21" s="52" t="s">
        <v>224</v>
      </c>
      <c r="C21" s="53" t="s">
        <v>225</v>
      </c>
      <c r="D21" s="53" t="s">
        <v>63</v>
      </c>
      <c r="E21" s="53" t="s">
        <v>194</v>
      </c>
      <c r="F21" s="53" t="s">
        <v>195</v>
      </c>
      <c r="G21" s="53" t="s">
        <v>226</v>
      </c>
    </row>
    <row r="22" spans="2:18" x14ac:dyDescent="0.45">
      <c r="B22" s="42"/>
      <c r="C22" s="42" t="s">
        <v>227</v>
      </c>
      <c r="D22" s="42"/>
      <c r="E22" s="42" t="s">
        <v>228</v>
      </c>
      <c r="F22" s="42" t="s">
        <v>150</v>
      </c>
      <c r="G22" s="42" t="s">
        <v>229</v>
      </c>
    </row>
    <row r="23" spans="2:18" x14ac:dyDescent="0.45">
      <c r="B23" s="43">
        <f>ROP_1</f>
        <v>350</v>
      </c>
      <c r="C23" s="54" cm="1">
        <f t="array" aca="1" ref="C23" ca="1">_xll.VoseSimProbability(Out_DDLT,ROP_1)</f>
        <v>0.78322167783221674</v>
      </c>
      <c r="D23" s="55" cm="1">
        <f t="array" aca="1" ref="D23" ca="1">IFERROR(1-_xll.VoseSimMean(Out_Short_1)/OrderQty,"–")</f>
        <v>0.95724156025530582</v>
      </c>
      <c r="E23" s="50" cm="1">
        <f t="array" aca="1" ref="E23" ca="1">IFERROR(_xll.VoseSimMean(Out_Short_1)*Cycles,"–")</f>
        <v>624.27322027253558</v>
      </c>
      <c r="F23" s="50" cm="1">
        <f t="array" aca="1" ref="F23" ca="1">_xll.VoseSimMean(Out_Cost_1)</f>
        <v>9773.9729962223701</v>
      </c>
      <c r="G23" s="56" t="str">
        <f t="shared" ref="G23:G28" ca="1" si="0">IF(ISNUMBER(F23),IF(F23=MIN($F$23:$F$28),"✔  самое низкое",""),"–")</f>
        <v/>
      </c>
    </row>
    <row r="24" spans="2:18" x14ac:dyDescent="0.45">
      <c r="B24" s="43">
        <f>ROP_2</f>
        <v>450</v>
      </c>
      <c r="C24" s="54" cm="1">
        <f t="array" aca="1" ref="C24" ca="1">_xll.VoseSimProbability(Out_DDLT,ROP_2)</f>
        <v>0.90030996900309967</v>
      </c>
      <c r="D24" s="55" cm="1">
        <f t="array" aca="1" ref="D24" ca="1">IFERROR(1-_xll.VoseSimMean(Out_Short_2)/OrderQty,"–")</f>
        <v>0.97155860322028353</v>
      </c>
      <c r="E24" s="50" cm="1">
        <f t="array" aca="1" ref="E24" ca="1">IFERROR(_xll.VoseSimMean(Out_Short_2)*Cycles,"–")</f>
        <v>415.24439298385977</v>
      </c>
      <c r="F24" s="50" cm="1">
        <f t="array" aca="1" ref="F24" ca="1">_xll.VoseSimMean(Out_Cost_2)</f>
        <v>8601.7423779134297</v>
      </c>
      <c r="G24" s="56" t="str">
        <f t="shared" ca="1" si="0"/>
        <v/>
      </c>
      <c r="I24" s="49" t="s">
        <v>230</v>
      </c>
      <c r="J24" s="8"/>
      <c r="K24" s="8"/>
      <c r="L24" s="8"/>
      <c r="M24" s="8"/>
      <c r="N24" s="8"/>
      <c r="O24" s="8"/>
      <c r="P24" s="8"/>
      <c r="Q24" s="8"/>
      <c r="R24" s="8"/>
    </row>
    <row r="25" spans="2:18" x14ac:dyDescent="0.45">
      <c r="B25" s="43">
        <f>ROP_3</f>
        <v>550</v>
      </c>
      <c r="C25" s="54" cm="1">
        <f t="array" aca="1" ref="C25" ca="1">_xll.VoseSimProbability(Out_DDLT,ROP_3)</f>
        <v>0.91060893910608942</v>
      </c>
      <c r="D25" s="55" cm="1">
        <f t="array" aca="1" ref="D25" ca="1">IFERROR(1-_xll.VoseSimMean(Out_Short_3)/OrderQty,"–")</f>
        <v>0.98158159707688386</v>
      </c>
      <c r="E25" s="50" cm="1">
        <f t="array" aca="1" ref="E25" ca="1">IFERROR(_xll.VoseSimMean(Out_Short_3)*Cycles,"–")</f>
        <v>268.90868267749619</v>
      </c>
      <c r="F25" s="50" cm="1">
        <f t="array" aca="1" ref="F25" ca="1">_xll.VoseSimMean(Out_Cost_3)</f>
        <v>7931.0566954628621</v>
      </c>
      <c r="G25" s="56" t="str">
        <f t="shared" ca="1" si="0"/>
        <v/>
      </c>
    </row>
    <row r="26" spans="2:18" x14ac:dyDescent="0.45">
      <c r="B26" s="43">
        <f>ROP_4</f>
        <v>650</v>
      </c>
      <c r="C26" s="54" cm="1">
        <f t="array" aca="1" ref="C26" ca="1">_xll.VoseSimProbability(Out_DDLT,ROP_4)</f>
        <v>0.93160683931606836</v>
      </c>
      <c r="D26" s="55" cm="1">
        <f t="array" aca="1" ref="D26" ca="1">IFERROR(1-_xll.VoseSimMean(Out_Short_4)/OrderQty,"–")</f>
        <v>0.98998983101185356</v>
      </c>
      <c r="E26" s="50" cm="1">
        <f t="array" aca="1" ref="E26" ca="1">IFERROR(_xll.VoseSimMean(Out_Short_4)*Cycles,"–")</f>
        <v>146.14846722693875</v>
      </c>
      <c r="F26" s="50" cm="1">
        <f t="array" aca="1" ref="F26" ca="1">_xll.VoseSimMean(Out_Cost_4)</f>
        <v>7448.9749718586918</v>
      </c>
      <c r="G26" s="56" t="str">
        <f t="shared" ca="1" si="0"/>
        <v/>
      </c>
    </row>
    <row r="27" spans="2:18" x14ac:dyDescent="0.45">
      <c r="B27" s="43">
        <f>ROP_5</f>
        <v>750</v>
      </c>
      <c r="C27" s="54" cm="1">
        <f t="array" aca="1" ref="C27" ca="1">_xll.VoseSimProbability(Out_DDLT,ROP_5)</f>
        <v>0.95810418958104193</v>
      </c>
      <c r="D27" s="55" cm="1">
        <f t="array" aca="1" ref="D27" ca="1">IFERROR(1-_xll.VoseSimMean(Out_Short_5)/OrderQty,"–")</f>
        <v>0.99586271638065749</v>
      </c>
      <c r="E27" s="50" cm="1">
        <f t="array" aca="1" ref="E27" ca="1">IFERROR(_xll.VoseSimMean(Out_Short_5)*Cycles,"–")</f>
        <v>60.404340842400927</v>
      </c>
      <c r="F27" s="50" cm="1">
        <f t="array" aca="1" ref="F27" ca="1">_xll.VoseSimMean(Out_Cost_5)</f>
        <v>7263.021960782532</v>
      </c>
      <c r="G27" s="56" t="str">
        <f t="shared" ca="1" si="0"/>
        <v>✔  самое низкое</v>
      </c>
    </row>
    <row r="28" spans="2:18" x14ac:dyDescent="0.45">
      <c r="B28" s="43">
        <f>ROP_6</f>
        <v>850</v>
      </c>
      <c r="C28" s="54" cm="1">
        <f t="array" aca="1" ref="C28" ca="1">_xll.VoseSimProbability(Out_DDLT,ROP_6)</f>
        <v>0.98390160983901609</v>
      </c>
      <c r="D28" s="55" cm="1">
        <f t="array" aca="1" ref="D28" ca="1">IFERROR(1-_xll.VoseSimMean(Out_Short_6)/OrderQty,"–")</f>
        <v>0.99875385939489847</v>
      </c>
      <c r="E28" s="50" cm="1">
        <f t="array" aca="1" ref="E28" ca="1">IFERROR(_xll.VoseSimMean(Out_Short_6)*Cycles,"–")</f>
        <v>18.193652834481693</v>
      </c>
      <c r="F28" s="50" cm="1">
        <f t="array" aca="1" ref="F28" ca="1">_xll.VoseSimMean(Out_Cost_6)</f>
        <v>7425.3364567190902</v>
      </c>
      <c r="G28" s="56" t="str">
        <f t="shared" ca="1" si="0"/>
        <v/>
      </c>
    </row>
    <row r="29" spans="2:18" x14ac:dyDescent="0.45">
      <c r="B29" s="57" t="s">
        <v>231</v>
      </c>
    </row>
    <row r="30" spans="2:18" ht="8" customHeight="1" x14ac:dyDescent="0.45"/>
    <row r="31" spans="2:18" ht="22.05" customHeight="1" x14ac:dyDescent="0.5">
      <c r="B31" s="7" t="s">
        <v>232</v>
      </c>
      <c r="C31" s="8"/>
      <c r="D31" s="8"/>
      <c r="E31" s="8"/>
      <c r="F31" s="8"/>
      <c r="G31" s="8"/>
    </row>
    <row r="32" spans="2:18" ht="18" customHeight="1" x14ac:dyDescent="0.45">
      <c r="B32" s="13" t="s">
        <v>233</v>
      </c>
    </row>
    <row r="33" spans="2:7" ht="18" customHeight="1" x14ac:dyDescent="0.45">
      <c r="B33" s="52" t="s">
        <v>234</v>
      </c>
      <c r="C33" s="53" t="s">
        <v>235</v>
      </c>
      <c r="D33" s="53" t="s">
        <v>236</v>
      </c>
      <c r="E33" s="53" t="s">
        <v>237</v>
      </c>
      <c r="F33" s="5"/>
      <c r="G33" s="5"/>
    </row>
    <row r="34" spans="2:7" x14ac:dyDescent="0.45">
      <c r="B34" s="42"/>
      <c r="C34" s="42" t="s">
        <v>238</v>
      </c>
      <c r="D34" s="42" t="s">
        <v>239</v>
      </c>
      <c r="E34" s="42" t="s">
        <v>240</v>
      </c>
    </row>
    <row r="35" spans="2:7" x14ac:dyDescent="0.45">
      <c r="B35" s="25" t="s">
        <v>241</v>
      </c>
      <c r="C35" s="50" cm="1">
        <f t="array" aca="1" ref="C35" ca="1">_xll.VoseSimPercentile(Out_DDLT,0.95)</f>
        <v>720.15290761385711</v>
      </c>
      <c r="D35" s="36">
        <f>ROP_Norm95</f>
        <v>570.51813779054646</v>
      </c>
      <c r="E35" s="54" cm="1">
        <f t="array" aca="1" ref="E35" ca="1">_xll.VoseSimProbability(Out_DDLT,ROP_Norm95)</f>
        <v>0.91470852914708534</v>
      </c>
      <c r="F35" s="28"/>
      <c r="G35" s="28"/>
    </row>
    <row r="36" spans="2:7" x14ac:dyDescent="0.45">
      <c r="B36" s="25" t="s">
        <v>242</v>
      </c>
      <c r="C36" s="50" cm="1">
        <f t="array" aca="1" ref="C36" ca="1">_xll.VoseSimPercentile(Out_DDLT,0.99)</f>
        <v>892.69972850706813</v>
      </c>
      <c r="D36" s="36">
        <f>ROP_Norm99</f>
        <v>670.16939218738628</v>
      </c>
      <c r="E36" s="54" cm="1">
        <f t="array" aca="1" ref="E36" ca="1">_xll.VoseSimProbability(Out_DDLT,ROP_Norm99)</f>
        <v>0.93620637936206375</v>
      </c>
      <c r="F36" s="28"/>
      <c r="G36" s="28"/>
    </row>
    <row r="37" spans="2:7" ht="8" customHeight="1" x14ac:dyDescent="0.45"/>
    <row r="40" spans="2:7" ht="22.05" customHeight="1" x14ac:dyDescent="0.5">
      <c r="B40" s="7" t="s">
        <v>243</v>
      </c>
      <c r="C40" s="8"/>
      <c r="D40" s="8"/>
      <c r="E40" s="8"/>
      <c r="F40" s="8"/>
      <c r="G40" s="8"/>
    </row>
    <row r="41" spans="2:7" ht="45" customHeight="1" x14ac:dyDescent="0.45">
      <c r="B41" s="63" t="s">
        <v>244</v>
      </c>
      <c r="C41" s="64"/>
      <c r="D41" s="64"/>
      <c r="E41" s="64"/>
      <c r="F41" s="64"/>
      <c r="G41" s="64"/>
    </row>
    <row r="42" spans="2:7" ht="32" customHeight="1" x14ac:dyDescent="0.45">
      <c r="B42" s="63" t="s">
        <v>245</v>
      </c>
      <c r="C42" s="64"/>
      <c r="D42" s="64"/>
      <c r="E42" s="64"/>
      <c r="F42" s="64"/>
      <c r="G42" s="64"/>
    </row>
    <row r="43" spans="2:7" ht="32" customHeight="1" x14ac:dyDescent="0.45">
      <c r="B43" s="63" t="s">
        <v>246</v>
      </c>
      <c r="C43" s="64"/>
      <c r="D43" s="64"/>
      <c r="E43" s="64"/>
      <c r="F43" s="64"/>
      <c r="G43" s="64"/>
    </row>
    <row r="44" spans="2:7" ht="32" customHeight="1" x14ac:dyDescent="0.45">
      <c r="B44" s="63" t="s">
        <v>247</v>
      </c>
      <c r="C44" s="64"/>
      <c r="D44" s="64"/>
      <c r="E44" s="64"/>
      <c r="F44" s="64"/>
      <c r="G44" s="64"/>
    </row>
    <row r="45" spans="2:7" ht="19.05" customHeight="1" x14ac:dyDescent="0.45">
      <c r="B45" s="63" t="s">
        <v>248</v>
      </c>
      <c r="C45" s="64"/>
      <c r="D45" s="64"/>
      <c r="E45" s="64"/>
      <c r="F45" s="64"/>
      <c r="G45" s="64"/>
    </row>
    <row r="46" spans="2:7" ht="14" customHeight="1" x14ac:dyDescent="0.45"/>
    <row r="47" spans="2:7" ht="14" customHeight="1" x14ac:dyDescent="0.45"/>
    <row r="48" spans="2:7" ht="22.05" customHeight="1" x14ac:dyDescent="0.5">
      <c r="B48" s="7" t="s">
        <v>249</v>
      </c>
      <c r="C48" s="8"/>
      <c r="D48" s="8"/>
      <c r="E48" s="8"/>
      <c r="F48" s="8"/>
      <c r="G48" s="8"/>
    </row>
    <row r="49" spans="2:7" ht="18" customHeight="1" x14ac:dyDescent="0.45">
      <c r="B49" s="13" t="s">
        <v>250</v>
      </c>
    </row>
    <row r="50" spans="2:7" ht="28.05" hidden="1" customHeight="1" outlineLevel="1" x14ac:dyDescent="0.45">
      <c r="B50" s="24" t="s">
        <v>251</v>
      </c>
      <c r="C50" s="24" t="s">
        <v>252</v>
      </c>
      <c r="D50" s="24" t="s">
        <v>253</v>
      </c>
      <c r="E50" s="5"/>
      <c r="F50" s="5"/>
      <c r="G50" s="5"/>
    </row>
    <row r="51" spans="2:7" hidden="1" outlineLevel="1" x14ac:dyDescent="0.45">
      <c r="B51" s="58">
        <v>0.01</v>
      </c>
      <c r="C51" s="58">
        <f t="shared" ref="C51:C82" si="1">1-B51</f>
        <v>0.99</v>
      </c>
      <c r="D51" s="59" cm="1">
        <f t="array" aca="1" ref="D51" ca="1">IF(ISNUMBER(_xll.VoseSimPercentile(Out_DDLT,$B51)),_xll.VoseSimPercentile(Out_DDLT,$B51),NA())</f>
        <v>175.37014160287714</v>
      </c>
    </row>
    <row r="52" spans="2:7" hidden="1" outlineLevel="1" x14ac:dyDescent="0.45">
      <c r="B52" s="58">
        <v>0.03</v>
      </c>
      <c r="C52" s="58">
        <f t="shared" si="1"/>
        <v>0.97</v>
      </c>
      <c r="D52" s="59" cm="1">
        <f t="array" aca="1" ref="D52" ca="1">IF(ISNUMBER(_xll.VoseSimPercentile(Out_DDLT,$B52)),_xll.VoseSimPercentile(Out_DDLT,$B52),NA())</f>
        <v>192.99305483118496</v>
      </c>
    </row>
    <row r="53" spans="2:7" hidden="1" outlineLevel="1" x14ac:dyDescent="0.45">
      <c r="B53" s="58">
        <v>0.05</v>
      </c>
      <c r="C53" s="58">
        <f t="shared" si="1"/>
        <v>0.95</v>
      </c>
      <c r="D53" s="59" cm="1">
        <f t="array" aca="1" ref="D53" ca="1">IF(ISNUMBER(_xll.VoseSimPercentile(Out_DDLT,$B53)),_xll.VoseSimPercentile(Out_DDLT,$B53),NA())</f>
        <v>202.31379703711133</v>
      </c>
    </row>
    <row r="54" spans="2:7" hidden="1" outlineLevel="1" x14ac:dyDescent="0.45">
      <c r="B54" s="58">
        <v>7.0000000000000007E-2</v>
      </c>
      <c r="C54" s="58">
        <f t="shared" si="1"/>
        <v>0.92999999999999994</v>
      </c>
      <c r="D54" s="59" cm="1">
        <f t="array" aca="1" ref="D54" ca="1">IF(ISNUMBER(_xll.VoseSimPercentile(Out_DDLT,$B54)),_xll.VoseSimPercentile(Out_DDLT,$B54),NA())</f>
        <v>210.3325486830926</v>
      </c>
    </row>
    <row r="55" spans="2:7" hidden="1" outlineLevel="1" x14ac:dyDescent="0.45">
      <c r="B55" s="58">
        <v>0.09</v>
      </c>
      <c r="C55" s="58">
        <f t="shared" si="1"/>
        <v>0.91</v>
      </c>
      <c r="D55" s="59" cm="1">
        <f t="array" aca="1" ref="D55" ca="1">IF(ISNUMBER(_xll.VoseSimPercentile(Out_DDLT,$B55)),_xll.VoseSimPercentile(Out_DDLT,$B55),NA())</f>
        <v>216.29818187959154</v>
      </c>
    </row>
    <row r="56" spans="2:7" hidden="1" outlineLevel="1" x14ac:dyDescent="0.45">
      <c r="B56" s="58">
        <v>0.11</v>
      </c>
      <c r="C56" s="58">
        <f t="shared" si="1"/>
        <v>0.89</v>
      </c>
      <c r="D56" s="59" cm="1">
        <f t="array" aca="1" ref="D56" ca="1">IF(ISNUMBER(_xll.VoseSimPercentile(Out_DDLT,$B56)),_xll.VoseSimPercentile(Out_DDLT,$B56),NA())</f>
        <v>221.24108168509517</v>
      </c>
    </row>
    <row r="57" spans="2:7" hidden="1" outlineLevel="1" x14ac:dyDescent="0.45">
      <c r="B57" s="58">
        <v>0.13</v>
      </c>
      <c r="C57" s="58">
        <f t="shared" si="1"/>
        <v>0.87</v>
      </c>
      <c r="D57" s="59" cm="1">
        <f t="array" aca="1" ref="D57" ca="1">IF(ISNUMBER(_xll.VoseSimPercentile(Out_DDLT,$B57)),_xll.VoseSimPercentile(Out_DDLT,$B57),NA())</f>
        <v>226.37519858719557</v>
      </c>
    </row>
    <row r="58" spans="2:7" hidden="1" outlineLevel="1" x14ac:dyDescent="0.45">
      <c r="B58" s="58">
        <v>0.15</v>
      </c>
      <c r="C58" s="58">
        <f t="shared" si="1"/>
        <v>0.85</v>
      </c>
      <c r="D58" s="59" cm="1">
        <f t="array" aca="1" ref="D58" ca="1">IF(ISNUMBER(_xll.VoseSimPercentile(Out_DDLT,$B58)),_xll.VoseSimPercentile(Out_DDLT,$B58),NA())</f>
        <v>231.17581330596693</v>
      </c>
    </row>
    <row r="59" spans="2:7" hidden="1" outlineLevel="1" x14ac:dyDescent="0.45">
      <c r="B59" s="58">
        <v>0.17</v>
      </c>
      <c r="C59" s="58">
        <f t="shared" si="1"/>
        <v>0.83</v>
      </c>
      <c r="D59" s="59" cm="1">
        <f t="array" aca="1" ref="D59" ca="1">IF(ISNUMBER(_xll.VoseSimPercentile(Out_DDLT,$B59)),_xll.VoseSimPercentile(Out_DDLT,$B59),NA())</f>
        <v>235.39560547540592</v>
      </c>
    </row>
    <row r="60" spans="2:7" hidden="1" outlineLevel="1" x14ac:dyDescent="0.45">
      <c r="B60" s="58">
        <v>0.19</v>
      </c>
      <c r="C60" s="58">
        <f t="shared" si="1"/>
        <v>0.81</v>
      </c>
      <c r="D60" s="59" cm="1">
        <f t="array" aca="1" ref="D60" ca="1">IF(ISNUMBER(_xll.VoseSimPercentile(Out_DDLT,$B60)),_xll.VoseSimPercentile(Out_DDLT,$B60),NA())</f>
        <v>238.87258454285526</v>
      </c>
    </row>
    <row r="61" spans="2:7" hidden="1" outlineLevel="1" x14ac:dyDescent="0.45">
      <c r="B61" s="58">
        <v>0.21</v>
      </c>
      <c r="C61" s="58">
        <f t="shared" si="1"/>
        <v>0.79</v>
      </c>
      <c r="D61" s="59" cm="1">
        <f t="array" aca="1" ref="D61" ca="1">IF(ISNUMBER(_xll.VoseSimPercentile(Out_DDLT,$B61)),_xll.VoseSimPercentile(Out_DDLT,$B61),NA())</f>
        <v>243.06710528295181</v>
      </c>
    </row>
    <row r="62" spans="2:7" hidden="1" outlineLevel="1" x14ac:dyDescent="0.45">
      <c r="B62" s="58">
        <v>0.23</v>
      </c>
      <c r="C62" s="58">
        <f t="shared" si="1"/>
        <v>0.77</v>
      </c>
      <c r="D62" s="59" cm="1">
        <f t="array" aca="1" ref="D62" ca="1">IF(ISNUMBER(_xll.VoseSimPercentile(Out_DDLT,$B62)),_xll.VoseSimPercentile(Out_DDLT,$B62),NA())</f>
        <v>247.09866764263205</v>
      </c>
    </row>
    <row r="63" spans="2:7" hidden="1" outlineLevel="1" x14ac:dyDescent="0.45">
      <c r="B63" s="58">
        <v>0.25</v>
      </c>
      <c r="C63" s="58">
        <f t="shared" si="1"/>
        <v>0.75</v>
      </c>
      <c r="D63" s="59" cm="1">
        <f t="array" aca="1" ref="D63" ca="1">IF(ISNUMBER(_xll.VoseSimPercentile(Out_DDLT,$B63)),_xll.VoseSimPercentile(Out_DDLT,$B63),NA())</f>
        <v>250.27297720871263</v>
      </c>
    </row>
    <row r="64" spans="2:7" hidden="1" outlineLevel="1" x14ac:dyDescent="0.45">
      <c r="B64" s="58">
        <v>0.27</v>
      </c>
      <c r="C64" s="58">
        <f t="shared" si="1"/>
        <v>0.73</v>
      </c>
      <c r="D64" s="59" cm="1">
        <f t="array" aca="1" ref="D64" ca="1">IF(ISNUMBER(_xll.VoseSimPercentile(Out_DDLT,$B64)),_xll.VoseSimPercentile(Out_DDLT,$B64),NA())</f>
        <v>253.82665848995521</v>
      </c>
    </row>
    <row r="65" spans="2:4" hidden="1" outlineLevel="1" x14ac:dyDescent="0.45">
      <c r="B65" s="58">
        <v>0.28999999999999998</v>
      </c>
      <c r="C65" s="58">
        <f t="shared" si="1"/>
        <v>0.71</v>
      </c>
      <c r="D65" s="59" cm="1">
        <f t="array" aca="1" ref="D65" ca="1">IF(ISNUMBER(_xll.VoseSimPercentile(Out_DDLT,$B65)),_xll.VoseSimPercentile(Out_DDLT,$B65),NA())</f>
        <v>257.1140728125319</v>
      </c>
    </row>
    <row r="66" spans="2:4" hidden="1" outlineLevel="1" x14ac:dyDescent="0.45">
      <c r="B66" s="58">
        <v>0.31</v>
      </c>
      <c r="C66" s="58">
        <f t="shared" si="1"/>
        <v>0.69</v>
      </c>
      <c r="D66" s="59" cm="1">
        <f t="array" aca="1" ref="D66" ca="1">IF(ISNUMBER(_xll.VoseSimPercentile(Out_DDLT,$B66)),_xll.VoseSimPercentile(Out_DDLT,$B66),NA())</f>
        <v>260.83194090665086</v>
      </c>
    </row>
    <row r="67" spans="2:4" hidden="1" outlineLevel="1" x14ac:dyDescent="0.45">
      <c r="B67" s="58">
        <v>0.33</v>
      </c>
      <c r="C67" s="58">
        <f t="shared" si="1"/>
        <v>0.66999999999999993</v>
      </c>
      <c r="D67" s="59" cm="1">
        <f t="array" aca="1" ref="D67" ca="1">IF(ISNUMBER(_xll.VoseSimPercentile(Out_DDLT,$B67)),_xll.VoseSimPercentile(Out_DDLT,$B67),NA())</f>
        <v>263.97180642606378</v>
      </c>
    </row>
    <row r="68" spans="2:4" hidden="1" outlineLevel="1" x14ac:dyDescent="0.45">
      <c r="B68" s="58">
        <v>0.35</v>
      </c>
      <c r="C68" s="58">
        <f t="shared" si="1"/>
        <v>0.65</v>
      </c>
      <c r="D68" s="59" cm="1">
        <f t="array" aca="1" ref="D68" ca="1">IF(ISNUMBER(_xll.VoseSimPercentile(Out_DDLT,$B68)),_xll.VoseSimPercentile(Out_DDLT,$B68),NA())</f>
        <v>267.22438870928056</v>
      </c>
    </row>
    <row r="69" spans="2:4" hidden="1" outlineLevel="1" x14ac:dyDescent="0.45">
      <c r="B69" s="58">
        <v>0.37</v>
      </c>
      <c r="C69" s="58">
        <f t="shared" si="1"/>
        <v>0.63</v>
      </c>
      <c r="D69" s="59" cm="1">
        <f t="array" aca="1" ref="D69" ca="1">IF(ISNUMBER(_xll.VoseSimPercentile(Out_DDLT,$B69)),_xll.VoseSimPercentile(Out_DDLT,$B69),NA())</f>
        <v>271.02669932630283</v>
      </c>
    </row>
    <row r="70" spans="2:4" hidden="1" outlineLevel="1" x14ac:dyDescent="0.45">
      <c r="B70" s="58">
        <v>0.39</v>
      </c>
      <c r="C70" s="58">
        <f t="shared" si="1"/>
        <v>0.61</v>
      </c>
      <c r="D70" s="59" cm="1">
        <f t="array" aca="1" ref="D70" ca="1">IF(ISNUMBER(_xll.VoseSimPercentile(Out_DDLT,$B70)),_xll.VoseSimPercentile(Out_DDLT,$B70),NA())</f>
        <v>274.09480162077239</v>
      </c>
    </row>
    <row r="71" spans="2:4" hidden="1" outlineLevel="1" x14ac:dyDescent="0.45">
      <c r="B71" s="58">
        <v>0.41</v>
      </c>
      <c r="C71" s="58">
        <f t="shared" si="1"/>
        <v>0.59000000000000008</v>
      </c>
      <c r="D71" s="59" cm="1">
        <f t="array" aca="1" ref="D71" ca="1">IF(ISNUMBER(_xll.VoseSimPercentile(Out_DDLT,$B71)),_xll.VoseSimPercentile(Out_DDLT,$B71),NA())</f>
        <v>277.18253604108992</v>
      </c>
    </row>
    <row r="72" spans="2:4" hidden="1" outlineLevel="1" x14ac:dyDescent="0.45">
      <c r="B72" s="58">
        <v>0.43</v>
      </c>
      <c r="C72" s="58">
        <f t="shared" si="1"/>
        <v>0.57000000000000006</v>
      </c>
      <c r="D72" s="59" cm="1">
        <f t="array" aca="1" ref="D72" ca="1">IF(ISNUMBER(_xll.VoseSimPercentile(Out_DDLT,$B72)),_xll.VoseSimPercentile(Out_DDLT,$B72),NA())</f>
        <v>279.926326361755</v>
      </c>
    </row>
    <row r="73" spans="2:4" hidden="1" outlineLevel="1" x14ac:dyDescent="0.45">
      <c r="B73" s="58">
        <v>0.45</v>
      </c>
      <c r="C73" s="58">
        <f t="shared" si="1"/>
        <v>0.55000000000000004</v>
      </c>
      <c r="D73" s="59" cm="1">
        <f t="array" aca="1" ref="D73" ca="1">IF(ISNUMBER(_xll.VoseSimPercentile(Out_DDLT,$B73)),_xll.VoseSimPercentile(Out_DDLT,$B73),NA())</f>
        <v>282.98243376189657</v>
      </c>
    </row>
    <row r="74" spans="2:4" hidden="1" outlineLevel="1" x14ac:dyDescent="0.45">
      <c r="B74" s="58">
        <v>0.47</v>
      </c>
      <c r="C74" s="58">
        <f t="shared" si="1"/>
        <v>0.53</v>
      </c>
      <c r="D74" s="59" cm="1">
        <f t="array" aca="1" ref="D74" ca="1">IF(ISNUMBER(_xll.VoseSimPercentile(Out_DDLT,$B74)),_xll.VoseSimPercentile(Out_DDLT,$B74),NA())</f>
        <v>285.96606859353886</v>
      </c>
    </row>
    <row r="75" spans="2:4" hidden="1" outlineLevel="1" x14ac:dyDescent="0.45">
      <c r="B75" s="58">
        <v>0.49</v>
      </c>
      <c r="C75" s="58">
        <f t="shared" si="1"/>
        <v>0.51</v>
      </c>
      <c r="D75" s="59" cm="1">
        <f t="array" aca="1" ref="D75" ca="1">IF(ISNUMBER(_xll.VoseSimPercentile(Out_DDLT,$B75)),_xll.VoseSimPercentile(Out_DDLT,$B75),NA())</f>
        <v>289.05626774460876</v>
      </c>
    </row>
    <row r="76" spans="2:4" hidden="1" outlineLevel="1" x14ac:dyDescent="0.45">
      <c r="B76" s="58">
        <v>0.51</v>
      </c>
      <c r="C76" s="58">
        <f t="shared" si="1"/>
        <v>0.49</v>
      </c>
      <c r="D76" s="59" cm="1">
        <f t="array" aca="1" ref="D76" ca="1">IF(ISNUMBER(_xll.VoseSimPercentile(Out_DDLT,$B76)),_xll.VoseSimPercentile(Out_DDLT,$B76),NA())</f>
        <v>292.36434871116853</v>
      </c>
    </row>
    <row r="77" spans="2:4" hidden="1" outlineLevel="1" x14ac:dyDescent="0.45">
      <c r="B77" s="58">
        <v>0.53</v>
      </c>
      <c r="C77" s="58">
        <f t="shared" si="1"/>
        <v>0.47</v>
      </c>
      <c r="D77" s="59" cm="1">
        <f t="array" aca="1" ref="D77" ca="1">IF(ISNUMBER(_xll.VoseSimPercentile(Out_DDLT,$B77)),_xll.VoseSimPercentile(Out_DDLT,$B77),NA())</f>
        <v>295.80513587593725</v>
      </c>
    </row>
    <row r="78" spans="2:4" hidden="1" outlineLevel="1" x14ac:dyDescent="0.45">
      <c r="B78" s="58">
        <v>0.55000000000000004</v>
      </c>
      <c r="C78" s="58">
        <f t="shared" si="1"/>
        <v>0.44999999999999996</v>
      </c>
      <c r="D78" s="59" cm="1">
        <f t="array" aca="1" ref="D78" ca="1">IF(ISNUMBER(_xll.VoseSimPercentile(Out_DDLT,$B78)),_xll.VoseSimPercentile(Out_DDLT,$B78),NA())</f>
        <v>298.91018512035413</v>
      </c>
    </row>
    <row r="79" spans="2:4" hidden="1" outlineLevel="1" x14ac:dyDescent="0.45">
      <c r="B79" s="58">
        <v>0.56999999999999995</v>
      </c>
      <c r="C79" s="58">
        <f t="shared" si="1"/>
        <v>0.43000000000000005</v>
      </c>
      <c r="D79" s="59" cm="1">
        <f t="array" aca="1" ref="D79" ca="1">IF(ISNUMBER(_xll.VoseSimPercentile(Out_DDLT,$B79)),_xll.VoseSimPercentile(Out_DDLT,$B79),NA())</f>
        <v>302.43956693022875</v>
      </c>
    </row>
    <row r="80" spans="2:4" hidden="1" outlineLevel="1" x14ac:dyDescent="0.45">
      <c r="B80" s="58">
        <v>0.59</v>
      </c>
      <c r="C80" s="58">
        <f t="shared" si="1"/>
        <v>0.41000000000000003</v>
      </c>
      <c r="D80" s="59" cm="1">
        <f t="array" aca="1" ref="D80" ca="1">IF(ISNUMBER(_xll.VoseSimPercentile(Out_DDLT,$B80)),_xll.VoseSimPercentile(Out_DDLT,$B80),NA())</f>
        <v>305.85005424135471</v>
      </c>
    </row>
    <row r="81" spans="2:4" hidden="1" outlineLevel="1" x14ac:dyDescent="0.45">
      <c r="B81" s="58">
        <v>0.61</v>
      </c>
      <c r="C81" s="58">
        <f t="shared" si="1"/>
        <v>0.39</v>
      </c>
      <c r="D81" s="59" cm="1">
        <f t="array" aca="1" ref="D81" ca="1">IF(ISNUMBER(_xll.VoseSimPercentile(Out_DDLT,$B81)),_xll.VoseSimPercentile(Out_DDLT,$B81),NA())</f>
        <v>309.36878592307676</v>
      </c>
    </row>
    <row r="82" spans="2:4" hidden="1" outlineLevel="1" x14ac:dyDescent="0.45">
      <c r="B82" s="58">
        <v>0.63</v>
      </c>
      <c r="C82" s="58">
        <f t="shared" si="1"/>
        <v>0.37</v>
      </c>
      <c r="D82" s="59" cm="1">
        <f t="array" aca="1" ref="D82" ca="1">IF(ISNUMBER(_xll.VoseSimPercentile(Out_DDLT,$B82)),_xll.VoseSimPercentile(Out_DDLT,$B82),NA())</f>
        <v>313.5286342772261</v>
      </c>
    </row>
    <row r="83" spans="2:4" hidden="1" outlineLevel="1" x14ac:dyDescent="0.45">
      <c r="B83" s="58">
        <v>0.65</v>
      </c>
      <c r="C83" s="58">
        <f t="shared" ref="C83:C114" si="2">1-B83</f>
        <v>0.35</v>
      </c>
      <c r="D83" s="59" cm="1">
        <f t="array" aca="1" ref="D83" ca="1">IF(ISNUMBER(_xll.VoseSimPercentile(Out_DDLT,$B83)),_xll.VoseSimPercentile(Out_DDLT,$B83),NA())</f>
        <v>317.35252498521476</v>
      </c>
    </row>
    <row r="84" spans="2:4" hidden="1" outlineLevel="1" x14ac:dyDescent="0.45">
      <c r="B84" s="58">
        <v>0.67</v>
      </c>
      <c r="C84" s="58">
        <f t="shared" si="2"/>
        <v>0.32999999999999996</v>
      </c>
      <c r="D84" s="59" cm="1">
        <f t="array" aca="1" ref="D84" ca="1">IF(ISNUMBER(_xll.VoseSimPercentile(Out_DDLT,$B84)),_xll.VoseSimPercentile(Out_DDLT,$B84),NA())</f>
        <v>321.86640636176901</v>
      </c>
    </row>
    <row r="85" spans="2:4" hidden="1" outlineLevel="1" x14ac:dyDescent="0.45">
      <c r="B85" s="58">
        <v>0.69</v>
      </c>
      <c r="C85" s="58">
        <f t="shared" si="2"/>
        <v>0.31000000000000005</v>
      </c>
      <c r="D85" s="59" cm="1">
        <f t="array" aca="1" ref="D85" ca="1">IF(ISNUMBER(_xll.VoseSimPercentile(Out_DDLT,$B85)),_xll.VoseSimPercentile(Out_DDLT,$B85),NA())</f>
        <v>326.15857829098746</v>
      </c>
    </row>
    <row r="86" spans="2:4" hidden="1" outlineLevel="1" x14ac:dyDescent="0.45">
      <c r="B86" s="58">
        <v>0.71</v>
      </c>
      <c r="C86" s="58">
        <f t="shared" si="2"/>
        <v>0.29000000000000004</v>
      </c>
      <c r="D86" s="59" cm="1">
        <f t="array" aca="1" ref="D86" ca="1">IF(ISNUMBER(_xll.VoseSimPercentile(Out_DDLT,$B86)),_xll.VoseSimPercentile(Out_DDLT,$B86),NA())</f>
        <v>330.62745386504196</v>
      </c>
    </row>
    <row r="87" spans="2:4" hidden="1" outlineLevel="1" x14ac:dyDescent="0.45">
      <c r="B87" s="58">
        <v>0.73</v>
      </c>
      <c r="C87" s="58">
        <f t="shared" si="2"/>
        <v>0.27</v>
      </c>
      <c r="D87" s="59" cm="1">
        <f t="array" aca="1" ref="D87" ca="1">IF(ISNUMBER(_xll.VoseSimPercentile(Out_DDLT,$B87)),_xll.VoseSimPercentile(Out_DDLT,$B87),NA())</f>
        <v>335.4027747175233</v>
      </c>
    </row>
    <row r="88" spans="2:4" hidden="1" outlineLevel="1" x14ac:dyDescent="0.45">
      <c r="B88" s="58">
        <v>0.75</v>
      </c>
      <c r="C88" s="58">
        <f t="shared" si="2"/>
        <v>0.25</v>
      </c>
      <c r="D88" s="59" cm="1">
        <f t="array" aca="1" ref="D88" ca="1">IF(ISNUMBER(_xll.VoseSimPercentile(Out_DDLT,$B88)),_xll.VoseSimPercentile(Out_DDLT,$B88),NA())</f>
        <v>340.6101806771477</v>
      </c>
    </row>
    <row r="89" spans="2:4" hidden="1" outlineLevel="1" x14ac:dyDescent="0.45">
      <c r="B89" s="58">
        <v>0.77</v>
      </c>
      <c r="C89" s="58">
        <f t="shared" si="2"/>
        <v>0.22999999999999998</v>
      </c>
      <c r="D89" s="59" cm="1">
        <f t="array" aca="1" ref="D89" ca="1">IF(ISNUMBER(_xll.VoseSimPercentile(Out_DDLT,$B89)),_xll.VoseSimPercentile(Out_DDLT,$B89),NA())</f>
        <v>346.3199411605591</v>
      </c>
    </row>
    <row r="90" spans="2:4" hidden="1" outlineLevel="1" x14ac:dyDescent="0.45">
      <c r="B90" s="58">
        <v>0.79</v>
      </c>
      <c r="C90" s="58">
        <f t="shared" si="2"/>
        <v>0.20999999999999996</v>
      </c>
      <c r="D90" s="59" cm="1">
        <f t="array" aca="1" ref="D90" ca="1">IF(ISNUMBER(_xll.VoseSimPercentile(Out_DDLT,$B90)),_xll.VoseSimPercentile(Out_DDLT,$B90),NA())</f>
        <v>352.09362824059286</v>
      </c>
    </row>
    <row r="91" spans="2:4" hidden="1" outlineLevel="1" x14ac:dyDescent="0.45">
      <c r="B91" s="58">
        <v>0.81</v>
      </c>
      <c r="C91" s="58">
        <f t="shared" si="2"/>
        <v>0.18999999999999995</v>
      </c>
      <c r="D91" s="59" cm="1">
        <f t="array" aca="1" ref="D91" ca="1">IF(ISNUMBER(_xll.VoseSimPercentile(Out_DDLT,$B91)),_xll.VoseSimPercentile(Out_DDLT,$B91),NA())</f>
        <v>359.63806447505181</v>
      </c>
    </row>
    <row r="92" spans="2:4" hidden="1" outlineLevel="1" x14ac:dyDescent="0.45">
      <c r="B92" s="58">
        <v>0.83</v>
      </c>
      <c r="C92" s="58">
        <f t="shared" si="2"/>
        <v>0.17000000000000004</v>
      </c>
      <c r="D92" s="59" cm="1">
        <f t="array" aca="1" ref="D92" ca="1">IF(ISNUMBER(_xll.VoseSimPercentile(Out_DDLT,$B92)),_xll.VoseSimPercentile(Out_DDLT,$B92),NA())</f>
        <v>368.56587143919609</v>
      </c>
    </row>
    <row r="93" spans="2:4" hidden="1" outlineLevel="1" x14ac:dyDescent="0.45">
      <c r="B93" s="58">
        <v>0.85</v>
      </c>
      <c r="C93" s="58">
        <f t="shared" si="2"/>
        <v>0.15000000000000002</v>
      </c>
      <c r="D93" s="59" cm="1">
        <f t="array" aca="1" ref="D93" ca="1">IF(ISNUMBER(_xll.VoseSimPercentile(Out_DDLT,$B93)),_xll.VoseSimPercentile(Out_DDLT,$B93),NA())</f>
        <v>379.05056787269979</v>
      </c>
    </row>
    <row r="94" spans="2:4" hidden="1" outlineLevel="1" x14ac:dyDescent="0.45">
      <c r="B94" s="58">
        <v>0.87</v>
      </c>
      <c r="C94" s="58">
        <f t="shared" si="2"/>
        <v>0.13</v>
      </c>
      <c r="D94" s="59" cm="1">
        <f t="array" aca="1" ref="D94" ca="1">IF(ISNUMBER(_xll.VoseSimPercentile(Out_DDLT,$B94)),_xll.VoseSimPercentile(Out_DDLT,$B94),NA())</f>
        <v>393.04217441187694</v>
      </c>
    </row>
    <row r="95" spans="2:4" hidden="1" outlineLevel="1" x14ac:dyDescent="0.45">
      <c r="B95" s="58">
        <v>0.89</v>
      </c>
      <c r="C95" s="58">
        <f t="shared" si="2"/>
        <v>0.10999999999999999</v>
      </c>
      <c r="D95" s="59" cm="1">
        <f t="array" aca="1" ref="D95" ca="1">IF(ISNUMBER(_xll.VoseSimPercentile(Out_DDLT,$B95)),_xll.VoseSimPercentile(Out_DDLT,$B95),NA())</f>
        <v>418.81291275989543</v>
      </c>
    </row>
    <row r="96" spans="2:4" hidden="1" outlineLevel="1" x14ac:dyDescent="0.45">
      <c r="B96" s="58">
        <v>0.91</v>
      </c>
      <c r="C96" s="58">
        <f t="shared" si="2"/>
        <v>8.9999999999999969E-2</v>
      </c>
      <c r="D96" s="59" cm="1">
        <f t="array" aca="1" ref="D96" ca="1">IF(ISNUMBER(_xll.VoseSimPercentile(Out_DDLT,$B96)),_xll.VoseSimPercentile(Out_DDLT,$B96),NA())</f>
        <v>544.7291812108125</v>
      </c>
    </row>
    <row r="97" spans="2:7" hidden="1" outlineLevel="1" x14ac:dyDescent="0.45">
      <c r="B97" s="58">
        <v>0.93</v>
      </c>
      <c r="C97" s="58">
        <f t="shared" si="2"/>
        <v>6.9999999999999951E-2</v>
      </c>
      <c r="D97" s="59" cm="1">
        <f t="array" aca="1" ref="D97" ca="1">IF(ISNUMBER(_xll.VoseSimPercentile(Out_DDLT,$B97)),_xll.VoseSimPercentile(Out_DDLT,$B97),NA())</f>
        <v>637.82490823415014</v>
      </c>
    </row>
    <row r="98" spans="2:7" hidden="1" outlineLevel="1" x14ac:dyDescent="0.45">
      <c r="B98" s="58">
        <v>0.95</v>
      </c>
      <c r="C98" s="58">
        <f t="shared" si="2"/>
        <v>5.0000000000000044E-2</v>
      </c>
      <c r="D98" s="59" cm="1">
        <f t="array" aca="1" ref="D98" ca="1">IF(ISNUMBER(_xll.VoseSimPercentile(Out_DDLT,$B98)),_xll.VoseSimPercentile(Out_DDLT,$B98),NA())</f>
        <v>720.15290761385711</v>
      </c>
    </row>
    <row r="99" spans="2:7" hidden="1" outlineLevel="1" x14ac:dyDescent="0.45">
      <c r="B99" s="58">
        <v>0.97</v>
      </c>
      <c r="C99" s="58">
        <f t="shared" si="2"/>
        <v>3.0000000000000027E-2</v>
      </c>
      <c r="D99" s="59" cm="1">
        <f t="array" aca="1" ref="D99" ca="1">IF(ISNUMBER(_xll.VoseSimPercentile(Out_DDLT,$B99)),_xll.VoseSimPercentile(Out_DDLT,$B99),NA())</f>
        <v>782.928322235574</v>
      </c>
    </row>
    <row r="100" spans="2:7" hidden="1" outlineLevel="1" x14ac:dyDescent="0.45">
      <c r="B100" s="58">
        <v>0.99</v>
      </c>
      <c r="C100" s="58">
        <f t="shared" si="2"/>
        <v>1.0000000000000009E-2</v>
      </c>
      <c r="D100" s="59" cm="1">
        <f t="array" aca="1" ref="D100" ca="1">IF(ISNUMBER(_xll.VoseSimPercentile(Out_DDLT,$B100)),_xll.VoseSimPercentile(Out_DDLT,$B100),NA())</f>
        <v>892.69972850706813</v>
      </c>
    </row>
    <row r="101" spans="2:7" hidden="1" outlineLevel="1" x14ac:dyDescent="0.45"/>
    <row r="102" spans="2:7" ht="18" hidden="1" customHeight="1" outlineLevel="1" x14ac:dyDescent="0.45">
      <c r="B102" s="23" t="s">
        <v>254</v>
      </c>
      <c r="C102" s="24" t="s">
        <v>145</v>
      </c>
      <c r="D102" s="5"/>
      <c r="E102" s="5"/>
      <c r="F102" s="5"/>
      <c r="G102" s="5"/>
    </row>
    <row r="103" spans="2:7" hidden="1" outlineLevel="1" x14ac:dyDescent="0.45">
      <c r="B103" s="60">
        <v>5.0000000000000001E-3</v>
      </c>
      <c r="C103" s="59" cm="1">
        <f t="array" aca="1" ref="C103" ca="1">IF(ISNUMBER(_xll.VoseSimPercentile(Out_DDLT,0.005)),_xll.VoseSimPercentile(Out_DDLT,0.005),NA())</f>
        <v>167.0734189074762</v>
      </c>
    </row>
    <row r="104" spans="2:7" hidden="1" outlineLevel="1" x14ac:dyDescent="0.45">
      <c r="B104" s="60">
        <v>0.01</v>
      </c>
      <c r="C104" s="59" cm="1">
        <f t="array" aca="1" ref="C104" ca="1">IF(ISNUMBER(_xll.VoseSimPercentile(Out_DDLT,0.01)),_xll.VoseSimPercentile(Out_DDLT,0.01),NA())</f>
        <v>175.37014160287714</v>
      </c>
    </row>
    <row r="105" spans="2:7" hidden="1" outlineLevel="1" x14ac:dyDescent="0.45">
      <c r="B105" s="60">
        <v>0.02</v>
      </c>
      <c r="C105" s="59" cm="1">
        <f t="array" aca="1" ref="C105" ca="1">IF(ISNUMBER(_xll.VoseSimPercentile(Out_DDLT,0.02)),_xll.VoseSimPercentile(Out_DDLT,0.02),NA())</f>
        <v>185.36309437096972</v>
      </c>
    </row>
    <row r="106" spans="2:7" hidden="1" outlineLevel="1" x14ac:dyDescent="0.45">
      <c r="B106" s="60">
        <v>0.03</v>
      </c>
      <c r="C106" s="59" cm="1">
        <f t="array" aca="1" ref="C106" ca="1">IF(ISNUMBER(_xll.VoseSimPercentile(Out_DDLT,0.03)),_xll.VoseSimPercentile(Out_DDLT,0.03),NA())</f>
        <v>192.99305483118496</v>
      </c>
    </row>
    <row r="107" spans="2:7" hidden="1" outlineLevel="1" x14ac:dyDescent="0.45">
      <c r="B107" s="60">
        <v>0.04</v>
      </c>
      <c r="C107" s="59" cm="1">
        <f t="array" aca="1" ref="C107" ca="1">IF(ISNUMBER(_xll.VoseSimPercentile(Out_DDLT,0.04)),_xll.VoseSimPercentile(Out_DDLT,0.04),NA())</f>
        <v>198.29177243739605</v>
      </c>
    </row>
    <row r="108" spans="2:7" hidden="1" outlineLevel="1" x14ac:dyDescent="0.45">
      <c r="B108" s="60">
        <v>0.05</v>
      </c>
      <c r="C108" s="59" cm="1">
        <f t="array" aca="1" ref="C108" ca="1">IF(ISNUMBER(_xll.VoseSimPercentile(Out_DDLT,0.05)),_xll.VoseSimPercentile(Out_DDLT,0.05),NA())</f>
        <v>202.31379703711133</v>
      </c>
    </row>
    <row r="109" spans="2:7" hidden="1" outlineLevel="1" x14ac:dyDescent="0.45">
      <c r="B109" s="60">
        <v>0.06</v>
      </c>
      <c r="C109" s="59" cm="1">
        <f t="array" aca="1" ref="C109" ca="1">IF(ISNUMBER(_xll.VoseSimPercentile(Out_DDLT,0.06)),_xll.VoseSimPercentile(Out_DDLT,0.06),NA())</f>
        <v>206.46719814465601</v>
      </c>
    </row>
    <row r="110" spans="2:7" hidden="1" outlineLevel="1" x14ac:dyDescent="0.45">
      <c r="B110" s="60">
        <v>7.0000000000000007E-2</v>
      </c>
      <c r="C110" s="59" cm="1">
        <f t="array" aca="1" ref="C110" ca="1">IF(ISNUMBER(_xll.VoseSimPercentile(Out_DDLT,0.07)),_xll.VoseSimPercentile(Out_DDLT,0.07),NA())</f>
        <v>210.3325486830926</v>
      </c>
    </row>
    <row r="111" spans="2:7" hidden="1" outlineLevel="1" x14ac:dyDescent="0.45">
      <c r="B111" s="60">
        <v>0.08</v>
      </c>
      <c r="C111" s="59" cm="1">
        <f t="array" aca="1" ref="C111" ca="1">IF(ISNUMBER(_xll.VoseSimPercentile(Out_DDLT,0.08)),_xll.VoseSimPercentile(Out_DDLT,0.08),NA())</f>
        <v>213.32908535677217</v>
      </c>
    </row>
    <row r="112" spans="2:7" hidden="1" outlineLevel="1" x14ac:dyDescent="0.45">
      <c r="B112" s="60">
        <v>0.09</v>
      </c>
      <c r="C112" s="59" cm="1">
        <f t="array" aca="1" ref="C112" ca="1">IF(ISNUMBER(_xll.VoseSimPercentile(Out_DDLT,0.09)),_xll.VoseSimPercentile(Out_DDLT,0.09),NA())</f>
        <v>216.29818187959154</v>
      </c>
    </row>
    <row r="113" spans="2:3" hidden="1" outlineLevel="1" x14ac:dyDescent="0.45">
      <c r="B113" s="60">
        <v>0.1</v>
      </c>
      <c r="C113" s="59" cm="1">
        <f t="array" aca="1" ref="C113" ca="1">IF(ISNUMBER(_xll.VoseSimPercentile(Out_DDLT,0.1)),_xll.VoseSimPercentile(Out_DDLT,0.1),NA())</f>
        <v>218.58574389825665</v>
      </c>
    </row>
    <row r="114" spans="2:3" hidden="1" outlineLevel="1" x14ac:dyDescent="0.45">
      <c r="B114" s="60">
        <v>0.11</v>
      </c>
      <c r="C114" s="59" cm="1">
        <f t="array" aca="1" ref="C114" ca="1">IF(ISNUMBER(_xll.VoseSimPercentile(Out_DDLT,0.11)),_xll.VoseSimPercentile(Out_DDLT,0.11),NA())</f>
        <v>221.24108168509517</v>
      </c>
    </row>
    <row r="115" spans="2:3" hidden="1" outlineLevel="1" x14ac:dyDescent="0.45">
      <c r="B115" s="60">
        <v>0.12</v>
      </c>
      <c r="C115" s="59" cm="1">
        <f t="array" aca="1" ref="C115" ca="1">IF(ISNUMBER(_xll.VoseSimPercentile(Out_DDLT,0.12)),_xll.VoseSimPercentile(Out_DDLT,0.12),NA())</f>
        <v>223.61312844220609</v>
      </c>
    </row>
    <row r="116" spans="2:3" hidden="1" outlineLevel="1" x14ac:dyDescent="0.45">
      <c r="B116" s="60">
        <v>0.13</v>
      </c>
      <c r="C116" s="59" cm="1">
        <f t="array" aca="1" ref="C116" ca="1">IF(ISNUMBER(_xll.VoseSimPercentile(Out_DDLT,0.13)),_xll.VoseSimPercentile(Out_DDLT,0.13),NA())</f>
        <v>226.37519858719557</v>
      </c>
    </row>
    <row r="117" spans="2:3" hidden="1" outlineLevel="1" x14ac:dyDescent="0.45">
      <c r="B117" s="60">
        <v>0.14000000000000001</v>
      </c>
      <c r="C117" s="59" cm="1">
        <f t="array" aca="1" ref="C117" ca="1">IF(ISNUMBER(_xll.VoseSimPercentile(Out_DDLT,0.14)),_xll.VoseSimPercentile(Out_DDLT,0.14),NA())</f>
        <v>228.75027603174325</v>
      </c>
    </row>
    <row r="118" spans="2:3" hidden="1" outlineLevel="1" x14ac:dyDescent="0.45">
      <c r="B118" s="60">
        <v>0.15</v>
      </c>
      <c r="C118" s="59" cm="1">
        <f t="array" aca="1" ref="C118" ca="1">IF(ISNUMBER(_xll.VoseSimPercentile(Out_DDLT,0.15)),_xll.VoseSimPercentile(Out_DDLT,0.15),NA())</f>
        <v>231.17581330596693</v>
      </c>
    </row>
    <row r="119" spans="2:3" hidden="1" outlineLevel="1" x14ac:dyDescent="0.45">
      <c r="B119" s="60">
        <v>0.16</v>
      </c>
      <c r="C119" s="59" cm="1">
        <f t="array" aca="1" ref="C119" ca="1">IF(ISNUMBER(_xll.VoseSimPercentile(Out_DDLT,0.16)),_xll.VoseSimPercentile(Out_DDLT,0.16),NA())</f>
        <v>233.54215086402417</v>
      </c>
    </row>
    <row r="120" spans="2:3" hidden="1" outlineLevel="1" x14ac:dyDescent="0.45">
      <c r="B120" s="60">
        <v>0.17</v>
      </c>
      <c r="C120" s="59" cm="1">
        <f t="array" aca="1" ref="C120" ca="1">IF(ISNUMBER(_xll.VoseSimPercentile(Out_DDLT,0.17)),_xll.VoseSimPercentile(Out_DDLT,0.17),NA())</f>
        <v>235.39560547540592</v>
      </c>
    </row>
    <row r="121" spans="2:3" hidden="1" outlineLevel="1" x14ac:dyDescent="0.45">
      <c r="B121" s="60">
        <v>0.18</v>
      </c>
      <c r="C121" s="59" cm="1">
        <f t="array" aca="1" ref="C121" ca="1">IF(ISNUMBER(_xll.VoseSimPercentile(Out_DDLT,0.18)),_xll.VoseSimPercentile(Out_DDLT,0.18),NA())</f>
        <v>237.2444513524708</v>
      </c>
    </row>
    <row r="122" spans="2:3" hidden="1" outlineLevel="1" x14ac:dyDescent="0.45">
      <c r="B122" s="60">
        <v>0.19</v>
      </c>
      <c r="C122" s="59" cm="1">
        <f t="array" aca="1" ref="C122" ca="1">IF(ISNUMBER(_xll.VoseSimPercentile(Out_DDLT,0.19)),_xll.VoseSimPercentile(Out_DDLT,0.19),NA())</f>
        <v>238.87258454285526</v>
      </c>
    </row>
    <row r="123" spans="2:3" hidden="1" outlineLevel="1" x14ac:dyDescent="0.45">
      <c r="B123" s="60">
        <v>0.2</v>
      </c>
      <c r="C123" s="59" cm="1">
        <f t="array" aca="1" ref="C123" ca="1">IF(ISNUMBER(_xll.VoseSimPercentile(Out_DDLT,0.2)),_xll.VoseSimPercentile(Out_DDLT,0.2),NA())</f>
        <v>240.83481607145134</v>
      </c>
    </row>
    <row r="124" spans="2:3" hidden="1" outlineLevel="1" x14ac:dyDescent="0.45">
      <c r="B124" s="60">
        <v>0.21</v>
      </c>
      <c r="C124" s="59" cm="1">
        <f t="array" aca="1" ref="C124" ca="1">IF(ISNUMBER(_xll.VoseSimPercentile(Out_DDLT,0.21)),_xll.VoseSimPercentile(Out_DDLT,0.21),NA())</f>
        <v>243.06710528295181</v>
      </c>
    </row>
    <row r="125" spans="2:3" hidden="1" outlineLevel="1" x14ac:dyDescent="0.45">
      <c r="B125" s="60">
        <v>0.22</v>
      </c>
      <c r="C125" s="59" cm="1">
        <f t="array" aca="1" ref="C125" ca="1">IF(ISNUMBER(_xll.VoseSimPercentile(Out_DDLT,0.22)),_xll.VoseSimPercentile(Out_DDLT,0.22),NA())</f>
        <v>244.91134118951663</v>
      </c>
    </row>
    <row r="126" spans="2:3" hidden="1" outlineLevel="1" x14ac:dyDescent="0.45">
      <c r="B126" s="60">
        <v>0.23</v>
      </c>
      <c r="C126" s="59" cm="1">
        <f t="array" aca="1" ref="C126" ca="1">IF(ISNUMBER(_xll.VoseSimPercentile(Out_DDLT,0.23)),_xll.VoseSimPercentile(Out_DDLT,0.23),NA())</f>
        <v>247.09866764263205</v>
      </c>
    </row>
    <row r="127" spans="2:3" hidden="1" outlineLevel="1" x14ac:dyDescent="0.45">
      <c r="B127" s="60">
        <v>0.24</v>
      </c>
      <c r="C127" s="59" cm="1">
        <f t="array" aca="1" ref="C127" ca="1">IF(ISNUMBER(_xll.VoseSimPercentile(Out_DDLT,0.24)),_xll.VoseSimPercentile(Out_DDLT,0.24),NA())</f>
        <v>249.02866245860346</v>
      </c>
    </row>
    <row r="128" spans="2:3" hidden="1" outlineLevel="1" x14ac:dyDescent="0.45">
      <c r="B128" s="60">
        <v>0.25</v>
      </c>
      <c r="C128" s="59" cm="1">
        <f t="array" aca="1" ref="C128" ca="1">IF(ISNUMBER(_xll.VoseSimPercentile(Out_DDLT,0.25)),_xll.VoseSimPercentile(Out_DDLT,0.25),NA())</f>
        <v>250.27297720871263</v>
      </c>
    </row>
    <row r="129" spans="2:3" hidden="1" outlineLevel="1" x14ac:dyDescent="0.45">
      <c r="B129" s="60">
        <v>0.26</v>
      </c>
      <c r="C129" s="59" cm="1">
        <f t="array" aca="1" ref="C129" ca="1">IF(ISNUMBER(_xll.VoseSimPercentile(Out_DDLT,0.26)),_xll.VoseSimPercentile(Out_DDLT,0.26),NA())</f>
        <v>252.00943076663057</v>
      </c>
    </row>
    <row r="130" spans="2:3" hidden="1" outlineLevel="1" x14ac:dyDescent="0.45">
      <c r="B130" s="60">
        <v>0.27</v>
      </c>
      <c r="C130" s="59" cm="1">
        <f t="array" aca="1" ref="C130" ca="1">IF(ISNUMBER(_xll.VoseSimPercentile(Out_DDLT,0.27)),_xll.VoseSimPercentile(Out_DDLT,0.27),NA())</f>
        <v>253.82665848995521</v>
      </c>
    </row>
    <row r="131" spans="2:3" hidden="1" outlineLevel="1" x14ac:dyDescent="0.45">
      <c r="B131" s="60">
        <v>0.28000000000000003</v>
      </c>
      <c r="C131" s="59" cm="1">
        <f t="array" aca="1" ref="C131" ca="1">IF(ISNUMBER(_xll.VoseSimPercentile(Out_DDLT,0.28)),_xll.VoseSimPercentile(Out_DDLT,0.28),NA())</f>
        <v>255.38992678586797</v>
      </c>
    </row>
    <row r="132" spans="2:3" hidden="1" outlineLevel="1" x14ac:dyDescent="0.45">
      <c r="B132" s="60">
        <v>0.28999999999999998</v>
      </c>
      <c r="C132" s="59" cm="1">
        <f t="array" aca="1" ref="C132" ca="1">IF(ISNUMBER(_xll.VoseSimPercentile(Out_DDLT,0.29)),_xll.VoseSimPercentile(Out_DDLT,0.29),NA())</f>
        <v>257.1140728125319</v>
      </c>
    </row>
    <row r="133" spans="2:3" hidden="1" outlineLevel="1" x14ac:dyDescent="0.45">
      <c r="B133" s="60">
        <v>0.3</v>
      </c>
      <c r="C133" s="59" cm="1">
        <f t="array" aca="1" ref="C133" ca="1">IF(ISNUMBER(_xll.VoseSimPercentile(Out_DDLT,0.3)),_xll.VoseSimPercentile(Out_DDLT,0.3),NA())</f>
        <v>258.94200377523504</v>
      </c>
    </row>
    <row r="134" spans="2:3" hidden="1" outlineLevel="1" x14ac:dyDescent="0.45">
      <c r="B134" s="60">
        <v>0.31</v>
      </c>
      <c r="C134" s="59" cm="1">
        <f t="array" aca="1" ref="C134" ca="1">IF(ISNUMBER(_xll.VoseSimPercentile(Out_DDLT,0.31)),_xll.VoseSimPercentile(Out_DDLT,0.31),NA())</f>
        <v>260.83194090665086</v>
      </c>
    </row>
    <row r="135" spans="2:3" hidden="1" outlineLevel="1" x14ac:dyDescent="0.45">
      <c r="B135" s="60">
        <v>0.32</v>
      </c>
      <c r="C135" s="59" cm="1">
        <f t="array" aca="1" ref="C135" ca="1">IF(ISNUMBER(_xll.VoseSimPercentile(Out_DDLT,0.32)),_xll.VoseSimPercentile(Out_DDLT,0.32),NA())</f>
        <v>262.47371904610299</v>
      </c>
    </row>
    <row r="136" spans="2:3" hidden="1" outlineLevel="1" x14ac:dyDescent="0.45">
      <c r="B136" s="60">
        <v>0.33</v>
      </c>
      <c r="C136" s="59" cm="1">
        <f t="array" aca="1" ref="C136" ca="1">IF(ISNUMBER(_xll.VoseSimPercentile(Out_DDLT,0.33)),_xll.VoseSimPercentile(Out_DDLT,0.33),NA())</f>
        <v>263.97180642606378</v>
      </c>
    </row>
    <row r="137" spans="2:3" hidden="1" outlineLevel="1" x14ac:dyDescent="0.45">
      <c r="B137" s="60">
        <v>0.34</v>
      </c>
      <c r="C137" s="59" cm="1">
        <f t="array" aca="1" ref="C137" ca="1">IF(ISNUMBER(_xll.VoseSimPercentile(Out_DDLT,0.34)),_xll.VoseSimPercentile(Out_DDLT,0.34),NA())</f>
        <v>265.74590847495978</v>
      </c>
    </row>
    <row r="138" spans="2:3" hidden="1" outlineLevel="1" x14ac:dyDescent="0.45">
      <c r="B138" s="60">
        <v>0.35</v>
      </c>
      <c r="C138" s="59" cm="1">
        <f t="array" aca="1" ref="C138" ca="1">IF(ISNUMBER(_xll.VoseSimPercentile(Out_DDLT,0.35)),_xll.VoseSimPercentile(Out_DDLT,0.35),NA())</f>
        <v>267.22438870928056</v>
      </c>
    </row>
    <row r="139" spans="2:3" hidden="1" outlineLevel="1" x14ac:dyDescent="0.45">
      <c r="B139" s="60">
        <v>0.36</v>
      </c>
      <c r="C139" s="59" cm="1">
        <f t="array" aca="1" ref="C139" ca="1">IF(ISNUMBER(_xll.VoseSimPercentile(Out_DDLT,0.36)),_xll.VoseSimPercentile(Out_DDLT,0.36),NA())</f>
        <v>269.05451285096029</v>
      </c>
    </row>
    <row r="140" spans="2:3" hidden="1" outlineLevel="1" x14ac:dyDescent="0.45">
      <c r="B140" s="60">
        <v>0.37</v>
      </c>
      <c r="C140" s="59" cm="1">
        <f t="array" aca="1" ref="C140" ca="1">IF(ISNUMBER(_xll.VoseSimPercentile(Out_DDLT,0.37)),_xll.VoseSimPercentile(Out_DDLT,0.37),NA())</f>
        <v>271.02669932630283</v>
      </c>
    </row>
    <row r="141" spans="2:3" hidden="1" outlineLevel="1" x14ac:dyDescent="0.45">
      <c r="B141" s="60">
        <v>0.38</v>
      </c>
      <c r="C141" s="59" cm="1">
        <f t="array" aca="1" ref="C141" ca="1">IF(ISNUMBER(_xll.VoseSimPercentile(Out_DDLT,0.38)),_xll.VoseSimPercentile(Out_DDLT,0.38),NA())</f>
        <v>272.75665589522669</v>
      </c>
    </row>
    <row r="142" spans="2:3" hidden="1" outlineLevel="1" x14ac:dyDescent="0.45">
      <c r="B142" s="60">
        <v>0.39</v>
      </c>
      <c r="C142" s="59" cm="1">
        <f t="array" aca="1" ref="C142" ca="1">IF(ISNUMBER(_xll.VoseSimPercentile(Out_DDLT,0.39)),_xll.VoseSimPercentile(Out_DDLT,0.39),NA())</f>
        <v>274.09480162077239</v>
      </c>
    </row>
    <row r="143" spans="2:3" hidden="1" outlineLevel="1" x14ac:dyDescent="0.45">
      <c r="B143" s="60">
        <v>0.4</v>
      </c>
      <c r="C143" s="59" cm="1">
        <f t="array" aca="1" ref="C143" ca="1">IF(ISNUMBER(_xll.VoseSimPercentile(Out_DDLT,0.4)),_xll.VoseSimPercentile(Out_DDLT,0.4),NA())</f>
        <v>275.54631873461</v>
      </c>
    </row>
    <row r="144" spans="2:3" hidden="1" outlineLevel="1" x14ac:dyDescent="0.45">
      <c r="B144" s="60">
        <v>0.41</v>
      </c>
      <c r="C144" s="59" cm="1">
        <f t="array" aca="1" ref="C144" ca="1">IF(ISNUMBER(_xll.VoseSimPercentile(Out_DDLT,0.41)),_xll.VoseSimPercentile(Out_DDLT,0.41),NA())</f>
        <v>277.18253604108992</v>
      </c>
    </row>
    <row r="145" spans="2:3" hidden="1" outlineLevel="1" x14ac:dyDescent="0.45">
      <c r="B145" s="60">
        <v>0.42</v>
      </c>
      <c r="C145" s="59" cm="1">
        <f t="array" aca="1" ref="C145" ca="1">IF(ISNUMBER(_xll.VoseSimPercentile(Out_DDLT,0.42)),_xll.VoseSimPercentile(Out_DDLT,0.42),NA())</f>
        <v>278.52607054050162</v>
      </c>
    </row>
    <row r="146" spans="2:3" hidden="1" outlineLevel="1" x14ac:dyDescent="0.45">
      <c r="B146" s="60">
        <v>0.43</v>
      </c>
      <c r="C146" s="59" cm="1">
        <f t="array" aca="1" ref="C146" ca="1">IF(ISNUMBER(_xll.VoseSimPercentile(Out_DDLT,0.43)),_xll.VoseSimPercentile(Out_DDLT,0.43),NA())</f>
        <v>279.926326361755</v>
      </c>
    </row>
    <row r="147" spans="2:3" hidden="1" outlineLevel="1" x14ac:dyDescent="0.45">
      <c r="B147" s="60">
        <v>0.44</v>
      </c>
      <c r="C147" s="59" cm="1">
        <f t="array" aca="1" ref="C147" ca="1">IF(ISNUMBER(_xll.VoseSimPercentile(Out_DDLT,0.44)),_xll.VoseSimPercentile(Out_DDLT,0.44),NA())</f>
        <v>281.43620459053767</v>
      </c>
    </row>
    <row r="148" spans="2:3" hidden="1" outlineLevel="1" x14ac:dyDescent="0.45">
      <c r="B148" s="60">
        <v>0.45</v>
      </c>
      <c r="C148" s="59" cm="1">
        <f t="array" aca="1" ref="C148" ca="1">IF(ISNUMBER(_xll.VoseSimPercentile(Out_DDLT,0.45)),_xll.VoseSimPercentile(Out_DDLT,0.45),NA())</f>
        <v>282.98243376189657</v>
      </c>
    </row>
    <row r="149" spans="2:3" hidden="1" outlineLevel="1" x14ac:dyDescent="0.45">
      <c r="B149" s="60">
        <v>0.46</v>
      </c>
      <c r="C149" s="59" cm="1">
        <f t="array" aca="1" ref="C149" ca="1">IF(ISNUMBER(_xll.VoseSimPercentile(Out_DDLT,0.46)),_xll.VoseSimPercentile(Out_DDLT,0.46),NA())</f>
        <v>284.53725412307472</v>
      </c>
    </row>
    <row r="150" spans="2:3" hidden="1" outlineLevel="1" x14ac:dyDescent="0.45">
      <c r="B150" s="60">
        <v>0.47</v>
      </c>
      <c r="C150" s="59" cm="1">
        <f t="array" aca="1" ref="C150" ca="1">IF(ISNUMBER(_xll.VoseSimPercentile(Out_DDLT,0.47)),_xll.VoseSimPercentile(Out_DDLT,0.47),NA())</f>
        <v>285.96606859353886</v>
      </c>
    </row>
    <row r="151" spans="2:3" hidden="1" outlineLevel="1" x14ac:dyDescent="0.45">
      <c r="B151" s="60">
        <v>0.48</v>
      </c>
      <c r="C151" s="59" cm="1">
        <f t="array" aca="1" ref="C151" ca="1">IF(ISNUMBER(_xll.VoseSimPercentile(Out_DDLT,0.48)),_xll.VoseSimPercentile(Out_DDLT,0.48),NA())</f>
        <v>287.58747556411242</v>
      </c>
    </row>
    <row r="152" spans="2:3" hidden="1" outlineLevel="1" x14ac:dyDescent="0.45">
      <c r="B152" s="60">
        <v>0.49</v>
      </c>
      <c r="C152" s="59" cm="1">
        <f t="array" aca="1" ref="C152" ca="1">IF(ISNUMBER(_xll.VoseSimPercentile(Out_DDLT,0.49)),_xll.VoseSimPercentile(Out_DDLT,0.49),NA())</f>
        <v>289.05626774460876</v>
      </c>
    </row>
    <row r="153" spans="2:3" hidden="1" outlineLevel="1" x14ac:dyDescent="0.45">
      <c r="B153" s="60">
        <v>0.5</v>
      </c>
      <c r="C153" s="59" cm="1">
        <f t="array" aca="1" ref="C153" ca="1">IF(ISNUMBER(_xll.VoseSimPercentile(Out_DDLT,0.5)),_xll.VoseSimPercentile(Out_DDLT,0.5),NA())</f>
        <v>290.89660009566683</v>
      </c>
    </row>
    <row r="154" spans="2:3" hidden="1" outlineLevel="1" x14ac:dyDescent="0.45">
      <c r="B154" s="60">
        <v>0.51</v>
      </c>
      <c r="C154" s="59" cm="1">
        <f t="array" aca="1" ref="C154" ca="1">IF(ISNUMBER(_xll.VoseSimPercentile(Out_DDLT,0.51)),_xll.VoseSimPercentile(Out_DDLT,0.51),NA())</f>
        <v>292.36434871116853</v>
      </c>
    </row>
    <row r="155" spans="2:3" hidden="1" outlineLevel="1" x14ac:dyDescent="0.45">
      <c r="B155" s="60">
        <v>0.52</v>
      </c>
      <c r="C155" s="59" cm="1">
        <f t="array" aca="1" ref="C155" ca="1">IF(ISNUMBER(_xll.VoseSimPercentile(Out_DDLT,0.52)),_xll.VoseSimPercentile(Out_DDLT,0.52),NA())</f>
        <v>294.17556242339651</v>
      </c>
    </row>
    <row r="156" spans="2:3" hidden="1" outlineLevel="1" x14ac:dyDescent="0.45">
      <c r="B156" s="60">
        <v>0.53</v>
      </c>
      <c r="C156" s="59" cm="1">
        <f t="array" aca="1" ref="C156" ca="1">IF(ISNUMBER(_xll.VoseSimPercentile(Out_DDLT,0.53)),_xll.VoseSimPercentile(Out_DDLT,0.53),NA())</f>
        <v>295.80513587593725</v>
      </c>
    </row>
    <row r="157" spans="2:3" hidden="1" outlineLevel="1" x14ac:dyDescent="0.45">
      <c r="B157" s="60">
        <v>0.54</v>
      </c>
      <c r="C157" s="59" cm="1">
        <f t="array" aca="1" ref="C157" ca="1">IF(ISNUMBER(_xll.VoseSimPercentile(Out_DDLT,0.54)),_xll.VoseSimPercentile(Out_DDLT,0.54),NA())</f>
        <v>297.34871453166932</v>
      </c>
    </row>
    <row r="158" spans="2:3" hidden="1" outlineLevel="1" x14ac:dyDescent="0.45">
      <c r="B158" s="60">
        <v>0.55000000000000004</v>
      </c>
      <c r="C158" s="59" cm="1">
        <f t="array" aca="1" ref="C158" ca="1">IF(ISNUMBER(_xll.VoseSimPercentile(Out_DDLT,0.55)),_xll.VoseSimPercentile(Out_DDLT,0.55),NA())</f>
        <v>298.91018512035413</v>
      </c>
    </row>
    <row r="159" spans="2:3" hidden="1" outlineLevel="1" x14ac:dyDescent="0.45">
      <c r="B159" s="60">
        <v>0.56000000000000005</v>
      </c>
      <c r="C159" s="59" cm="1">
        <f t="array" aca="1" ref="C159" ca="1">IF(ISNUMBER(_xll.VoseSimPercentile(Out_DDLT,0.56)),_xll.VoseSimPercentile(Out_DDLT,0.56),NA())</f>
        <v>300.67670009275719</v>
      </c>
    </row>
    <row r="160" spans="2:3" hidden="1" outlineLevel="1" x14ac:dyDescent="0.45">
      <c r="B160" s="60">
        <v>0.56999999999999995</v>
      </c>
      <c r="C160" s="59" cm="1">
        <f t="array" aca="1" ref="C160" ca="1">IF(ISNUMBER(_xll.VoseSimPercentile(Out_DDLT,0.57)),_xll.VoseSimPercentile(Out_DDLT,0.57),NA())</f>
        <v>302.43956693022875</v>
      </c>
    </row>
    <row r="161" spans="2:3" hidden="1" outlineLevel="1" x14ac:dyDescent="0.45">
      <c r="B161" s="60">
        <v>0.57999999999999996</v>
      </c>
      <c r="C161" s="59" cm="1">
        <f t="array" aca="1" ref="C161" ca="1">IF(ISNUMBER(_xll.VoseSimPercentile(Out_DDLT,0.58)),_xll.VoseSimPercentile(Out_DDLT,0.58),NA())</f>
        <v>303.90776711160657</v>
      </c>
    </row>
    <row r="162" spans="2:3" hidden="1" outlineLevel="1" x14ac:dyDescent="0.45">
      <c r="B162" s="60">
        <v>0.59</v>
      </c>
      <c r="C162" s="59" cm="1">
        <f t="array" aca="1" ref="C162" ca="1">IF(ISNUMBER(_xll.VoseSimPercentile(Out_DDLT,0.59)),_xll.VoseSimPercentile(Out_DDLT,0.59),NA())</f>
        <v>305.85005424135471</v>
      </c>
    </row>
    <row r="163" spans="2:3" hidden="1" outlineLevel="1" x14ac:dyDescent="0.45">
      <c r="B163" s="60">
        <v>0.6</v>
      </c>
      <c r="C163" s="59" cm="1">
        <f t="array" aca="1" ref="C163" ca="1">IF(ISNUMBER(_xll.VoseSimPercentile(Out_DDLT,0.6)),_xll.VoseSimPercentile(Out_DDLT,0.6),NA())</f>
        <v>307.52628395521049</v>
      </c>
    </row>
    <row r="164" spans="2:3" hidden="1" outlineLevel="1" x14ac:dyDescent="0.45">
      <c r="B164" s="60">
        <v>0.61</v>
      </c>
      <c r="C164" s="59" cm="1">
        <f t="array" aca="1" ref="C164" ca="1">IF(ISNUMBER(_xll.VoseSimPercentile(Out_DDLT,0.61)),_xll.VoseSimPercentile(Out_DDLT,0.61),NA())</f>
        <v>309.36878592307676</v>
      </c>
    </row>
    <row r="165" spans="2:3" hidden="1" outlineLevel="1" x14ac:dyDescent="0.45">
      <c r="B165" s="60">
        <v>0.62</v>
      </c>
      <c r="C165" s="59" cm="1">
        <f t="array" aca="1" ref="C165" ca="1">IF(ISNUMBER(_xll.VoseSimPercentile(Out_DDLT,0.62)),_xll.VoseSimPercentile(Out_DDLT,0.62),NA())</f>
        <v>311.42683037950525</v>
      </c>
    </row>
    <row r="166" spans="2:3" hidden="1" outlineLevel="1" x14ac:dyDescent="0.45">
      <c r="B166" s="60">
        <v>0.63</v>
      </c>
      <c r="C166" s="59" cm="1">
        <f t="array" aca="1" ref="C166" ca="1">IF(ISNUMBER(_xll.VoseSimPercentile(Out_DDLT,0.63)),_xll.VoseSimPercentile(Out_DDLT,0.63),NA())</f>
        <v>313.5286342772261</v>
      </c>
    </row>
    <row r="167" spans="2:3" hidden="1" outlineLevel="1" x14ac:dyDescent="0.45">
      <c r="B167" s="60">
        <v>0.64</v>
      </c>
      <c r="C167" s="59" cm="1">
        <f t="array" aca="1" ref="C167" ca="1">IF(ISNUMBER(_xll.VoseSimPercentile(Out_DDLT,0.64)),_xll.VoseSimPercentile(Out_DDLT,0.64),NA())</f>
        <v>315.48881268589321</v>
      </c>
    </row>
    <row r="168" spans="2:3" hidden="1" outlineLevel="1" x14ac:dyDescent="0.45">
      <c r="B168" s="60">
        <v>0.65</v>
      </c>
      <c r="C168" s="59" cm="1">
        <f t="array" aca="1" ref="C168" ca="1">IF(ISNUMBER(_xll.VoseSimPercentile(Out_DDLT,0.65)),_xll.VoseSimPercentile(Out_DDLT,0.65),NA())</f>
        <v>317.35252498521476</v>
      </c>
    </row>
    <row r="169" spans="2:3" hidden="1" outlineLevel="1" x14ac:dyDescent="0.45">
      <c r="B169" s="60">
        <v>0.66</v>
      </c>
      <c r="C169" s="59" cm="1">
        <f t="array" aca="1" ref="C169" ca="1">IF(ISNUMBER(_xll.VoseSimPercentile(Out_DDLT,0.66)),_xll.VoseSimPercentile(Out_DDLT,0.66),NA())</f>
        <v>319.55811062357958</v>
      </c>
    </row>
    <row r="170" spans="2:3" hidden="1" outlineLevel="1" x14ac:dyDescent="0.45">
      <c r="B170" s="60">
        <v>0.67</v>
      </c>
      <c r="C170" s="59" cm="1">
        <f t="array" aca="1" ref="C170" ca="1">IF(ISNUMBER(_xll.VoseSimPercentile(Out_DDLT,0.67)),_xll.VoseSimPercentile(Out_DDLT,0.67),NA())</f>
        <v>321.86640636176901</v>
      </c>
    </row>
    <row r="171" spans="2:3" hidden="1" outlineLevel="1" x14ac:dyDescent="0.45">
      <c r="B171" s="60">
        <v>0.68</v>
      </c>
      <c r="C171" s="59" cm="1">
        <f t="array" aca="1" ref="C171" ca="1">IF(ISNUMBER(_xll.VoseSimPercentile(Out_DDLT,0.68)),_xll.VoseSimPercentile(Out_DDLT,0.68),NA())</f>
        <v>324.04978775460694</v>
      </c>
    </row>
    <row r="172" spans="2:3" hidden="1" outlineLevel="1" x14ac:dyDescent="0.45">
      <c r="B172" s="60">
        <v>0.69</v>
      </c>
      <c r="C172" s="59" cm="1">
        <f t="array" aca="1" ref="C172" ca="1">IF(ISNUMBER(_xll.VoseSimPercentile(Out_DDLT,0.69)),_xll.VoseSimPercentile(Out_DDLT,0.69),NA())</f>
        <v>326.15857829098746</v>
      </c>
    </row>
    <row r="173" spans="2:3" hidden="1" outlineLevel="1" x14ac:dyDescent="0.45">
      <c r="B173" s="60">
        <v>0.7</v>
      </c>
      <c r="C173" s="59" cm="1">
        <f t="array" aca="1" ref="C173" ca="1">IF(ISNUMBER(_xll.VoseSimPercentile(Out_DDLT,0.7)),_xll.VoseSimPercentile(Out_DDLT,0.7),NA())</f>
        <v>328.60111890994739</v>
      </c>
    </row>
    <row r="174" spans="2:3" hidden="1" outlineLevel="1" x14ac:dyDescent="0.45">
      <c r="B174" s="60">
        <v>0.71</v>
      </c>
      <c r="C174" s="59" cm="1">
        <f t="array" aca="1" ref="C174" ca="1">IF(ISNUMBER(_xll.VoseSimPercentile(Out_DDLT,0.71)),_xll.VoseSimPercentile(Out_DDLT,0.71),NA())</f>
        <v>330.62745386504196</v>
      </c>
    </row>
    <row r="175" spans="2:3" hidden="1" outlineLevel="1" x14ac:dyDescent="0.45">
      <c r="B175" s="60">
        <v>0.72</v>
      </c>
      <c r="C175" s="59" cm="1">
        <f t="array" aca="1" ref="C175" ca="1">IF(ISNUMBER(_xll.VoseSimPercentile(Out_DDLT,0.72)),_xll.VoseSimPercentile(Out_DDLT,0.72),NA())</f>
        <v>333.10047079852592</v>
      </c>
    </row>
    <row r="176" spans="2:3" hidden="1" outlineLevel="1" x14ac:dyDescent="0.45">
      <c r="B176" s="60">
        <v>0.73</v>
      </c>
      <c r="C176" s="59" cm="1">
        <f t="array" aca="1" ref="C176" ca="1">IF(ISNUMBER(_xll.VoseSimPercentile(Out_DDLT,0.73)),_xll.VoseSimPercentile(Out_DDLT,0.73),NA())</f>
        <v>335.4027747175233</v>
      </c>
    </row>
    <row r="177" spans="2:3" hidden="1" outlineLevel="1" x14ac:dyDescent="0.45">
      <c r="B177" s="60">
        <v>0.74</v>
      </c>
      <c r="C177" s="59" cm="1">
        <f t="array" aca="1" ref="C177" ca="1">IF(ISNUMBER(_xll.VoseSimPercentile(Out_DDLT,0.74)),_xll.VoseSimPercentile(Out_DDLT,0.74),NA())</f>
        <v>337.70722128692927</v>
      </c>
    </row>
    <row r="178" spans="2:3" hidden="1" outlineLevel="1" x14ac:dyDescent="0.45">
      <c r="B178" s="60">
        <v>0.75</v>
      </c>
      <c r="C178" s="59" cm="1">
        <f t="array" aca="1" ref="C178" ca="1">IF(ISNUMBER(_xll.VoseSimPercentile(Out_DDLT,0.75)),_xll.VoseSimPercentile(Out_DDLT,0.75),NA())</f>
        <v>340.6101806771477</v>
      </c>
    </row>
    <row r="179" spans="2:3" hidden="1" outlineLevel="1" x14ac:dyDescent="0.45">
      <c r="B179" s="60">
        <v>0.76</v>
      </c>
      <c r="C179" s="59" cm="1">
        <f t="array" aca="1" ref="C179" ca="1">IF(ISNUMBER(_xll.VoseSimPercentile(Out_DDLT,0.76)),_xll.VoseSimPercentile(Out_DDLT,0.76),NA())</f>
        <v>343.31355268099014</v>
      </c>
    </row>
    <row r="180" spans="2:3" hidden="1" outlineLevel="1" x14ac:dyDescent="0.45">
      <c r="B180" s="60">
        <v>0.77</v>
      </c>
      <c r="C180" s="59" cm="1">
        <f t="array" aca="1" ref="C180" ca="1">IF(ISNUMBER(_xll.VoseSimPercentile(Out_DDLT,0.77)),_xll.VoseSimPercentile(Out_DDLT,0.77),NA())</f>
        <v>346.3199411605591</v>
      </c>
    </row>
    <row r="181" spans="2:3" hidden="1" outlineLevel="1" x14ac:dyDescent="0.45">
      <c r="B181" s="60">
        <v>0.78</v>
      </c>
      <c r="C181" s="59" cm="1">
        <f t="array" aca="1" ref="C181" ca="1">IF(ISNUMBER(_xll.VoseSimPercentile(Out_DDLT,0.78)),_xll.VoseSimPercentile(Out_DDLT,0.78),NA())</f>
        <v>349.10953681720167</v>
      </c>
    </row>
    <row r="182" spans="2:3" hidden="1" outlineLevel="1" x14ac:dyDescent="0.45">
      <c r="B182" s="60">
        <v>0.79</v>
      </c>
      <c r="C182" s="59" cm="1">
        <f t="array" aca="1" ref="C182" ca="1">IF(ISNUMBER(_xll.VoseSimPercentile(Out_DDLT,0.79)),_xll.VoseSimPercentile(Out_DDLT,0.79),NA())</f>
        <v>352.09362824059286</v>
      </c>
    </row>
    <row r="183" spans="2:3" hidden="1" outlineLevel="1" x14ac:dyDescent="0.45">
      <c r="B183" s="60">
        <v>0.8</v>
      </c>
      <c r="C183" s="59" cm="1">
        <f t="array" aca="1" ref="C183" ca="1">IF(ISNUMBER(_xll.VoseSimPercentile(Out_DDLT,0.8)),_xll.VoseSimPercentile(Out_DDLT,0.8),NA())</f>
        <v>355.45441014218653</v>
      </c>
    </row>
    <row r="184" spans="2:3" hidden="1" outlineLevel="1" x14ac:dyDescent="0.45">
      <c r="B184" s="60">
        <v>0.81</v>
      </c>
      <c r="C184" s="59" cm="1">
        <f t="array" aca="1" ref="C184" ca="1">IF(ISNUMBER(_xll.VoseSimPercentile(Out_DDLT,0.81)),_xll.VoseSimPercentile(Out_DDLT,0.81),NA())</f>
        <v>359.63806447505181</v>
      </c>
    </row>
    <row r="185" spans="2:3" hidden="1" outlineLevel="1" x14ac:dyDescent="0.45">
      <c r="B185" s="60">
        <v>0.82</v>
      </c>
      <c r="C185" s="59" cm="1">
        <f t="array" aca="1" ref="C185" ca="1">IF(ISNUMBER(_xll.VoseSimPercentile(Out_DDLT,0.82)),_xll.VoseSimPercentile(Out_DDLT,0.82),NA())</f>
        <v>363.76904535219461</v>
      </c>
    </row>
    <row r="186" spans="2:3" hidden="1" outlineLevel="1" x14ac:dyDescent="0.45">
      <c r="B186" s="60">
        <v>0.83</v>
      </c>
      <c r="C186" s="59" cm="1">
        <f t="array" aca="1" ref="C186" ca="1">IF(ISNUMBER(_xll.VoseSimPercentile(Out_DDLT,0.83)),_xll.VoseSimPercentile(Out_DDLT,0.83),NA())</f>
        <v>368.56587143919609</v>
      </c>
    </row>
    <row r="187" spans="2:3" hidden="1" outlineLevel="1" x14ac:dyDescent="0.45">
      <c r="B187" s="60">
        <v>0.84</v>
      </c>
      <c r="C187" s="59" cm="1">
        <f t="array" aca="1" ref="C187" ca="1">IF(ISNUMBER(_xll.VoseSimPercentile(Out_DDLT,0.84)),_xll.VoseSimPercentile(Out_DDLT,0.84),NA())</f>
        <v>372.65786308894667</v>
      </c>
    </row>
    <row r="188" spans="2:3" hidden="1" outlineLevel="1" x14ac:dyDescent="0.45">
      <c r="B188" s="60">
        <v>0.85</v>
      </c>
      <c r="C188" s="59" cm="1">
        <f t="array" aca="1" ref="C188" ca="1">IF(ISNUMBER(_xll.VoseSimPercentile(Out_DDLT,0.85)),_xll.VoseSimPercentile(Out_DDLT,0.85),NA())</f>
        <v>379.05056787269979</v>
      </c>
    </row>
    <row r="189" spans="2:3" hidden="1" outlineLevel="1" x14ac:dyDescent="0.45">
      <c r="B189" s="60">
        <v>0.86</v>
      </c>
      <c r="C189" s="59" cm="1">
        <f t="array" aca="1" ref="C189" ca="1">IF(ISNUMBER(_xll.VoseSimPercentile(Out_DDLT,0.86)),_xll.VoseSimPercentile(Out_DDLT,0.86),NA())</f>
        <v>384.90535225288983</v>
      </c>
    </row>
    <row r="190" spans="2:3" hidden="1" outlineLevel="1" x14ac:dyDescent="0.45">
      <c r="B190" s="60">
        <v>0.87</v>
      </c>
      <c r="C190" s="59" cm="1">
        <f t="array" aca="1" ref="C190" ca="1">IF(ISNUMBER(_xll.VoseSimPercentile(Out_DDLT,0.87)),_xll.VoseSimPercentile(Out_DDLT,0.87),NA())</f>
        <v>393.04217441187694</v>
      </c>
    </row>
    <row r="191" spans="2:3" hidden="1" outlineLevel="1" x14ac:dyDescent="0.45">
      <c r="B191" s="60">
        <v>0.88</v>
      </c>
      <c r="C191" s="59" cm="1">
        <f t="array" aca="1" ref="C191" ca="1">IF(ISNUMBER(_xll.VoseSimPercentile(Out_DDLT,0.88)),_xll.VoseSimPercentile(Out_DDLT,0.88),NA())</f>
        <v>403.39479793132199</v>
      </c>
    </row>
    <row r="192" spans="2:3" hidden="1" outlineLevel="1" x14ac:dyDescent="0.45">
      <c r="B192" s="60">
        <v>0.89</v>
      </c>
      <c r="C192" s="59" cm="1">
        <f t="array" aca="1" ref="C192" ca="1">IF(ISNUMBER(_xll.VoseSimPercentile(Out_DDLT,0.89)),_xll.VoseSimPercentile(Out_DDLT,0.89),NA())</f>
        <v>418.81291275989543</v>
      </c>
    </row>
    <row r="193" spans="2:7" hidden="1" outlineLevel="1" x14ac:dyDescent="0.45">
      <c r="B193" s="60">
        <v>0.9</v>
      </c>
      <c r="C193" s="59" cm="1">
        <f t="array" aca="1" ref="C193" ca="1">IF(ISNUMBER(_xll.VoseSimPercentile(Out_DDLT,0.9)),_xll.VoseSimPercentile(Out_DDLT,0.9),NA())</f>
        <v>447.4447817207282</v>
      </c>
    </row>
    <row r="194" spans="2:7" hidden="1" outlineLevel="1" x14ac:dyDescent="0.45">
      <c r="B194" s="60">
        <v>0.91</v>
      </c>
      <c r="C194" s="59" cm="1">
        <f t="array" aca="1" ref="C194" ca="1">IF(ISNUMBER(_xll.VoseSimPercentile(Out_DDLT,0.91)),_xll.VoseSimPercentile(Out_DDLT,0.91),NA())</f>
        <v>544.7291812108125</v>
      </c>
    </row>
    <row r="195" spans="2:7" hidden="1" outlineLevel="1" x14ac:dyDescent="0.45">
      <c r="B195" s="60">
        <v>0.92</v>
      </c>
      <c r="C195" s="59" cm="1">
        <f t="array" aca="1" ref="C195" ca="1">IF(ISNUMBER(_xll.VoseSimPercentile(Out_DDLT,0.92)),_xll.VoseSimPercentile(Out_DDLT,0.92),NA())</f>
        <v>596.86897796582195</v>
      </c>
    </row>
    <row r="196" spans="2:7" hidden="1" outlineLevel="1" x14ac:dyDescent="0.45">
      <c r="B196" s="60">
        <v>0.93</v>
      </c>
      <c r="C196" s="59" cm="1">
        <f t="array" aca="1" ref="C196" ca="1">IF(ISNUMBER(_xll.VoseSimPercentile(Out_DDLT,0.93)),_xll.VoseSimPercentile(Out_DDLT,0.93),NA())</f>
        <v>637.82490823415014</v>
      </c>
    </row>
    <row r="197" spans="2:7" hidden="1" outlineLevel="1" x14ac:dyDescent="0.45">
      <c r="B197" s="60">
        <v>0.94</v>
      </c>
      <c r="C197" s="59" cm="1">
        <f t="array" aca="1" ref="C197" ca="1">IF(ISNUMBER(_xll.VoseSimPercentile(Out_DDLT,0.94)),_xll.VoseSimPercentile(Out_DDLT,0.94),NA())</f>
        <v>682.19361544357719</v>
      </c>
    </row>
    <row r="198" spans="2:7" hidden="1" outlineLevel="1" x14ac:dyDescent="0.45">
      <c r="B198" s="60">
        <v>0.95</v>
      </c>
      <c r="C198" s="59" cm="1">
        <f t="array" aca="1" ref="C198" ca="1">IF(ISNUMBER(_xll.VoseSimPercentile(Out_DDLT,0.95)),_xll.VoseSimPercentile(Out_DDLT,0.95),NA())</f>
        <v>720.15290761385711</v>
      </c>
    </row>
    <row r="199" spans="2:7" hidden="1" outlineLevel="1" x14ac:dyDescent="0.45">
      <c r="B199" s="60">
        <v>0.96</v>
      </c>
      <c r="C199" s="59" cm="1">
        <f t="array" aca="1" ref="C199" ca="1">IF(ISNUMBER(_xll.VoseSimPercentile(Out_DDLT,0.96)),_xll.VoseSimPercentile(Out_DDLT,0.96),NA())</f>
        <v>753.8554764259967</v>
      </c>
    </row>
    <row r="200" spans="2:7" hidden="1" outlineLevel="1" x14ac:dyDescent="0.45">
      <c r="B200" s="60">
        <v>0.97</v>
      </c>
      <c r="C200" s="59" cm="1">
        <f t="array" aca="1" ref="C200" ca="1">IF(ISNUMBER(_xll.VoseSimPercentile(Out_DDLT,0.97)),_xll.VoseSimPercentile(Out_DDLT,0.97),NA())</f>
        <v>782.928322235574</v>
      </c>
    </row>
    <row r="201" spans="2:7" hidden="1" outlineLevel="1" x14ac:dyDescent="0.45">
      <c r="B201" s="60">
        <v>0.98</v>
      </c>
      <c r="C201" s="59" cm="1">
        <f t="array" aca="1" ref="C201" ca="1">IF(ISNUMBER(_xll.VoseSimPercentile(Out_DDLT,0.98)),_xll.VoseSimPercentile(Out_DDLT,0.98),NA())</f>
        <v>828.11982515941281</v>
      </c>
    </row>
    <row r="202" spans="2:7" hidden="1" outlineLevel="1" x14ac:dyDescent="0.45">
      <c r="B202" s="60">
        <v>0.99</v>
      </c>
      <c r="C202" s="59" cm="1">
        <f t="array" aca="1" ref="C202" ca="1">IF(ISNUMBER(_xll.VoseSimPercentile(Out_DDLT,0.99)),_xll.VoseSimPercentile(Out_DDLT,0.99),NA())</f>
        <v>892.69972850706813</v>
      </c>
    </row>
    <row r="203" spans="2:7" hidden="1" outlineLevel="1" x14ac:dyDescent="0.45">
      <c r="B203" s="60">
        <v>0.995</v>
      </c>
      <c r="C203" s="59" cm="1">
        <f t="array" aca="1" ref="C203" ca="1">IF(ISNUMBER(_xll.VoseSimPercentile(Out_DDLT,0.995)),_xll.VoseSimPercentile(Out_DDLT,0.995),NA())</f>
        <v>939.17135227065739</v>
      </c>
    </row>
    <row r="204" spans="2:7" hidden="1" outlineLevel="1" x14ac:dyDescent="0.45"/>
    <row r="205" spans="2:7" ht="18" hidden="1" customHeight="1" outlineLevel="1" x14ac:dyDescent="0.45">
      <c r="B205" s="23" t="s">
        <v>255</v>
      </c>
      <c r="C205" s="24" t="s">
        <v>256</v>
      </c>
      <c r="D205" s="24" t="s">
        <v>257</v>
      </c>
      <c r="E205" s="24" t="s">
        <v>258</v>
      </c>
      <c r="F205" s="24" t="s">
        <v>259</v>
      </c>
      <c r="G205" s="24" t="s">
        <v>260</v>
      </c>
    </row>
    <row r="206" spans="2:7" hidden="1" outlineLevel="1" x14ac:dyDescent="0.45">
      <c r="B206" s="61">
        <v>0</v>
      </c>
      <c r="C206" s="59">
        <f ca="1">IF(ISNUMBER($C$103),$C$103+($C$203-$C$103)*0/24,NA())</f>
        <v>167.0734189074762</v>
      </c>
      <c r="D206" s="62">
        <f t="shared" ref="D206:D230" ca="1" si="3">IF(ISNUMBER(C206),MATCH(C206,$C$103:$C$203,1),NA())</f>
        <v>1</v>
      </c>
      <c r="E206" s="59">
        <f t="shared" ref="E206:E229" ca="1" si="4">IF(ISNUMBER(C206),(C206+C207)/2,NA())</f>
        <v>183.15879251920916</v>
      </c>
      <c r="F206" s="60">
        <f t="shared" ref="F206:F229" ca="1" si="5">IF(ISNUMBER(G207),G207-G206,NA())</f>
        <v>3.7367945968340081E-2</v>
      </c>
      <c r="G206" s="60" cm="1">
        <f t="array" aca="1" ref="G206" ca="1">IF(ISNUMBER(D206),IF(D206&gt;=101,INDEX($B$103:$B$203,101),INDEX($B$103:$B$203,D206)+(C206-INDEX($C$103:$C$203,D206))/MAX(0.000000000001,INDEX($C$103:$C$203,D206+1)-INDEX($C$103:$C$203,D206))*(INDEX($B$103:$B$203,D206+1)-INDEX($B$103:$B$203,D206))),NA())</f>
        <v>5.0000000000000001E-3</v>
      </c>
    </row>
    <row r="207" spans="2:7" hidden="1" outlineLevel="1" x14ac:dyDescent="0.45">
      <c r="B207" s="61">
        <v>1</v>
      </c>
      <c r="C207" s="59">
        <f ca="1">IF(ISNUMBER($C$103),$C$103+($C$203-$C$103)*1/24,NA())</f>
        <v>199.24416613094209</v>
      </c>
      <c r="D207" s="62">
        <f t="shared" ca="1" si="3"/>
        <v>5</v>
      </c>
      <c r="E207" s="59">
        <f t="shared" ca="1" si="4"/>
        <v>215.32953974267502</v>
      </c>
      <c r="F207" s="60">
        <f t="shared" ca="1" si="5"/>
        <v>0.10864247643579637</v>
      </c>
      <c r="G207" s="60" cm="1">
        <f t="array" aca="1" ref="G207" ca="1">IF(ISNUMBER(D207),IF(D207&gt;=101,INDEX($B$103:$B$203,101),INDEX($B$103:$B$203,D207)+(C207-INDEX($C$103:$C$203,D207))/MAX(0.000000000001,INDEX($C$103:$C$203,D207+1)-INDEX($C$103:$C$203,D207))*(INDEX($B$103:$B$203,D207+1)-INDEX($B$103:$B$203,D207))),NA())</f>
        <v>4.2367945968340079E-2</v>
      </c>
    </row>
    <row r="208" spans="2:7" hidden="1" outlineLevel="1" x14ac:dyDescent="0.45">
      <c r="B208" s="61">
        <v>2</v>
      </c>
      <c r="C208" s="59">
        <f ca="1">IF(ISNUMBER($C$103),$C$103+($C$203-$C$103)*2/24,NA())</f>
        <v>231.41491335440799</v>
      </c>
      <c r="D208" s="62">
        <f t="shared" ca="1" si="3"/>
        <v>16</v>
      </c>
      <c r="E208" s="59">
        <f t="shared" ca="1" si="4"/>
        <v>247.50028696614092</v>
      </c>
      <c r="F208" s="60">
        <f t="shared" ca="1" si="5"/>
        <v>0.17641198530481819</v>
      </c>
      <c r="G208" s="60" cm="1">
        <f t="array" aca="1" ref="G208" ca="1">IF(ISNUMBER(D208),IF(D208&gt;=101,INDEX($B$103:$B$203,101),INDEX($B$103:$B$203,D208)+(C208-INDEX($C$103:$C$203,D208))/MAX(0.000000000001,INDEX($C$103:$C$203,D208+1)-INDEX($C$103:$C$203,D208))*(INDEX($B$103:$B$203,D208+1)-INDEX($B$103:$B$203,D208))),NA())</f>
        <v>0.15101042240413645</v>
      </c>
    </row>
    <row r="209" spans="2:7" hidden="1" outlineLevel="1" x14ac:dyDescent="0.45">
      <c r="B209" s="61">
        <v>3</v>
      </c>
      <c r="C209" s="59">
        <f ca="1">IF(ISNUMBER($C$103),$C$103+($C$203-$C$103)*3/24,NA())</f>
        <v>263.58566057787385</v>
      </c>
      <c r="D209" s="62">
        <f t="shared" ca="1" si="3"/>
        <v>33</v>
      </c>
      <c r="E209" s="59">
        <f t="shared" ca="1" si="4"/>
        <v>279.67103418960676</v>
      </c>
      <c r="F209" s="60">
        <f t="shared" ca="1" si="5"/>
        <v>0.20227856879798617</v>
      </c>
      <c r="G209" s="60" cm="1">
        <f t="array" aca="1" ref="G209" ca="1">IF(ISNUMBER(D209),IF(D209&gt;=101,INDEX($B$103:$B$203,101),INDEX($B$103:$B$203,D209)+(C209-INDEX($C$103:$C$203,D209))/MAX(0.000000000001,INDEX($C$103:$C$203,D209+1)-INDEX($C$103:$C$203,D209))*(INDEX($B$103:$B$203,D209+1)-INDEX($B$103:$B$203,D209))),NA())</f>
        <v>0.32742240770895464</v>
      </c>
    </row>
    <row r="210" spans="2:7" hidden="1" outlineLevel="1" x14ac:dyDescent="0.45">
      <c r="B210" s="61">
        <v>4</v>
      </c>
      <c r="C210" s="59">
        <f ca="1">IF(ISNUMBER($C$103),$C$103+($C$203-$C$103)*4/24,NA())</f>
        <v>295.75640780133972</v>
      </c>
      <c r="D210" s="62">
        <f t="shared" ca="1" si="3"/>
        <v>53</v>
      </c>
      <c r="E210" s="59">
        <f t="shared" ca="1" si="4"/>
        <v>311.84178141307268</v>
      </c>
      <c r="F210" s="60">
        <f t="shared" ca="1" si="5"/>
        <v>0.16753974948176864</v>
      </c>
      <c r="G210" s="60" cm="1">
        <f t="array" aca="1" ref="G210" ca="1">IF(ISNUMBER(D210),IF(D210&gt;=101,INDEX($B$103:$B$203,101),INDEX($B$103:$B$203,D210)+(C210-INDEX($C$103:$C$203,D210))/MAX(0.000000000001,INDEX($C$103:$C$203,D210+1)-INDEX($C$103:$C$203,D210))*(INDEX($B$103:$B$203,D210+1)-INDEX($B$103:$B$203,D210))),NA())</f>
        <v>0.52970097650694081</v>
      </c>
    </row>
    <row r="211" spans="2:7" hidden="1" outlineLevel="1" x14ac:dyDescent="0.45">
      <c r="B211" s="61">
        <v>5</v>
      </c>
      <c r="C211" s="59">
        <f ca="1">IF(ISNUMBER($C$103),$C$103+($C$203-$C$103)*5/24,NA())</f>
        <v>327.92715502480564</v>
      </c>
      <c r="D211" s="62">
        <f t="shared" ca="1" si="3"/>
        <v>70</v>
      </c>
      <c r="E211" s="59">
        <f t="shared" ca="1" si="4"/>
        <v>344.0125286365386</v>
      </c>
      <c r="F211" s="60">
        <f t="shared" ca="1" si="5"/>
        <v>0.1138724182908103</v>
      </c>
      <c r="G211" s="60" cm="1">
        <f t="array" aca="1" ref="G211" ca="1">IF(ISNUMBER(D211),IF(D211&gt;=101,INDEX($B$103:$B$203,101),INDEX($B$103:$B$203,D211)+(C211-INDEX($C$103:$C$203,D211))/MAX(0.000000000001,INDEX($C$103:$C$203,D211+1)-INDEX($C$103:$C$203,D211))*(INDEX($B$103:$B$203,D211+1)-INDEX($B$103:$B$203,D211))),NA())</f>
        <v>0.69724072598870945</v>
      </c>
    </row>
    <row r="212" spans="2:7" hidden="1" outlineLevel="1" x14ac:dyDescent="0.45">
      <c r="B212" s="61">
        <v>6</v>
      </c>
      <c r="C212" s="59">
        <f ca="1">IF(ISNUMBER($C$103),$C$103+($C$203-$C$103)*6/24,NA())</f>
        <v>360.09790224827151</v>
      </c>
      <c r="D212" s="62">
        <f t="shared" ca="1" si="3"/>
        <v>82</v>
      </c>
      <c r="E212" s="59">
        <f t="shared" ca="1" si="4"/>
        <v>376.18327586000441</v>
      </c>
      <c r="F212" s="60">
        <f t="shared" ca="1" si="5"/>
        <v>5.7936208250220389E-2</v>
      </c>
      <c r="G212" s="60" cm="1">
        <f t="array" aca="1" ref="G212" ca="1">IF(ISNUMBER(D212),IF(D212&gt;=101,INDEX($B$103:$B$203,101),INDEX($B$103:$B$203,D212)+(C212-INDEX($C$103:$C$203,D212))/MAX(0.000000000001,INDEX($C$103:$C$203,D212+1)-INDEX($C$103:$C$203,D212))*(INDEX($B$103:$B$203,D212+1)-INDEX($B$103:$B$203,D212))),NA())</f>
        <v>0.81111314427951975</v>
      </c>
    </row>
    <row r="213" spans="2:7" hidden="1" outlineLevel="1" x14ac:dyDescent="0.45">
      <c r="B213" s="61">
        <v>7</v>
      </c>
      <c r="C213" s="59">
        <f ca="1">IF(ISNUMBER($C$103),$C$103+($C$203-$C$103)*7/24,NA())</f>
        <v>392.26864947173738</v>
      </c>
      <c r="D213" s="62">
        <f t="shared" ca="1" si="3"/>
        <v>87</v>
      </c>
      <c r="E213" s="59">
        <f t="shared" ca="1" si="4"/>
        <v>408.35402308347034</v>
      </c>
      <c r="F213" s="60">
        <f t="shared" ca="1" si="5"/>
        <v>2.2915759822165649E-2</v>
      </c>
      <c r="G213" s="60" cm="1">
        <f t="array" aca="1" ref="G213" ca="1">IF(ISNUMBER(D213),IF(D213&gt;=101,INDEX($B$103:$B$203,101),INDEX($B$103:$B$203,D213)+(C213-INDEX($C$103:$C$203,D213))/MAX(0.000000000001,INDEX($C$103:$C$203,D213+1)-INDEX($C$103:$C$203,D213))*(INDEX($B$103:$B$203,D213+1)-INDEX($B$103:$B$203,D213))),NA())</f>
        <v>0.86904935252974014</v>
      </c>
    </row>
    <row r="214" spans="2:7" hidden="1" outlineLevel="1" x14ac:dyDescent="0.45">
      <c r="B214" s="61">
        <v>8</v>
      </c>
      <c r="C214" s="59">
        <f ca="1">IF(ISNUMBER($C$103),$C$103+($C$203-$C$103)*8/24,NA())</f>
        <v>424.4393966952033</v>
      </c>
      <c r="D214" s="62">
        <f t="shared" ca="1" si="3"/>
        <v>90</v>
      </c>
      <c r="E214" s="59">
        <f t="shared" ca="1" si="4"/>
        <v>440.52477030693626</v>
      </c>
      <c r="F214" s="60">
        <f t="shared" ca="1" si="5"/>
        <v>8.9770080955637876E-3</v>
      </c>
      <c r="G214" s="60" cm="1">
        <f t="array" aca="1" ref="G214" ca="1">IF(ISNUMBER(D214),IF(D214&gt;=101,INDEX($B$103:$B$203,101),INDEX($B$103:$B$203,D214)+(C214-INDEX($C$103:$C$203,D214))/MAX(0.000000000001,INDEX($C$103:$C$203,D214+1)-INDEX($C$103:$C$203,D214))*(INDEX($B$103:$B$203,D214+1)-INDEX($B$103:$B$203,D214))),NA())</f>
        <v>0.89196511235190579</v>
      </c>
    </row>
    <row r="215" spans="2:7" hidden="1" outlineLevel="1" x14ac:dyDescent="0.45">
      <c r="B215" s="61">
        <v>9</v>
      </c>
      <c r="C215" s="59">
        <f ca="1">IF(ISNUMBER($C$103),$C$103+($C$203-$C$103)*9/24,NA())</f>
        <v>456.61014391866917</v>
      </c>
      <c r="D215" s="62">
        <f t="shared" ca="1" si="3"/>
        <v>91</v>
      </c>
      <c r="E215" s="59">
        <f t="shared" ca="1" si="4"/>
        <v>472.69551753040207</v>
      </c>
      <c r="F215" s="60">
        <f t="shared" ca="1" si="5"/>
        <v>3.3068762712304967E-3</v>
      </c>
      <c r="G215" s="60" cm="1">
        <f t="array" aca="1" ref="G215" ca="1">IF(ISNUMBER(D215),IF(D215&gt;=101,INDEX($B$103:$B$203,101),INDEX($B$103:$B$203,D215)+(C215-INDEX($C$103:$C$203,D215))/MAX(0.000000000001,INDEX($C$103:$C$203,D215+1)-INDEX($C$103:$C$203,D215))*(INDEX($B$103:$B$203,D215+1)-INDEX($B$103:$B$203,D215))),NA())</f>
        <v>0.90094212044746957</v>
      </c>
    </row>
    <row r="216" spans="2:7" hidden="1" outlineLevel="1" x14ac:dyDescent="0.45">
      <c r="B216" s="61">
        <v>10</v>
      </c>
      <c r="C216" s="59">
        <f ca="1">IF(ISNUMBER($C$103),$C$103+($C$203-$C$103)*10/24,NA())</f>
        <v>488.78089114213503</v>
      </c>
      <c r="D216" s="62">
        <f t="shared" ca="1" si="3"/>
        <v>91</v>
      </c>
      <c r="E216" s="59">
        <f t="shared" ca="1" si="4"/>
        <v>504.86626475386799</v>
      </c>
      <c r="F216" s="60">
        <f t="shared" ca="1" si="5"/>
        <v>3.3068762712303856E-3</v>
      </c>
      <c r="G216" s="60" cm="1">
        <f t="array" aca="1" ref="G216" ca="1">IF(ISNUMBER(D216),IF(D216&gt;=101,INDEX($B$103:$B$203,101),INDEX($B$103:$B$203,D216)+(C216-INDEX($C$103:$C$203,D216))/MAX(0.000000000001,INDEX($C$103:$C$203,D216+1)-INDEX($C$103:$C$203,D216))*(INDEX($B$103:$B$203,D216+1)-INDEX($B$103:$B$203,D216))),NA())</f>
        <v>0.90424899671870007</v>
      </c>
    </row>
    <row r="217" spans="2:7" hidden="1" outlineLevel="1" x14ac:dyDescent="0.45">
      <c r="B217" s="61">
        <v>11</v>
      </c>
      <c r="C217" s="59">
        <f ca="1">IF(ISNUMBER($C$103),$C$103+($C$203-$C$103)*11/24,NA())</f>
        <v>520.95163836560096</v>
      </c>
      <c r="D217" s="62">
        <f t="shared" ca="1" si="3"/>
        <v>91</v>
      </c>
      <c r="E217" s="59">
        <f t="shared" ca="1" si="4"/>
        <v>537.03701197733392</v>
      </c>
      <c r="F217" s="60">
        <f t="shared" ca="1" si="5"/>
        <v>4.0538771243041616E-3</v>
      </c>
      <c r="G217" s="60" cm="1">
        <f t="array" aca="1" ref="G217" ca="1">IF(ISNUMBER(D217),IF(D217&gt;=101,INDEX($B$103:$B$203,101),INDEX($B$103:$B$203,D217)+(C217-INDEX($C$103:$C$203,D217))/MAX(0.000000000001,INDEX($C$103:$C$203,D217+1)-INDEX($C$103:$C$203,D217))*(INDEX($B$103:$B$203,D217+1)-INDEX($B$103:$B$203,D217))),NA())</f>
        <v>0.90755587298993046</v>
      </c>
    </row>
    <row r="218" spans="2:7" hidden="1" outlineLevel="1" x14ac:dyDescent="0.45">
      <c r="B218" s="61">
        <v>12</v>
      </c>
      <c r="C218" s="59">
        <f ca="1">IF(ISNUMBER($C$103),$C$103+($C$203-$C$103)*12/24,NA())</f>
        <v>553.12238558906688</v>
      </c>
      <c r="D218" s="62">
        <f t="shared" ca="1" si="3"/>
        <v>92</v>
      </c>
      <c r="E218" s="59">
        <f t="shared" ca="1" si="4"/>
        <v>569.20775920079973</v>
      </c>
      <c r="F218" s="60">
        <f t="shared" ca="1" si="5"/>
        <v>6.1700944816925896E-3</v>
      </c>
      <c r="G218" s="60" cm="1">
        <f t="array" aca="1" ref="G218" ca="1">IF(ISNUMBER(D218),IF(D218&gt;=101,INDEX($B$103:$B$203,101),INDEX($B$103:$B$203,D218)+(C218-INDEX($C$103:$C$203,D218))/MAX(0.000000000001,INDEX($C$103:$C$203,D218+1)-INDEX($C$103:$C$203,D218))*(INDEX($B$103:$B$203,D218+1)-INDEX($B$103:$B$203,D218))),NA())</f>
        <v>0.91160975011423462</v>
      </c>
    </row>
    <row r="219" spans="2:7" hidden="1" outlineLevel="1" x14ac:dyDescent="0.45">
      <c r="B219" s="61">
        <v>13</v>
      </c>
      <c r="C219" s="59">
        <f ca="1">IF(ISNUMBER($C$103),$C$103+($C$203-$C$103)*13/24,NA())</f>
        <v>585.29313281253269</v>
      </c>
      <c r="D219" s="62">
        <f t="shared" ca="1" si="3"/>
        <v>92</v>
      </c>
      <c r="E219" s="59">
        <f t="shared" ca="1" si="4"/>
        <v>601.37850642426565</v>
      </c>
      <c r="F219" s="60">
        <f t="shared" ca="1" si="5"/>
        <v>7.2487072975950806E-3</v>
      </c>
      <c r="G219" s="60" cm="1">
        <f t="array" aca="1" ref="G219" ca="1">IF(ISNUMBER(D219),IF(D219&gt;=101,INDEX($B$103:$B$203,101),INDEX($B$103:$B$203,D219)+(C219-INDEX($C$103:$C$203,D219))/MAX(0.000000000001,INDEX($C$103:$C$203,D219+1)-INDEX($C$103:$C$203,D219))*(INDEX($B$103:$B$203,D219+1)-INDEX($B$103:$B$203,D219))),NA())</f>
        <v>0.91777984459592721</v>
      </c>
    </row>
    <row r="220" spans="2:7" hidden="1" outlineLevel="1" x14ac:dyDescent="0.45">
      <c r="B220" s="61">
        <v>14</v>
      </c>
      <c r="C220" s="59">
        <f ca="1">IF(ISNUMBER($C$103),$C$103+($C$203-$C$103)*14/24,NA())</f>
        <v>617.46388003599861</v>
      </c>
      <c r="D220" s="62">
        <f t="shared" ca="1" si="3"/>
        <v>93</v>
      </c>
      <c r="E220" s="59">
        <f t="shared" ca="1" si="4"/>
        <v>633.54925364773158</v>
      </c>
      <c r="F220" s="60">
        <f t="shared" ca="1" si="5"/>
        <v>7.6331706961332291E-3</v>
      </c>
      <c r="G220" s="60" cm="1">
        <f t="array" aca="1" ref="G220" ca="1">IF(ISNUMBER(D220),IF(D220&gt;=101,INDEX($B$103:$B$203,101),INDEX($B$103:$B$203,D220)+(C220-INDEX($C$103:$C$203,D220))/MAX(0.000000000001,INDEX($C$103:$C$203,D220+1)-INDEX($C$103:$C$203,D220))*(INDEX($B$103:$B$203,D220+1)-INDEX($B$103:$B$203,D220))),NA())</f>
        <v>0.92502855189352229</v>
      </c>
    </row>
    <row r="221" spans="2:7" hidden="1" outlineLevel="1" x14ac:dyDescent="0.45">
      <c r="B221" s="61">
        <v>15</v>
      </c>
      <c r="C221" s="59">
        <f ca="1">IF(ISNUMBER($C$103),$C$103+($C$203-$C$103)*15/24,NA())</f>
        <v>649.63462725946454</v>
      </c>
      <c r="D221" s="62">
        <f t="shared" ca="1" si="3"/>
        <v>94</v>
      </c>
      <c r="E221" s="59">
        <f t="shared" ca="1" si="4"/>
        <v>665.7200008711975</v>
      </c>
      <c r="F221" s="60">
        <f t="shared" ca="1" si="5"/>
        <v>7.250774080843736E-3</v>
      </c>
      <c r="G221" s="60" cm="1">
        <f t="array" aca="1" ref="G221" ca="1">IF(ISNUMBER(D221),IF(D221&gt;=101,INDEX($B$103:$B$203,101),INDEX($B$103:$B$203,D221)+(C221-INDEX($C$103:$C$203,D221))/MAX(0.000000000001,INDEX($C$103:$C$203,D221+1)-INDEX($C$103:$C$203,D221))*(INDEX($B$103:$B$203,D221+1)-INDEX($B$103:$B$203,D221))),NA())</f>
        <v>0.93266172258965552</v>
      </c>
    </row>
    <row r="222" spans="2:7" hidden="1" outlineLevel="1" x14ac:dyDescent="0.45">
      <c r="B222" s="61">
        <v>16</v>
      </c>
      <c r="C222" s="59">
        <f ca="1">IF(ISNUMBER($C$103),$C$103+($C$203-$C$103)*16/24,NA())</f>
        <v>681.80537448293035</v>
      </c>
      <c r="D222" s="62">
        <f t="shared" ca="1" si="3"/>
        <v>94</v>
      </c>
      <c r="E222" s="59">
        <f t="shared" ca="1" si="4"/>
        <v>697.89074809466331</v>
      </c>
      <c r="F222" s="60">
        <f t="shared" ca="1" si="5"/>
        <v>8.4602901876558168E-3</v>
      </c>
      <c r="G222" s="60" cm="1">
        <f t="array" aca="1" ref="G222" ca="1">IF(ISNUMBER(D222),IF(D222&gt;=101,INDEX($B$103:$B$203,101),INDEX($B$103:$B$203,D222)+(C222-INDEX($C$103:$C$203,D222))/MAX(0.000000000001,INDEX($C$103:$C$203,D222+1)-INDEX($C$103:$C$203,D222))*(INDEX($B$103:$B$203,D222+1)-INDEX($B$103:$B$203,D222))),NA())</f>
        <v>0.93991249667049925</v>
      </c>
    </row>
    <row r="223" spans="2:7" hidden="1" outlineLevel="1" x14ac:dyDescent="0.45">
      <c r="B223" s="61">
        <v>17</v>
      </c>
      <c r="C223" s="59">
        <f ca="1">IF(ISNUMBER($C$103),$C$103+($C$203-$C$103)*17/24,NA())</f>
        <v>713.97612170639627</v>
      </c>
      <c r="D223" s="62">
        <f t="shared" ca="1" si="3"/>
        <v>95</v>
      </c>
      <c r="E223" s="59">
        <f t="shared" ca="1" si="4"/>
        <v>730.06149531812923</v>
      </c>
      <c r="F223" s="60">
        <f t="shared" ca="1" si="5"/>
        <v>9.339966867205507E-3</v>
      </c>
      <c r="G223" s="60" cm="1">
        <f t="array" aca="1" ref="G223" ca="1">IF(ISNUMBER(D223),IF(D223&gt;=101,INDEX($B$103:$B$203,101),INDEX($B$103:$B$203,D223)+(C223-INDEX($C$103:$C$203,D223))/MAX(0.000000000001,INDEX($C$103:$C$203,D223+1)-INDEX($C$103:$C$203,D223))*(INDEX($B$103:$B$203,D223+1)-INDEX($B$103:$B$203,D223))),NA())</f>
        <v>0.94837278685815507</v>
      </c>
    </row>
    <row r="224" spans="2:7" hidden="1" outlineLevel="1" x14ac:dyDescent="0.45">
      <c r="B224" s="61">
        <v>18</v>
      </c>
      <c r="C224" s="59">
        <f ca="1">IF(ISNUMBER($C$103),$C$103+($C$203-$C$103)*18/24,NA())</f>
        <v>746.14686892986219</v>
      </c>
      <c r="D224" s="62">
        <f t="shared" ca="1" si="3"/>
        <v>96</v>
      </c>
      <c r="E224" s="59">
        <f t="shared" ca="1" si="4"/>
        <v>762.23224254159516</v>
      </c>
      <c r="F224" s="60">
        <f t="shared" ca="1" si="5"/>
        <v>1.0701331324157626E-2</v>
      </c>
      <c r="G224" s="60" cm="1">
        <f t="array" aca="1" ref="G224" ca="1">IF(ISNUMBER(D224),IF(D224&gt;=101,INDEX($B$103:$B$203,101),INDEX($B$103:$B$203,D224)+(C224-INDEX($C$103:$C$203,D224))/MAX(0.000000000001,INDEX($C$103:$C$203,D224+1)-INDEX($C$103:$C$203,D224))*(INDEX($B$103:$B$203,D224+1)-INDEX($B$103:$B$203,D224))),NA())</f>
        <v>0.95771275372536058</v>
      </c>
    </row>
    <row r="225" spans="2:7" hidden="1" outlineLevel="1" x14ac:dyDescent="0.45">
      <c r="B225" s="61">
        <v>19</v>
      </c>
      <c r="C225" s="59">
        <f ca="1">IF(ISNUMBER($C$103),$C$103+($C$203-$C$103)*19/24,NA())</f>
        <v>778.31761615332812</v>
      </c>
      <c r="D225" s="62">
        <f t="shared" ca="1" si="3"/>
        <v>97</v>
      </c>
      <c r="E225" s="59">
        <f t="shared" ca="1" si="4"/>
        <v>794.40298976506097</v>
      </c>
      <c r="F225" s="60">
        <f t="shared" ca="1" si="5"/>
        <v>7.6844156327154911E-3</v>
      </c>
      <c r="G225" s="60" cm="1">
        <f t="array" aca="1" ref="G225" ca="1">IF(ISNUMBER(D225),IF(D225&gt;=101,INDEX($B$103:$B$203,101),INDEX($B$103:$B$203,D225)+(C225-INDEX($C$103:$C$203,D225))/MAX(0.000000000001,INDEX($C$103:$C$203,D225+1)-INDEX($C$103:$C$203,D225))*(INDEX($B$103:$B$203,D225+1)-INDEX($B$103:$B$203,D225))),NA())</f>
        <v>0.9684140850495182</v>
      </c>
    </row>
    <row r="226" spans="2:7" hidden="1" outlineLevel="1" x14ac:dyDescent="0.45">
      <c r="B226" s="61">
        <v>20</v>
      </c>
      <c r="C226" s="59">
        <f ca="1">IF(ISNUMBER($C$103),$C$103+($C$203-$C$103)*20/24,NA())</f>
        <v>810.48836337679381</v>
      </c>
      <c r="D226" s="62">
        <f t="shared" ca="1" si="3"/>
        <v>98</v>
      </c>
      <c r="E226" s="59">
        <f t="shared" ca="1" si="4"/>
        <v>826.57373698852678</v>
      </c>
      <c r="F226" s="60">
        <f t="shared" ca="1" si="5"/>
        <v>6.1528630837628384E-3</v>
      </c>
      <c r="G226" s="60" cm="1">
        <f t="array" aca="1" ref="G226" ca="1">IF(ISNUMBER(D226),IF(D226&gt;=101,INDEX($B$103:$B$203,101),INDEX($B$103:$B$203,D226)+(C226-INDEX($C$103:$C$203,D226))/MAX(0.000000000001,INDEX($C$103:$C$203,D226+1)-INDEX($C$103:$C$203,D226))*(INDEX($B$103:$B$203,D226+1)-INDEX($B$103:$B$203,D226))),NA())</f>
        <v>0.97609850068223369</v>
      </c>
    </row>
    <row r="227" spans="2:7" hidden="1" outlineLevel="1" x14ac:dyDescent="0.45">
      <c r="B227" s="61">
        <v>21</v>
      </c>
      <c r="C227" s="59">
        <f ca="1">IF(ISNUMBER($C$103),$C$103+($C$203-$C$103)*21/24,NA())</f>
        <v>842.65911060025974</v>
      </c>
      <c r="D227" s="62">
        <f t="shared" ca="1" si="3"/>
        <v>99</v>
      </c>
      <c r="E227" s="59">
        <f t="shared" ca="1" si="4"/>
        <v>858.7444842119927</v>
      </c>
      <c r="F227" s="60">
        <f t="shared" ca="1" si="5"/>
        <v>4.9815415564002929E-3</v>
      </c>
      <c r="G227" s="60" cm="1">
        <f t="array" aca="1" ref="G227" ca="1">IF(ISNUMBER(D227),IF(D227&gt;=101,INDEX($B$103:$B$203,101),INDEX($B$103:$B$203,D227)+(C227-INDEX($C$103:$C$203,D227))/MAX(0.000000000001,INDEX($C$103:$C$203,D227+1)-INDEX($C$103:$C$203,D227))*(INDEX($B$103:$B$203,D227+1)-INDEX($B$103:$B$203,D227))),NA())</f>
        <v>0.98225136376599653</v>
      </c>
    </row>
    <row r="228" spans="2:7" hidden="1" outlineLevel="1" x14ac:dyDescent="0.45">
      <c r="B228" s="61">
        <v>22</v>
      </c>
      <c r="C228" s="59">
        <f ca="1">IF(ISNUMBER($C$103),$C$103+($C$203-$C$103)*22/24,NA())</f>
        <v>874.82985782372566</v>
      </c>
      <c r="D228" s="62">
        <f t="shared" ca="1" si="3"/>
        <v>99</v>
      </c>
      <c r="E228" s="59">
        <f t="shared" ca="1" si="4"/>
        <v>890.91523143545862</v>
      </c>
      <c r="F228" s="60">
        <f t="shared" ca="1" si="5"/>
        <v>4.3057622968878384E-3</v>
      </c>
      <c r="G228" s="60" cm="1">
        <f t="array" aca="1" ref="G228" ca="1">IF(ISNUMBER(D228),IF(D228&gt;=101,INDEX($B$103:$B$203,101),INDEX($B$103:$B$203,D228)+(C228-INDEX($C$103:$C$203,D228))/MAX(0.000000000001,INDEX($C$103:$C$203,D228+1)-INDEX($C$103:$C$203,D228))*(INDEX($B$103:$B$203,D228+1)-INDEX($B$103:$B$203,D228))),NA())</f>
        <v>0.98723290532239683</v>
      </c>
    </row>
    <row r="229" spans="2:7" hidden="1" outlineLevel="1" x14ac:dyDescent="0.45">
      <c r="B229" s="61">
        <v>23</v>
      </c>
      <c r="C229" s="59">
        <f ca="1">IF(ISNUMBER($C$103),$C$103+($C$203-$C$103)*23/24,NA())</f>
        <v>907.00060504719158</v>
      </c>
      <c r="D229" s="62">
        <f t="shared" ca="1" si="3"/>
        <v>100</v>
      </c>
      <c r="E229" s="59">
        <f t="shared" ca="1" si="4"/>
        <v>923.08597865892455</v>
      </c>
      <c r="F229" s="60">
        <f t="shared" ca="1" si="5"/>
        <v>3.4613323807153318E-3</v>
      </c>
      <c r="G229" s="60" cm="1">
        <f t="array" aca="1" ref="G229" ca="1">IF(ISNUMBER(D229),IF(D229&gt;=101,INDEX($B$103:$B$203,101),INDEX($B$103:$B$203,D229)+(C229-INDEX($C$103:$C$203,D229))/MAX(0.000000000001,INDEX($C$103:$C$203,D229+1)-INDEX($C$103:$C$203,D229))*(INDEX($B$103:$B$203,D229+1)-INDEX($B$103:$B$203,D229))),NA())</f>
        <v>0.99153866761928466</v>
      </c>
    </row>
    <row r="230" spans="2:7" hidden="1" outlineLevel="1" x14ac:dyDescent="0.45">
      <c r="B230" s="61">
        <v>24</v>
      </c>
      <c r="C230" s="59">
        <f ca="1">IF(ISNUMBER($C$103),$C$103+($C$203-$C$103)*24/24,NA())</f>
        <v>939.17135227065751</v>
      </c>
      <c r="D230" s="62">
        <f t="shared" ca="1" si="3"/>
        <v>101</v>
      </c>
      <c r="G230" s="60" cm="1">
        <f t="array" aca="1" ref="G230" ca="1">IF(ISNUMBER(D230),IF(D230&gt;=101,INDEX($B$103:$B$203,101),INDEX($B$103:$B$203,D230)+(C230-INDEX($C$103:$C$203,D230))/MAX(0.000000000001,INDEX($C$103:$C$203,D230+1)-INDEX($C$103:$C$203,D230))*(INDEX($B$103:$B$203,D230+1)-INDEX($B$103:$B$203,D230))),NA())</f>
        <v>0.995</v>
      </c>
    </row>
  </sheetData>
  <mergeCells count="5">
    <mergeCell ref="B42:G42"/>
    <mergeCell ref="B45:G45"/>
    <mergeCell ref="B41:G41"/>
    <mergeCell ref="B43:G43"/>
    <mergeCell ref="B44:G44"/>
  </mergeCells>
  <conditionalFormatting sqref="B7">
    <cfRule type="expression" dxfId="9" priority="2">
      <formula>LEFT($B$7,1)="✗"</formula>
    </cfRule>
  </conditionalFormatting>
  <conditionalFormatting sqref="B6:G6">
    <cfRule type="expression" dxfId="8" priority="1">
      <formula>LEFT($B$6,1)&lt;&gt;"✔"</formula>
    </cfRule>
  </conditionalFormatting>
  <conditionalFormatting sqref="C103:G230">
    <cfRule type="expression" dxfId="7" priority="10">
      <formula>ISNA($C$103)</formula>
    </cfRule>
  </conditionalFormatting>
  <conditionalFormatting sqref="D51:D100">
    <cfRule type="expression" dxfId="6" priority="9">
      <formula>ISNA(D51)</formula>
    </cfRule>
  </conditionalFormatting>
  <conditionalFormatting sqref="G23">
    <cfRule type="expression" dxfId="5" priority="3">
      <formula>LEFT($G$23,1)="✔"</formula>
    </cfRule>
  </conditionalFormatting>
  <conditionalFormatting sqref="G24">
    <cfRule type="expression" dxfId="4" priority="4">
      <formula>LEFT($G$24,1)="✔"</formula>
    </cfRule>
  </conditionalFormatting>
  <conditionalFormatting sqref="G25">
    <cfRule type="expression" dxfId="3" priority="5">
      <formula>LEFT($G$25,1)="✔"</formula>
    </cfRule>
  </conditionalFormatting>
  <conditionalFormatting sqref="G26">
    <cfRule type="expression" dxfId="2" priority="6">
      <formula>LEFT($G$26,1)="✔"</formula>
    </cfRule>
  </conditionalFormatting>
  <conditionalFormatting sqref="G27">
    <cfRule type="expression" dxfId="1" priority="7">
      <formula>LEFT($G$27,1)="✔"</formula>
    </cfRule>
  </conditionalFormatting>
  <conditionalFormatting sqref="G28">
    <cfRule type="expression" dxfId="0" priority="8">
      <formula>LEFT($G$28,1)="✔"</formula>
    </cfRule>
  </conditionalFormatting>
  <hyperlinks>
    <hyperlink ref="B4" location="'Запасы'!A1" display="◂  Запасы" xr:uid="{00000000-0004-0000-0300-000000000000}"/>
  </hyperlinks>
  <printOptions horizontalCentered="1"/>
  <pageMargins left="0.4" right="0.4" top="0.5" bottom="0.6" header="0.25" footer="0.25"/>
  <pageSetup paperSize="9" scale="73" fitToHeight="0" orientation="landscape" r:id="rId1"/>
  <headerFooter>
    <oddFooter>&amp;L&amp;K3F5876&amp;8&amp;F · &amp;A&amp;R&amp;K3F5876&amp;8Page &amp;P of &amp;N</oddFooter>
  </headerFooter>
  <rowBreaks count="1" manualBreakCount="1">
    <brk id="39"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85ADD-313A-4117-8644-8F8C291CDC2A}">
  <dimension ref="A1:B1"/>
  <sheetViews>
    <sheetView workbookViewId="0"/>
  </sheetViews>
  <sheetFormatPr defaultRowHeight="14.25" x14ac:dyDescent="0.45"/>
  <sheetData>
    <row r="1" spans="1:2" x14ac:dyDescent="0.45">
      <c r="A1" s="67" t="s">
        <v>261</v>
      </c>
      <c r="B1">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1869C3-D72D-48FD-851F-2A4EAA7DA75E}">
  <dimension ref="A1"/>
  <sheetViews>
    <sheetView workbookViewId="0"/>
  </sheetViews>
  <sheetFormatPr defaultRowHeight="14.25" x14ac:dyDescent="0.4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BEE5FD-0A2D-4632-AECD-DC5888077F36}">
  <dimension ref="B3:B162"/>
  <sheetViews>
    <sheetView workbookViewId="0"/>
  </sheetViews>
  <sheetFormatPr defaultRowHeight="14.25" x14ac:dyDescent="0.45"/>
  <sheetData>
    <row r="3" spans="2:2" x14ac:dyDescent="0.45">
      <c r="B3">
        <v>65</v>
      </c>
    </row>
    <row r="4" spans="2:2" x14ac:dyDescent="0.45">
      <c r="B4">
        <v>154</v>
      </c>
    </row>
    <row r="5" spans="2:2" x14ac:dyDescent="0.45">
      <c r="B5">
        <v>298</v>
      </c>
    </row>
    <row r="6" spans="2:2" x14ac:dyDescent="0.45">
      <c r="B6">
        <v>330</v>
      </c>
    </row>
    <row r="7" spans="2:2" x14ac:dyDescent="0.45">
      <c r="B7">
        <v>367</v>
      </c>
    </row>
    <row r="8" spans="2:2" x14ac:dyDescent="0.45">
      <c r="B8">
        <v>317</v>
      </c>
    </row>
    <row r="9" spans="2:2" x14ac:dyDescent="0.45">
      <c r="B9">
        <v>237</v>
      </c>
    </row>
    <row r="10" spans="2:2" x14ac:dyDescent="0.45">
      <c r="B10">
        <v>156</v>
      </c>
    </row>
    <row r="11" spans="2:2" x14ac:dyDescent="0.45">
      <c r="B11">
        <v>67</v>
      </c>
    </row>
    <row r="12" spans="2:2" x14ac:dyDescent="0.45">
      <c r="B12">
        <v>9</v>
      </c>
    </row>
    <row r="13" spans="2:2" x14ac:dyDescent="0.45">
      <c r="B13">
        <v>1821</v>
      </c>
    </row>
    <row r="14" spans="2:2" x14ac:dyDescent="0.45">
      <c r="B14">
        <v>0</v>
      </c>
    </row>
    <row r="15" spans="2:2" x14ac:dyDescent="0.45">
      <c r="B15">
        <v>0</v>
      </c>
    </row>
    <row r="16" spans="2:2" x14ac:dyDescent="0.45">
      <c r="B16">
        <v>16</v>
      </c>
    </row>
    <row r="17" spans="2:2" x14ac:dyDescent="0.45">
      <c r="B17">
        <v>30</v>
      </c>
    </row>
    <row r="18" spans="2:2" x14ac:dyDescent="0.45">
      <c r="B18">
        <v>47</v>
      </c>
    </row>
    <row r="19" spans="2:2" x14ac:dyDescent="0.45">
      <c r="B19">
        <v>41</v>
      </c>
    </row>
    <row r="20" spans="2:2" x14ac:dyDescent="0.45">
      <c r="B20">
        <v>26</v>
      </c>
    </row>
    <row r="21" spans="2:2" x14ac:dyDescent="0.45">
      <c r="B21">
        <v>12</v>
      </c>
    </row>
    <row r="22" spans="2:2" x14ac:dyDescent="0.45">
      <c r="B22">
        <v>7</v>
      </c>
    </row>
    <row r="23" spans="2:2" x14ac:dyDescent="0.45">
      <c r="B23">
        <v>1797</v>
      </c>
    </row>
    <row r="24" spans="2:2" x14ac:dyDescent="0.45">
      <c r="B24">
        <v>31</v>
      </c>
    </row>
    <row r="25" spans="2:2" x14ac:dyDescent="0.45">
      <c r="B25">
        <v>16</v>
      </c>
    </row>
    <row r="26" spans="2:2" x14ac:dyDescent="0.45">
      <c r="B26">
        <v>23</v>
      </c>
    </row>
    <row r="27" spans="2:2" x14ac:dyDescent="0.45">
      <c r="B27">
        <v>31</v>
      </c>
    </row>
    <row r="28" spans="2:2" x14ac:dyDescent="0.45">
      <c r="B28">
        <v>47</v>
      </c>
    </row>
    <row r="29" spans="2:2" x14ac:dyDescent="0.45">
      <c r="B29">
        <v>28</v>
      </c>
    </row>
    <row r="30" spans="2:2" x14ac:dyDescent="0.45">
      <c r="B30">
        <v>19</v>
      </c>
    </row>
    <row r="31" spans="2:2" x14ac:dyDescent="0.45">
      <c r="B31">
        <v>5</v>
      </c>
    </row>
    <row r="32" spans="2:2" x14ac:dyDescent="0.45">
      <c r="B32">
        <v>3</v>
      </c>
    </row>
    <row r="33" spans="2:2" x14ac:dyDescent="0.45">
      <c r="B33">
        <v>1797</v>
      </c>
    </row>
    <row r="34" spans="2:2" x14ac:dyDescent="0.45">
      <c r="B34">
        <v>31</v>
      </c>
    </row>
    <row r="35" spans="2:2" x14ac:dyDescent="0.45">
      <c r="B35">
        <v>16</v>
      </c>
    </row>
    <row r="36" spans="2:2" x14ac:dyDescent="0.45">
      <c r="B36">
        <v>23</v>
      </c>
    </row>
    <row r="37" spans="2:2" x14ac:dyDescent="0.45">
      <c r="B37">
        <v>31</v>
      </c>
    </row>
    <row r="38" spans="2:2" x14ac:dyDescent="0.45">
      <c r="B38">
        <v>47</v>
      </c>
    </row>
    <row r="39" spans="2:2" x14ac:dyDescent="0.45">
      <c r="B39">
        <v>28</v>
      </c>
    </row>
    <row r="40" spans="2:2" x14ac:dyDescent="0.45">
      <c r="B40">
        <v>19</v>
      </c>
    </row>
    <row r="41" spans="2:2" x14ac:dyDescent="0.45">
      <c r="B41">
        <v>5</v>
      </c>
    </row>
    <row r="42" spans="2:2" x14ac:dyDescent="0.45">
      <c r="B42">
        <v>3</v>
      </c>
    </row>
    <row r="43" spans="2:2" x14ac:dyDescent="0.45">
      <c r="B43">
        <v>1830</v>
      </c>
    </row>
    <row r="44" spans="2:2" x14ac:dyDescent="0.45">
      <c r="B44">
        <v>14</v>
      </c>
    </row>
    <row r="45" spans="2:2" x14ac:dyDescent="0.45">
      <c r="B45">
        <v>23</v>
      </c>
    </row>
    <row r="46" spans="2:2" x14ac:dyDescent="0.45">
      <c r="B46">
        <v>27</v>
      </c>
    </row>
    <row r="47" spans="2:2" x14ac:dyDescent="0.45">
      <c r="B47">
        <v>34</v>
      </c>
    </row>
    <row r="48" spans="2:2" x14ac:dyDescent="0.45">
      <c r="B48">
        <v>32</v>
      </c>
    </row>
    <row r="49" spans="2:2" x14ac:dyDescent="0.45">
      <c r="B49">
        <v>18</v>
      </c>
    </row>
    <row r="50" spans="2:2" x14ac:dyDescent="0.45">
      <c r="B50">
        <v>17</v>
      </c>
    </row>
    <row r="51" spans="2:2" x14ac:dyDescent="0.45">
      <c r="B51">
        <v>2</v>
      </c>
    </row>
    <row r="52" spans="2:2" x14ac:dyDescent="0.45">
      <c r="B52">
        <v>3</v>
      </c>
    </row>
    <row r="53" spans="2:2" x14ac:dyDescent="0.45">
      <c r="B53">
        <v>1830</v>
      </c>
    </row>
    <row r="54" spans="2:2" x14ac:dyDescent="0.45">
      <c r="B54">
        <v>14</v>
      </c>
    </row>
    <row r="55" spans="2:2" x14ac:dyDescent="0.45">
      <c r="B55">
        <v>23</v>
      </c>
    </row>
    <row r="56" spans="2:2" x14ac:dyDescent="0.45">
      <c r="B56">
        <v>27</v>
      </c>
    </row>
    <row r="57" spans="2:2" x14ac:dyDescent="0.45">
      <c r="B57">
        <v>34</v>
      </c>
    </row>
    <row r="58" spans="2:2" x14ac:dyDescent="0.45">
      <c r="B58">
        <v>32</v>
      </c>
    </row>
    <row r="59" spans="2:2" x14ac:dyDescent="0.45">
      <c r="B59">
        <v>18</v>
      </c>
    </row>
    <row r="60" spans="2:2" x14ac:dyDescent="0.45">
      <c r="B60">
        <v>17</v>
      </c>
    </row>
    <row r="61" spans="2:2" x14ac:dyDescent="0.45">
      <c r="B61">
        <v>2</v>
      </c>
    </row>
    <row r="62" spans="2:2" x14ac:dyDescent="0.45">
      <c r="B62">
        <v>3</v>
      </c>
    </row>
    <row r="63" spans="2:2" x14ac:dyDescent="0.45">
      <c r="B63">
        <v>1854</v>
      </c>
    </row>
    <row r="64" spans="2:2" x14ac:dyDescent="0.45">
      <c r="B64">
        <v>18</v>
      </c>
    </row>
    <row r="65" spans="2:2" x14ac:dyDescent="0.45">
      <c r="B65">
        <v>24</v>
      </c>
    </row>
    <row r="66" spans="2:2" x14ac:dyDescent="0.45">
      <c r="B66">
        <v>31</v>
      </c>
    </row>
    <row r="67" spans="2:2" x14ac:dyDescent="0.45">
      <c r="B67">
        <v>28</v>
      </c>
    </row>
    <row r="68" spans="2:2" x14ac:dyDescent="0.45">
      <c r="B68">
        <v>20</v>
      </c>
    </row>
    <row r="69" spans="2:2" x14ac:dyDescent="0.45">
      <c r="B69">
        <v>17</v>
      </c>
    </row>
    <row r="70" spans="2:2" x14ac:dyDescent="0.45">
      <c r="B70">
        <v>4</v>
      </c>
    </row>
    <row r="71" spans="2:2" x14ac:dyDescent="0.45">
      <c r="B71">
        <v>1</v>
      </c>
    </row>
    <row r="72" spans="2:2" x14ac:dyDescent="0.45">
      <c r="B72">
        <v>3</v>
      </c>
    </row>
    <row r="73" spans="2:2" x14ac:dyDescent="0.45">
      <c r="B73">
        <v>1854</v>
      </c>
    </row>
    <row r="74" spans="2:2" x14ac:dyDescent="0.45">
      <c r="B74">
        <v>18</v>
      </c>
    </row>
    <row r="75" spans="2:2" x14ac:dyDescent="0.45">
      <c r="B75">
        <v>24</v>
      </c>
    </row>
    <row r="76" spans="2:2" x14ac:dyDescent="0.45">
      <c r="B76">
        <v>31</v>
      </c>
    </row>
    <row r="77" spans="2:2" x14ac:dyDescent="0.45">
      <c r="B77">
        <v>28</v>
      </c>
    </row>
    <row r="78" spans="2:2" x14ac:dyDescent="0.45">
      <c r="B78">
        <v>20</v>
      </c>
    </row>
    <row r="79" spans="2:2" x14ac:dyDescent="0.45">
      <c r="B79">
        <v>17</v>
      </c>
    </row>
    <row r="80" spans="2:2" x14ac:dyDescent="0.45">
      <c r="B80">
        <v>4</v>
      </c>
    </row>
    <row r="81" spans="2:2" x14ac:dyDescent="0.45">
      <c r="B81">
        <v>1</v>
      </c>
    </row>
    <row r="82" spans="2:2" x14ac:dyDescent="0.45">
      <c r="B82">
        <v>3</v>
      </c>
    </row>
    <row r="83" spans="2:2" x14ac:dyDescent="0.45">
      <c r="B83">
        <v>1891</v>
      </c>
    </row>
    <row r="84" spans="2:2" x14ac:dyDescent="0.45">
      <c r="B84">
        <v>24</v>
      </c>
    </row>
    <row r="85" spans="2:2" x14ac:dyDescent="0.45">
      <c r="B85">
        <v>25</v>
      </c>
    </row>
    <row r="86" spans="2:2" x14ac:dyDescent="0.45">
      <c r="B86">
        <v>19</v>
      </c>
    </row>
    <row r="87" spans="2:2" x14ac:dyDescent="0.45">
      <c r="B87">
        <v>15</v>
      </c>
    </row>
    <row r="88" spans="2:2" x14ac:dyDescent="0.45">
      <c r="B88">
        <v>11</v>
      </c>
    </row>
    <row r="89" spans="2:2" x14ac:dyDescent="0.45">
      <c r="B89">
        <v>10</v>
      </c>
    </row>
    <row r="90" spans="2:2" x14ac:dyDescent="0.45">
      <c r="B90">
        <v>2</v>
      </c>
    </row>
    <row r="91" spans="2:2" x14ac:dyDescent="0.45">
      <c r="B91">
        <v>1</v>
      </c>
    </row>
    <row r="92" spans="2:2" x14ac:dyDescent="0.45">
      <c r="B92">
        <v>2</v>
      </c>
    </row>
    <row r="93" spans="2:2" x14ac:dyDescent="0.45">
      <c r="B93">
        <v>1891</v>
      </c>
    </row>
    <row r="94" spans="2:2" x14ac:dyDescent="0.45">
      <c r="B94">
        <v>24</v>
      </c>
    </row>
    <row r="95" spans="2:2" x14ac:dyDescent="0.45">
      <c r="B95">
        <v>25</v>
      </c>
    </row>
    <row r="96" spans="2:2" x14ac:dyDescent="0.45">
      <c r="B96">
        <v>19</v>
      </c>
    </row>
    <row r="97" spans="2:2" x14ac:dyDescent="0.45">
      <c r="B97">
        <v>15</v>
      </c>
    </row>
    <row r="98" spans="2:2" x14ac:dyDescent="0.45">
      <c r="B98">
        <v>11</v>
      </c>
    </row>
    <row r="99" spans="2:2" x14ac:dyDescent="0.45">
      <c r="B99">
        <v>10</v>
      </c>
    </row>
    <row r="100" spans="2:2" x14ac:dyDescent="0.45">
      <c r="B100">
        <v>2</v>
      </c>
    </row>
    <row r="101" spans="2:2" x14ac:dyDescent="0.45">
      <c r="B101">
        <v>1</v>
      </c>
    </row>
    <row r="102" spans="2:2" x14ac:dyDescent="0.45">
      <c r="B102">
        <v>2</v>
      </c>
    </row>
    <row r="103" spans="2:2" x14ac:dyDescent="0.45">
      <c r="B103">
        <v>1944</v>
      </c>
    </row>
    <row r="104" spans="2:2" x14ac:dyDescent="0.45">
      <c r="B104">
        <v>11</v>
      </c>
    </row>
    <row r="105" spans="2:2" x14ac:dyDescent="0.45">
      <c r="B105">
        <v>15</v>
      </c>
    </row>
    <row r="106" spans="2:2" x14ac:dyDescent="0.45">
      <c r="B106">
        <v>7</v>
      </c>
    </row>
    <row r="107" spans="2:2" x14ac:dyDescent="0.45">
      <c r="B107">
        <v>11</v>
      </c>
    </row>
    <row r="108" spans="2:2" x14ac:dyDescent="0.45">
      <c r="B108">
        <v>6</v>
      </c>
    </row>
    <row r="109" spans="2:2" x14ac:dyDescent="0.45">
      <c r="B109">
        <v>3</v>
      </c>
    </row>
    <row r="110" spans="2:2" x14ac:dyDescent="0.45">
      <c r="B110">
        <v>0</v>
      </c>
    </row>
    <row r="111" spans="2:2" x14ac:dyDescent="0.45">
      <c r="B111">
        <v>2</v>
      </c>
    </row>
    <row r="112" spans="2:2" x14ac:dyDescent="0.45">
      <c r="B112">
        <v>1</v>
      </c>
    </row>
    <row r="113" spans="2:2" x14ac:dyDescent="0.45">
      <c r="B113">
        <v>1944</v>
      </c>
    </row>
    <row r="114" spans="2:2" x14ac:dyDescent="0.45">
      <c r="B114">
        <v>11</v>
      </c>
    </row>
    <row r="115" spans="2:2" x14ac:dyDescent="0.45">
      <c r="B115">
        <v>15</v>
      </c>
    </row>
    <row r="116" spans="2:2" x14ac:dyDescent="0.45">
      <c r="B116">
        <v>7</v>
      </c>
    </row>
    <row r="117" spans="2:2" x14ac:dyDescent="0.45">
      <c r="B117">
        <v>11</v>
      </c>
    </row>
    <row r="118" spans="2:2" x14ac:dyDescent="0.45">
      <c r="B118">
        <v>6</v>
      </c>
    </row>
    <row r="119" spans="2:2" x14ac:dyDescent="0.45">
      <c r="B119">
        <v>3</v>
      </c>
    </row>
    <row r="120" spans="2:2" x14ac:dyDescent="0.45">
      <c r="B120">
        <v>0</v>
      </c>
    </row>
    <row r="121" spans="2:2" x14ac:dyDescent="0.45">
      <c r="B121">
        <v>2</v>
      </c>
    </row>
    <row r="122" spans="2:2" x14ac:dyDescent="0.45">
      <c r="B122">
        <v>1</v>
      </c>
    </row>
    <row r="123" spans="2:2" x14ac:dyDescent="0.45">
      <c r="B123">
        <v>1976</v>
      </c>
    </row>
    <row r="124" spans="2:2" x14ac:dyDescent="0.45">
      <c r="B124">
        <v>4</v>
      </c>
    </row>
    <row r="125" spans="2:2" x14ac:dyDescent="0.45">
      <c r="B125">
        <v>11</v>
      </c>
    </row>
    <row r="126" spans="2:2" x14ac:dyDescent="0.45">
      <c r="B126">
        <v>2</v>
      </c>
    </row>
    <row r="127" spans="2:2" x14ac:dyDescent="0.45">
      <c r="B127">
        <v>3</v>
      </c>
    </row>
    <row r="128" spans="2:2" x14ac:dyDescent="0.45">
      <c r="B128">
        <v>1</v>
      </c>
    </row>
    <row r="129" spans="2:2" x14ac:dyDescent="0.45">
      <c r="B129">
        <v>0</v>
      </c>
    </row>
    <row r="130" spans="2:2" x14ac:dyDescent="0.45">
      <c r="B130">
        <v>1</v>
      </c>
    </row>
    <row r="131" spans="2:2" x14ac:dyDescent="0.45">
      <c r="B131">
        <v>1</v>
      </c>
    </row>
    <row r="132" spans="2:2" x14ac:dyDescent="0.45">
      <c r="B132">
        <v>1</v>
      </c>
    </row>
    <row r="133" spans="2:2" x14ac:dyDescent="0.45">
      <c r="B133">
        <v>1976</v>
      </c>
    </row>
    <row r="134" spans="2:2" x14ac:dyDescent="0.45">
      <c r="B134">
        <v>4</v>
      </c>
    </row>
    <row r="135" spans="2:2" x14ac:dyDescent="0.45">
      <c r="B135">
        <v>11</v>
      </c>
    </row>
    <row r="136" spans="2:2" x14ac:dyDescent="0.45">
      <c r="B136">
        <v>2</v>
      </c>
    </row>
    <row r="137" spans="2:2" x14ac:dyDescent="0.45">
      <c r="B137">
        <v>3</v>
      </c>
    </row>
    <row r="138" spans="2:2" x14ac:dyDescent="0.45">
      <c r="B138">
        <v>1</v>
      </c>
    </row>
    <row r="139" spans="2:2" x14ac:dyDescent="0.45">
      <c r="B139">
        <v>0</v>
      </c>
    </row>
    <row r="140" spans="2:2" x14ac:dyDescent="0.45">
      <c r="B140">
        <v>1</v>
      </c>
    </row>
    <row r="141" spans="2:2" x14ac:dyDescent="0.45">
      <c r="B141">
        <v>1</v>
      </c>
    </row>
    <row r="142" spans="2:2" x14ac:dyDescent="0.45">
      <c r="B142">
        <v>1</v>
      </c>
    </row>
    <row r="143" spans="2:2" x14ac:dyDescent="0.45">
      <c r="B143">
        <v>416</v>
      </c>
    </row>
    <row r="144" spans="2:2" x14ac:dyDescent="0.45">
      <c r="B144">
        <v>1054</v>
      </c>
    </row>
    <row r="145" spans="2:2" x14ac:dyDescent="0.45">
      <c r="B145">
        <v>330</v>
      </c>
    </row>
    <row r="146" spans="2:2" x14ac:dyDescent="0.45">
      <c r="B146">
        <v>33</v>
      </c>
    </row>
    <row r="147" spans="2:2" x14ac:dyDescent="0.45">
      <c r="B147">
        <v>25</v>
      </c>
    </row>
    <row r="148" spans="2:2" x14ac:dyDescent="0.45">
      <c r="B148">
        <v>38</v>
      </c>
    </row>
    <row r="149" spans="2:2" x14ac:dyDescent="0.45">
      <c r="B149">
        <v>53</v>
      </c>
    </row>
    <row r="150" spans="2:2" x14ac:dyDescent="0.45">
      <c r="B150">
        <v>31</v>
      </c>
    </row>
    <row r="151" spans="2:2" x14ac:dyDescent="0.45">
      <c r="B151">
        <v>17</v>
      </c>
    </row>
    <row r="152" spans="2:2" x14ac:dyDescent="0.45">
      <c r="B152">
        <v>3</v>
      </c>
    </row>
    <row r="153" spans="2:2" x14ac:dyDescent="0.45">
      <c r="B153">
        <v>1132</v>
      </c>
    </row>
    <row r="154" spans="2:2" x14ac:dyDescent="0.45">
      <c r="B154">
        <v>683</v>
      </c>
    </row>
    <row r="155" spans="2:2" x14ac:dyDescent="0.45">
      <c r="B155">
        <v>6</v>
      </c>
    </row>
    <row r="156" spans="2:2" x14ac:dyDescent="0.45">
      <c r="B156">
        <v>11</v>
      </c>
    </row>
    <row r="157" spans="2:2" x14ac:dyDescent="0.45">
      <c r="B157">
        <v>42</v>
      </c>
    </row>
    <row r="158" spans="2:2" x14ac:dyDescent="0.45">
      <c r="B158">
        <v>51</v>
      </c>
    </row>
    <row r="159" spans="2:2" x14ac:dyDescent="0.45">
      <c r="B159">
        <v>41</v>
      </c>
    </row>
    <row r="160" spans="2:2" x14ac:dyDescent="0.45">
      <c r="B160">
        <v>22</v>
      </c>
    </row>
    <row r="161" spans="2:2" x14ac:dyDescent="0.45">
      <c r="B161">
        <v>8</v>
      </c>
    </row>
    <row r="162" spans="2:2" x14ac:dyDescent="0.45">
      <c r="B162">
        <v>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r:ModelRisk xmlns:mr="ModelRisk">
  <mr:Charts xmlns:mr="ModelRisk" enc="base64" len="1300">PABGAEkATABUAEUAUgBTAD4ADQAKADwALwBDAE4AVAA6ADAADQAKAEYASQBMAFQARQBSAFMAPgANAAoAPABQAEEARwBFAFMAPgANAAoAQwBOAFQAOgAy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TgA6ADIADQAKAFQAWQBQAEUAOgAyAA0ACgBOAE0AOgBIAGkAcwB0AG8AZwByAGEAbQAyAA0ACgBTAEkATQBJAEQAOgAwAA0ACgBTAEUATABTADoAMAANAAoAQwBVAFIAUwBFAEwAOgAwAA0ACgA8AE8AUABUAEkATwBOAFMAPgANAAoAQwBOAFQAOgA4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MAGkAbgBlAHMADQAKAFQAUAA6ADAADQAKAFYAQQBMADoAMAANAAoATgBNADoAWQBMAGEAYgBlAGwADQAKAFQAUAA6ADIADQAKAFYAQQBMADoADQAKAE4ATQA6AE8AdgBlAHIAbABhAHkAVgBhAHIAcwANAAoAVABQADoAMAANAAoAVgBBAEwAOgAzAA0ACgA8AC8ATwBQAFQASQBPAE4AUwA+AA0ACgA8AC8AUABBAEcARQBTAD4ADQAKAA==</mr:Charts>
</mr:ModelRisk>
</file>

<file path=customXml/itemProps1.xml><?xml version="1.0" encoding="utf-8"?>
<ds:datastoreItem xmlns:ds="http://schemas.openxmlformats.org/officeDocument/2006/customXml" ds:itemID="{429D9034-4254-4CAA-B16B-FC4C64909915}">
  <ds:schemaRefs>
    <ds:schemaRef ds:uri="ModelRisk"/>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70</vt:i4>
      </vt:variant>
    </vt:vector>
  </HeadingPairs>
  <TitlesOfParts>
    <vt:vector size="77" baseType="lpstr">
      <vt:lpstr>Описание</vt:lpstr>
      <vt:lpstr>Исходные данные</vt:lpstr>
      <vt:lpstr>Запасы</vt:lpstr>
      <vt:lpstr>Результаты</vt:lpstr>
      <vt:lpstr>ModelRiskDSN</vt:lpstr>
      <vt:lpstr>ModelRiskSYS1</vt:lpstr>
      <vt:lpstr>ModelRiskCharts</vt:lpstr>
      <vt:lpstr>AnnDem</vt:lpstr>
      <vt:lpstr>Checks</vt:lpstr>
      <vt:lpstr>Cycles</vt:lpstr>
      <vt:lpstr>DayDem</vt:lpstr>
      <vt:lpstr>DDLT</vt:lpstr>
      <vt:lpstr>DDLT_Mean</vt:lpstr>
      <vt:lpstr>DDLT_SD</vt:lpstr>
      <vt:lpstr>DelayProb</vt:lpstr>
      <vt:lpstr>DemMean</vt:lpstr>
      <vt:lpstr>DemSD</vt:lpstr>
      <vt:lpstr>GamScale</vt:lpstr>
      <vt:lpstr>GamShape</vt:lpstr>
      <vt:lpstr>HoldCost</vt:lpstr>
      <vt:lpstr>HoldRate</vt:lpstr>
      <vt:lpstr>InputMeans</vt:lpstr>
      <vt:lpstr>LeadTime</vt:lpstr>
      <vt:lpstr>LT_Mean</vt:lpstr>
      <vt:lpstr>LT_Var</vt:lpstr>
      <vt:lpstr>LTD_Mean</vt:lpstr>
      <vt:lpstr>LTD_Var</vt:lpstr>
      <vt:lpstr>LTDelay</vt:lpstr>
      <vt:lpstr>LTDelay_Hi</vt:lpstr>
      <vt:lpstr>LTDelay_Lo</vt:lpstr>
      <vt:lpstr>LTDelay_Mean</vt:lpstr>
      <vt:lpstr>LTDelay_ML</vt:lpstr>
      <vt:lpstr>LTN_Mean</vt:lpstr>
      <vt:lpstr>LTN_Var</vt:lpstr>
      <vt:lpstr>LTNormal</vt:lpstr>
      <vt:lpstr>LTNormal_Hi</vt:lpstr>
      <vt:lpstr>LTNormal_Lo</vt:lpstr>
      <vt:lpstr>LTNormal_Mean</vt:lpstr>
      <vt:lpstr>LTNormal_ML</vt:lpstr>
      <vt:lpstr>OrderCost</vt:lpstr>
      <vt:lpstr>OrderQty</vt:lpstr>
      <vt:lpstr>Out_Cost_1</vt:lpstr>
      <vt:lpstr>Out_Cost_2</vt:lpstr>
      <vt:lpstr>Out_Cost_3</vt:lpstr>
      <vt:lpstr>Out_Cost_4</vt:lpstr>
      <vt:lpstr>Out_Cost_5</vt:lpstr>
      <vt:lpstr>Out_Cost_6</vt:lpstr>
      <vt:lpstr>Out_DDLT</vt:lpstr>
      <vt:lpstr>Out_LT</vt:lpstr>
      <vt:lpstr>Out_Short_1</vt:lpstr>
      <vt:lpstr>Out_Short_2</vt:lpstr>
      <vt:lpstr>Out_Short_3</vt:lpstr>
      <vt:lpstr>Out_Short_4</vt:lpstr>
      <vt:lpstr>Out_Short_5</vt:lpstr>
      <vt:lpstr>Out_Short_6</vt:lpstr>
      <vt:lpstr>Results!Print_Area</vt:lpstr>
      <vt:lpstr>Inputs!Print_Titles</vt:lpstr>
      <vt:lpstr>Results!Print_Titles</vt:lpstr>
      <vt:lpstr>ROP_1</vt:lpstr>
      <vt:lpstr>ROP_2</vt:lpstr>
      <vt:lpstr>ROP_3</vt:lpstr>
      <vt:lpstr>ROP_4</vt:lpstr>
      <vt:lpstr>ROP_5</vt:lpstr>
      <vt:lpstr>ROP_6</vt:lpstr>
      <vt:lpstr>ROP_Norm95</vt:lpstr>
      <vt:lpstr>ROP_Norm99</vt:lpstr>
      <vt:lpstr>ROPMin</vt:lpstr>
      <vt:lpstr>ROPStep</vt:lpstr>
      <vt:lpstr>SellDays</vt:lpstr>
      <vt:lpstr>ShortCost</vt:lpstr>
      <vt:lpstr>SS_1</vt:lpstr>
      <vt:lpstr>SS_2</vt:lpstr>
      <vt:lpstr>SS_3</vt:lpstr>
      <vt:lpstr>SS_4</vt:lpstr>
      <vt:lpstr>SS_5</vt:lpstr>
      <vt:lpstr>SS_6</vt:lpstr>
      <vt:lpstr>UnitCost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MF-04 Управление запасами при неопределенном спросе и сроке поставки</dc:title>
  <dc:subject>Библиотека отраслевых примеров МоделРиск — производство</dc:subject>
  <dc:creator>ООО «Стратегия Риска»</dc:creator>
  <cp:keywords>МоделРиск; Монте-Карло; производство</cp:keywords>
  <dc:description>Точка заказа по спросу за неопределенный срок поставки: уровень обслуживания, выполнение спроса и затраты в сравнении с нормальной формулой.</dc:description>
  <cp:lastModifiedBy>ООО «Стратегия Риска»</cp:lastModifiedBy>
  <cp:lastPrinted>2026-10-05T12:29:05Z</cp:lastPrinted>
  <dcterms:created xsi:type="dcterms:W3CDTF">2026-10-05T12:25:25Z</dcterms:created>
  <dcterms:modified xsi:type="dcterms:W3CDTF">2026-10-05T12:29:07Z</dcterms:modified>
</cp:coreProperties>
</file>