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3DDC1593-CC87-4104-875F-4BF1E0F0B2D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Производство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etaA">'Производство'!$D$10</definedName>
    <definedName name="BetaB">'Производство'!$D$11</definedName>
    <definedName name="Checks">'Производство'!$D$56:$D$58</definedName>
    <definedName name="Cost_1">'Производство'!$G$20</definedName>
    <definedName name="Cost_2">'Производство'!$G$21</definedName>
    <definedName name="Cost_3">'Производство'!$G$22</definedName>
    <definedName name="Cost_4">'Производство'!$G$23</definedName>
    <definedName name="Cost_5">'Производство'!$G$24</definedName>
    <definedName name="Cost_6">'Производство'!$G$25</definedName>
    <definedName name="Defects">'Исходные данные'!$D$18</definedName>
    <definedName name="DefRate">'Производство'!$D$12</definedName>
    <definedName name="Exact_1">'Производство'!$H$20</definedName>
    <definedName name="Exact_2">'Производство'!$H$21</definedName>
    <definedName name="Exact_3">'Производство'!$H$22</definedName>
    <definedName name="Exact_4">'Производство'!$H$23</definedName>
    <definedName name="Exact_5">'Производство'!$H$24</definedName>
    <definedName name="Exact_6">'Производство'!$H$25</definedName>
    <definedName name="ExactKnown">'Производство'!$D$32</definedName>
    <definedName name="FocusRun">'Исходные данные'!$D$24</definedName>
    <definedName name="Good_1">'Производство'!$E$20</definedName>
    <definedName name="Good_2">'Производство'!$E$21</definedName>
    <definedName name="Good_3">'Производство'!$E$22</definedName>
    <definedName name="Good_4">'Производство'!$E$23</definedName>
    <definedName name="Good_5">'Производство'!$E$24</definedName>
    <definedName name="Good_6">'Производство'!$E$25</definedName>
    <definedName name="GoodFocus">'Производство'!$D$30</definedName>
    <definedName name="GoodKnown">'Производство'!$D$31</definedName>
    <definedName name="GoodParts">'Производство'!$E$20:$E$25</definedName>
    <definedName name="Inspected">'Исходные данные'!$D$17</definedName>
    <definedName name="Order">'Исходные данные'!$D$10</definedName>
    <definedName name="Out_Cost_1">'Производство'!$D$43</definedName>
    <definedName name="Out_Cost_2">'Производство'!$D$44</definedName>
    <definedName name="Out_Cost_3">'Производство'!$D$45</definedName>
    <definedName name="Out_Cost_4">'Производство'!$D$46</definedName>
    <definedName name="Out_Cost_5">'Производство'!$D$47</definedName>
    <definedName name="Out_Cost_6">'Производство'!$D$48</definedName>
    <definedName name="Out_Good">'Производство'!$D$49</definedName>
    <definedName name="Out_GoodKnown">'Производство'!$D$50</definedName>
    <definedName name="Out_Met_1">'Производство'!$D$37</definedName>
    <definedName name="Out_Met_2">'Производство'!$D$38</definedName>
    <definedName name="Out_Met_3">'Производство'!$D$39</definedName>
    <definedName name="Out_Met_4">'Производство'!$D$40</definedName>
    <definedName name="Out_Met_5">'Производство'!$D$41</definedName>
    <definedName name="Out_Met_6">'Производство'!$D$42</definedName>
    <definedName name="Out_MetFocus">'Производство'!$D$51</definedName>
    <definedName name="Out_MetKnown">'Производство'!$D$52</definedName>
    <definedName name="Penalty">'Исходные данные'!$D$12</definedName>
    <definedName name="_xlnm.Print_Area" localSheetId="3">'Результаты'!$A$1:$R$46</definedName>
    <definedName name="_xlnm.Print_Titles" localSheetId="1">'Исходные данные'!$1:$4</definedName>
    <definedName name="_xlnm.Print_Titles" localSheetId="3">'Результаты'!$1:$4</definedName>
    <definedName name="RateHi">'Производство'!$D$14</definedName>
    <definedName name="RateLo">'Производство'!$D$13</definedName>
    <definedName name="RateObs">'Производство'!$D$9</definedName>
    <definedName name="Run_1">'Производство'!$B$20</definedName>
    <definedName name="Run_2">'Производство'!$B$21</definedName>
    <definedName name="Run_3">'Производство'!$B$22</definedName>
    <definedName name="Run_4">'Производство'!$B$23</definedName>
    <definedName name="Run_5">'Производство'!$B$24</definedName>
    <definedName name="Run_6">'Производство'!$B$25</definedName>
    <definedName name="RunMin">'Исходные данные'!$D$22</definedName>
    <definedName name="RunSizes">'Производство'!$B$20:$B$25</definedName>
    <definedName name="RunStep">'Исходные данные'!$D$23</definedName>
    <definedName name="Short_1">'Производство'!$F$20</definedName>
    <definedName name="Short_2">'Производство'!$F$21</definedName>
    <definedName name="Short_3">'Производство'!$F$22</definedName>
    <definedName name="Short_4">'Производство'!$F$23</definedName>
    <definedName name="Short_5">'Производство'!$F$24</definedName>
    <definedName name="Short_6">'Производство'!$F$25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UnitCost">'Исходные данные'!$D$11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4" l="1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B21" i="4"/>
  <c r="D57" i="3"/>
  <c r="D56" i="3"/>
  <c r="B25" i="3"/>
  <c r="C25" i="3" s="1"/>
  <c r="H25" i="3" s="1" a="1"/>
  <c r="H25" i="3" s="1"/>
  <c r="D18" i="4" s="1"/>
  <c r="B109" i="4"/>
  <c r="B24" i="3"/>
  <c r="B17" i="4" s="1"/>
  <c r="B23" i="3"/>
  <c r="B107" i="4"/>
  <c r="B22" i="3"/>
  <c r="B106" i="4" s="1"/>
  <c r="B21" i="3"/>
  <c r="B105" i="4" s="1"/>
  <c r="C21" i="3"/>
  <c r="H21" i="3" a="1"/>
  <c r="H21" i="3" s="1"/>
  <c r="D14" i="4" s="1"/>
  <c r="B20" i="3"/>
  <c r="D11" i="3"/>
  <c r="D10" i="3"/>
  <c r="H20" i="3" s="1" a="1"/>
  <c r="H20" i="3" s="1"/>
  <c r="D13" i="4" s="1"/>
  <c r="D9" i="3"/>
  <c r="D32" i="3"/>
  <c r="D28" i="4"/>
  <c r="B18" i="4"/>
  <c r="B16" i="4"/>
  <c r="C23" i="3"/>
  <c r="B15" i="4"/>
  <c r="B104" i="4"/>
  <c r="C22" i="3"/>
  <c r="H22" i="3" s="1" a="1"/>
  <c r="H22" i="3" s="1"/>
  <c r="D15" i="4" s="1"/>
  <c r="B14" i="4"/>
  <c r="C20" i="3"/>
  <c r="B13" i="4"/>
  <c r="D31" i="3" a="1"/>
  <c r="D14" i="3" a="1"/>
  <c r="D13" i="3" a="1"/>
  <c r="D12" i="3" a="1"/>
  <c r="H23" i="3" l="1" a="1"/>
  <c r="H23" i="3" s="1"/>
  <c r="D16" i="4" s="1"/>
  <c r="B108" i="4"/>
  <c r="D12" i="3"/>
  <c r="D13" i="3"/>
  <c r="D14" i="3"/>
  <c r="D31" i="3"/>
  <c r="D58" i="3"/>
  <c r="B7" i="4" s="1"/>
  <c r="C24" i="3"/>
  <c r="H24" i="3" s="1" a="1"/>
  <c r="H24" i="3" s="1"/>
  <c r="D17" i="4" s="1"/>
  <c r="D23" i="3" a="1"/>
  <c r="D25" i="3" a="1"/>
  <c r="D21" i="3" a="1"/>
  <c r="D20" i="3" a="1"/>
  <c r="D22" i="3" a="1"/>
  <c r="D24" i="3" a="1"/>
  <c r="D24" i="3" l="1"/>
  <c r="D22" i="3"/>
  <c r="D20" i="3"/>
  <c r="D21" i="3"/>
  <c r="D25" i="3"/>
  <c r="D23" i="3"/>
  <c r="D52" i="3" a="1"/>
  <c r="D52" i="3" s="1"/>
  <c r="D50" i="3" a="1"/>
  <c r="D50" i="3" s="1"/>
  <c r="E76" i="4" a="1"/>
  <c r="E99" i="4" a="1"/>
  <c r="E74" i="4" a="1"/>
  <c r="E65" i="4" a="1"/>
  <c r="E56" i="4" a="1"/>
  <c r="E61" i="4" a="1"/>
  <c r="E100" i="4" a="1"/>
  <c r="E84" i="4" a="1"/>
  <c r="E68" i="4" a="1"/>
  <c r="E52" i="4" a="1"/>
  <c r="E91" i="4" a="1"/>
  <c r="E75" i="4" a="1"/>
  <c r="E59" i="4" a="1"/>
  <c r="E92" i="4" a="1"/>
  <c r="E24" i="4" a="1"/>
  <c r="E97" i="4" a="1"/>
  <c r="E88" i="4" a="1"/>
  <c r="E63" i="4" a="1"/>
  <c r="E70" i="4" a="1"/>
  <c r="E77" i="4" a="1"/>
  <c r="E57" i="4" a="1"/>
  <c r="E67" i="4" a="1"/>
  <c r="E90" i="4" a="1"/>
  <c r="E81" i="4" a="1"/>
  <c r="E95" i="4" a="1"/>
  <c r="E86" i="4" a="1"/>
  <c r="E93" i="4" a="1"/>
  <c r="E82" i="4" a="1"/>
  <c r="G24" i="4" a="1"/>
  <c r="E73" i="4" a="1"/>
  <c r="E96" i="4" a="1"/>
  <c r="E80" i="4" a="1"/>
  <c r="E64" i="4" a="1"/>
  <c r="F24" i="4" a="1"/>
  <c r="E87" i="4" a="1"/>
  <c r="E71" i="4" a="1"/>
  <c r="E55" i="4" a="1"/>
  <c r="E60" i="4" a="1"/>
  <c r="E83" i="4" a="1"/>
  <c r="E58" i="4" a="1"/>
  <c r="D24" i="4" a="1"/>
  <c r="E72" i="4" a="1"/>
  <c r="E79" i="4" a="1"/>
  <c r="E54" i="4" a="1"/>
  <c r="E98" i="4" a="1"/>
  <c r="E66" i="4" a="1"/>
  <c r="E89" i="4" a="1"/>
  <c r="E94" i="4" a="1"/>
  <c r="E78" i="4" a="1"/>
  <c r="E62" i="4" a="1"/>
  <c r="E101" i="4" a="1"/>
  <c r="E85" i="4" a="1"/>
  <c r="E69" i="4" a="1"/>
  <c r="E53" i="4" a="1"/>
  <c r="D27" i="4" a="1"/>
  <c r="D27" i="4" l="1"/>
  <c r="E53" i="4"/>
  <c r="E69" i="4"/>
  <c r="E85" i="4"/>
  <c r="E101" i="4"/>
  <c r="E62" i="4"/>
  <c r="E78" i="4"/>
  <c r="E94" i="4"/>
  <c r="E89" i="4"/>
  <c r="E66" i="4"/>
  <c r="E98" i="4"/>
  <c r="E54" i="4"/>
  <c r="E79" i="4"/>
  <c r="E72" i="4"/>
  <c r="D24" i="4"/>
  <c r="E58" i="4"/>
  <c r="E83" i="4"/>
  <c r="E60" i="4"/>
  <c r="E55" i="4"/>
  <c r="E71" i="4"/>
  <c r="E87" i="4"/>
  <c r="F24" i="4"/>
  <c r="E64" i="4"/>
  <c r="E80" i="4"/>
  <c r="E96" i="4"/>
  <c r="E73" i="4"/>
  <c r="G24" i="4"/>
  <c r="E82" i="4"/>
  <c r="E93" i="4"/>
  <c r="E86" i="4"/>
  <c r="E95" i="4"/>
  <c r="E81" i="4"/>
  <c r="E90" i="4"/>
  <c r="E67" i="4"/>
  <c r="E57" i="4"/>
  <c r="E77" i="4"/>
  <c r="E70" i="4"/>
  <c r="E63" i="4"/>
  <c r="E88" i="4"/>
  <c r="E97" i="4"/>
  <c r="E24" i="4"/>
  <c r="E92" i="4"/>
  <c r="E59" i="4"/>
  <c r="E75" i="4"/>
  <c r="E91" i="4"/>
  <c r="E52" i="4"/>
  <c r="E68" i="4"/>
  <c r="E84" i="4"/>
  <c r="E100" i="4"/>
  <c r="E61" i="4"/>
  <c r="E56" i="4"/>
  <c r="E65" i="4"/>
  <c r="E74" i="4"/>
  <c r="E99" i="4"/>
  <c r="E76" i="4"/>
  <c r="E23" i="3"/>
  <c r="F23" i="3"/>
  <c r="F25" i="3"/>
  <c r="E25" i="3"/>
  <c r="E22" i="3"/>
  <c r="F22" i="3"/>
  <c r="F21" i="3"/>
  <c r="E21" i="3"/>
  <c r="D30" i="3" s="1"/>
  <c r="F20" i="3"/>
  <c r="E20" i="3"/>
  <c r="F24" i="3"/>
  <c r="E24" i="3"/>
  <c r="D49" i="3" l="1" a="1"/>
  <c r="D49" i="3" s="1"/>
  <c r="D51" i="3" a="1"/>
  <c r="D51" i="3" s="1"/>
  <c r="D38" i="3" a="1"/>
  <c r="D38" i="3" s="1"/>
  <c r="G21" i="3"/>
  <c r="D39" i="3" a="1"/>
  <c r="D39" i="3" s="1"/>
  <c r="G22" i="3"/>
  <c r="D41" i="3" a="1"/>
  <c r="D41" i="3" s="1"/>
  <c r="G24" i="3"/>
  <c r="D42" i="3" a="1"/>
  <c r="D42" i="3" s="1"/>
  <c r="G25" i="3"/>
  <c r="G23" i="3"/>
  <c r="D40" i="3" a="1"/>
  <c r="D40" i="3" s="1"/>
  <c r="G20" i="3"/>
  <c r="D37" i="3" a="1"/>
  <c r="D37" i="3" s="1"/>
  <c r="F23" i="4" a="1"/>
  <c r="D71" i="4" a="1"/>
  <c r="D73" i="4" a="1"/>
  <c r="E23" i="4" a="1"/>
  <c r="D23" i="4" a="1"/>
  <c r="B6" i="4" a="1"/>
  <c r="D62" i="4" a="1"/>
  <c r="D94" i="4" a="1"/>
  <c r="D60" i="4" a="1"/>
  <c r="D55" i="4" a="1"/>
  <c r="D77" i="4" a="1"/>
  <c r="D91" i="4" a="1"/>
  <c r="D67" i="4" a="1"/>
  <c r="D86" i="4" a="1"/>
  <c r="D100" i="4" a="1"/>
  <c r="D65" i="4" a="1"/>
  <c r="D64" i="4" a="1"/>
  <c r="D80" i="4" a="1"/>
  <c r="D53" i="4" a="1"/>
  <c r="D58" i="4" a="1"/>
  <c r="D83" i="4" a="1"/>
  <c r="D70" i="4" a="1"/>
  <c r="D75" i="4" a="1"/>
  <c r="D66" i="4" a="1"/>
  <c r="D82" i="4" a="1"/>
  <c r="D97" i="4" a="1"/>
  <c r="D61" i="4" a="1"/>
  <c r="D78" i="4" a="1"/>
  <c r="D76" i="4" a="1"/>
  <c r="D95" i="4" a="1"/>
  <c r="G23" i="4" a="1"/>
  <c r="D90" i="4" a="1"/>
  <c r="D74" i="4" a="1"/>
  <c r="D56" i="4" a="1"/>
  <c r="D87" i="4" a="1"/>
  <c r="D69" i="4" a="1"/>
  <c r="D63" i="4" a="1"/>
  <c r="D52" i="4" a="1"/>
  <c r="D84" i="4" a="1"/>
  <c r="D101" i="4" a="1"/>
  <c r="D98" i="4" a="1"/>
  <c r="D93" i="4" a="1"/>
  <c r="D57" i="4" a="1"/>
  <c r="D96" i="4" a="1"/>
  <c r="D85" i="4" a="1"/>
  <c r="D89" i="4" a="1"/>
  <c r="D92" i="4" a="1"/>
  <c r="D59" i="4" a="1"/>
  <c r="D68" i="4" a="1"/>
  <c r="D88" i="4" a="1"/>
  <c r="D72" i="4" a="1"/>
  <c r="D54" i="4" a="1"/>
  <c r="D79" i="4" a="1"/>
  <c r="D99" i="4" a="1"/>
  <c r="D81" i="4" a="1"/>
  <c r="C18" i="4" a="1"/>
  <c r="C13" i="4" a="1"/>
  <c r="D26" i="4" a="1"/>
  <c r="C109" i="4" a="1"/>
  <c r="C15" i="4" a="1"/>
  <c r="C108" i="4" a="1"/>
  <c r="C14" i="4" a="1"/>
  <c r="C107" i="4" a="1"/>
  <c r="C104" i="4" a="1"/>
  <c r="C106" i="4" a="1"/>
  <c r="C17" i="4" a="1"/>
  <c r="C105" i="4" a="1"/>
  <c r="C16" i="4" a="1"/>
  <c r="C16" i="4" l="1"/>
  <c r="C105" i="4"/>
  <c r="C17" i="4"/>
  <c r="C106" i="4"/>
  <c r="C104" i="4"/>
  <c r="C107" i="4"/>
  <c r="C14" i="4"/>
  <c r="C108" i="4"/>
  <c r="C15" i="4"/>
  <c r="C109" i="4"/>
  <c r="D26" i="4"/>
  <c r="C13" i="4"/>
  <c r="C18" i="4"/>
  <c r="D81" i="4"/>
  <c r="D99" i="4"/>
  <c r="D79" i="4"/>
  <c r="D54" i="4"/>
  <c r="D72" i="4"/>
  <c r="D88" i="4"/>
  <c r="D68" i="4"/>
  <c r="D59" i="4"/>
  <c r="D92" i="4"/>
  <c r="D89" i="4"/>
  <c r="D85" i="4"/>
  <c r="D96" i="4"/>
  <c r="D57" i="4"/>
  <c r="D93" i="4"/>
  <c r="D98" i="4"/>
  <c r="D101" i="4"/>
  <c r="D84" i="4"/>
  <c r="D52" i="4"/>
  <c r="D63" i="4"/>
  <c r="D69" i="4"/>
  <c r="D87" i="4"/>
  <c r="D56" i="4"/>
  <c r="D74" i="4"/>
  <c r="D90" i="4"/>
  <c r="G23" i="4"/>
  <c r="D95" i="4"/>
  <c r="D76" i="4"/>
  <c r="D78" i="4"/>
  <c r="D61" i="4"/>
  <c r="D97" i="4"/>
  <c r="D82" i="4"/>
  <c r="D66" i="4"/>
  <c r="D75" i="4"/>
  <c r="D70" i="4"/>
  <c r="D83" i="4"/>
  <c r="D58" i="4"/>
  <c r="D53" i="4"/>
  <c r="D80" i="4"/>
  <c r="D64" i="4"/>
  <c r="D65" i="4"/>
  <c r="D100" i="4"/>
  <c r="D86" i="4"/>
  <c r="D67" i="4"/>
  <c r="D91" i="4"/>
  <c r="D77" i="4"/>
  <c r="D55" i="4"/>
  <c r="D60" i="4"/>
  <c r="D94" i="4"/>
  <c r="D62" i="4"/>
  <c r="B6" i="4"/>
  <c r="D23" i="4"/>
  <c r="E23" i="4"/>
  <c r="D73" i="4"/>
  <c r="D71" i="4"/>
  <c r="F23" i="4"/>
  <c r="D44" i="3" a="1"/>
  <c r="D44" i="3" s="1"/>
  <c r="D45" i="3" a="1"/>
  <c r="D45" i="3" s="1"/>
  <c r="D43" i="3" a="1"/>
  <c r="D43" i="3" s="1"/>
  <c r="D46" i="3" a="1"/>
  <c r="D46" i="3" s="1"/>
  <c r="D47" i="3" a="1"/>
  <c r="D47" i="3" s="1"/>
  <c r="D48" i="3" a="1"/>
  <c r="D48" i="3" s="1"/>
  <c r="F17" i="4" a="1"/>
  <c r="E17" i="4" a="1"/>
  <c r="E16" i="4" a="1"/>
  <c r="F16" i="4" a="1"/>
  <c r="E18" i="4" a="1"/>
  <c r="F18" i="4" a="1"/>
  <c r="F13" i="4" a="1"/>
  <c r="E13" i="4" a="1"/>
  <c r="F14" i="4" a="1"/>
  <c r="E14" i="4" a="1"/>
  <c r="F15" i="4" a="1"/>
  <c r="E15" i="4" a="1"/>
  <c r="E15" i="4" l="1"/>
  <c r="F15" i="4"/>
  <c r="E14" i="4"/>
  <c r="F14" i="4"/>
  <c r="E13" i="4"/>
  <c r="F13" i="4"/>
  <c r="F18" i="4"/>
  <c r="E18" i="4"/>
  <c r="G18" i="4" s="1"/>
  <c r="F16" i="4"/>
  <c r="E16" i="4"/>
  <c r="E17" i="4"/>
  <c r="F17" i="4"/>
  <c r="G13" i="4" l="1"/>
  <c r="G17" i="4"/>
  <c r="G14" i="4"/>
  <c r="G16" i="4"/>
  <c r="G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<sst xmlns="http://schemas.openxmlformats.org/spreadsheetml/2006/main" count="295" uniqueCount="229">
  <si>
    <t xml:space="preserve">Выход годных и брак</t>
  </si>
  <si>
    <t xml:space="preserve">Пример МоделРиск  ·  Производство  ·  MF-01</t>
  </si>
  <si>
    <t xml:space="preserve">Сколько деталей нужно изготовить, чтобы поставить 4800 годных?  Неопределенная доля брака и размер партии, который окупается.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</si>
  <si>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</si>
  <si>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</si>
  <si>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</si>
  <si>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Производство</t>
  </si>
  <si>
    <t xml:space="preserve">Сложность</t>
  </si>
  <si>
    <t xml:space="preserve">★☆☆☆☆   Доля брака, известная лишь по выборке, биномиальное число бракованных деталей и размер партии, который выполняет заказ.</t>
  </si>
  <si>
    <t xml:space="preserve">Вопрос бизнеса</t>
  </si>
  <si>
    <t xml:space="preserve">Завод должен поставить 4800 годных прецизионных деталей. Проверка последних 400 деталей выявила 12 бракованных. Сколько годных деталей даст партия в 5000, насколько вероятно, что она выполнит заказ, и какой размер партии дает наименьшие ожидаемые затраты с учетом цены недопоставки?</t>
  </si>
  <si>
    <t xml:space="preserve">Для кого</t>
  </si>
  <si>
    <t xml:space="preserve">Плановикам производства, инженерам по качеству, руководителям производства; первая модель в МоделРиск.</t>
  </si>
  <si>
    <t xml:space="preserve">Основные результаты</t>
  </si>
  <si>
    <t xml:space="preserve">Вероятность выполнить заказ и ожидаемые затраты для шести размеров партии, по моделированию и точно · число годных деталей в подробно рассматриваемой партии (5000 в исходной версии) с неопределенной долей брака и как если бы она была известна.</t>
  </si>
  <si>
    <t xml:space="preserve">Приемы МоделРиск</t>
  </si>
  <si>
    <t xml:space="preserve">Доля брака как бета-распределение по данным контроля (VoseBeta) · брак в партии как биномиальное распределение (VoseBinomial) · точная вероятность по бета-биномиальному распределению (VoseBetaBinomialProb) · шесть размеров партии в одном моделировании.</t>
  </si>
  <si>
    <t xml:space="preserve">Файл</t>
  </si>
  <si>
    <t xml:space="preserve">MF-01 Выход годных и брак  ·  Версия 1.0  ·  Ноябрь 2026  ·  создано в МоделРиск</t>
  </si>
  <si>
    <t xml:space="preserve">Вопрос бизнеса</t>
  </si>
  <si>
    <t xml:space="preserve">Завод выпускает прецизионные детали партиями. Текущий заказ — 4800 годных деталей. Изготовление каждой детали стоит 40 долл., годная она или нет, а каждая недопоставленная деталь стоит 250 долл. — срочный повторный запуск и штраф по договору. Последнюю партию проверили поштучно: 12 из 400 бракованные, значит, доля брака около 3% — но только около: 400 деталей не позволяют определить ее точно. Внутри партии брак тоже возникает случайно. Плановику нужен размер партии, который уравновешивает затраты на лишние детали и затраты на нехватку.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</si>
  <si>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</si>
  <si>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</si>
  <si>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</si>
  <si>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Число заказанных деталей, стоимость детали и недопоставленной детали; число проверенных деталей и найденный брак; наименьший размер партии и шаг между сравниваемыми размерами; размер партии для подробного рассмотрения.</t>
  </si>
  <si>
    <t xml:space="preserve">2  Производство</t>
  </si>
  <si>
    <t xml:space="preserve">Доля брака — Beta(брак + 1, годные + 1): то, что о ней говорят 400 проверенных деталей. Для каждого размера партии число бракованных деталей разыгрывается по биномиальному распределению с этой долей; из этого следуют годные детали, недопоставка и затраты. Точная вероятность выполнить заказ берется из бета-биномиального распределения.</t>
  </si>
  <si>
    <t xml:space="preserve">3  Результаты</t>
  </si>
  <si>
    <t xml:space="preserve">Для каждого размера партии — вероятность выполнить заказ и ожидаемые затраты на графике; годные детали в подробно рассматриваемой партии с неопределенной долей брака и как если бы она была известна.</t>
  </si>
  <si>
    <t xml:space="preserve">Как пользоваться моделью</t>
  </si>
  <si>
    <t xml:space="preserve">Шаг 1</t>
  </si>
  <si>
    <t xml:space="preserve">Введите заказ, стоимость детали и стоимость недопоставленной детали.</t>
  </si>
  <si>
    <t xml:space="preserve">Шаг 2</t>
  </si>
  <si>
    <t xml:space="preserve">Введите, сколько деталей проверено и сколько оказались бракованными.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</si>
  <si>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</si>
  <si>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</si>
  <si>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</si>
  <si>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Выберите размер партии с наименьшими ожидаемыми затратами и проверьте его вероятность выполнить заказ.</t>
  </si>
  <si>
    <t xml:space="preserve">Структура модели</t>
  </si>
  <si>
    <t xml:space="preserve">Исходные данные</t>
  </si>
  <si>
    <t xml:space="preserve">Заказ, затраты, данные контроля, размеры партии.</t>
  </si>
  <si>
    <t xml:space="preserve">Производство</t>
  </si>
  <si>
    <t xml:space="preserve">Доля брака; брак, годные детали и затраты для каждого размера партии; выходы и проверки.</t>
  </si>
  <si>
    <t xml:space="preserve">Результаты</t>
  </si>
  <si>
    <t xml:space="preserve">Вероятность выполнить заказ и ожидаемые затраты по размерам партии; годные детали.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</si>
  <si>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</si>
  <si>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</si>
  <si>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</si>
  <si>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</si>
  <si>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</si>
  <si>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</si>
  <si>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</si>
  <si>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</si>
  <si>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</si>
  <si>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</si>
  <si>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</si>
  <si>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</si>
  <si>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</si>
  <si>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долл.; итоги в тыс. долл.</t>
  </si>
  <si>
    <t xml:space="preserve">Доля брака</t>
  </si>
  <si>
    <t xml:space="preserve">Доля деталей, которые выходят бракованными.</t>
  </si>
  <si>
    <t xml:space="preserve">Размер партии</t>
  </si>
  <si>
    <t xml:space="preserve">Число запущенных деталей; годные = размер партии − брак.</t>
  </si>
  <si>
    <t xml:space="preserve">Основные допущения и ограничения</t>
  </si>
  <si>
    <t xml:space="preserve">Брак</t>
  </si>
  <si>
    <t xml:space="preserve">Каждая деталь бракуется независимо, с одной и той же долей внутри партии.</t>
  </si>
  <si>
    <t xml:space="preserve">Ставка</t>
  </si>
  <si>
    <t xml:space="preserve">Проверенная партия представляет процесс; с тех пор ничего не изменилось.</t>
  </si>
  <si>
    <t xml:space="preserve">Затраты</t>
  </si>
  <si>
    <t xml:space="preserve">Каждая изготовленная деталь стоит одинаково; лишние годные детали ничего не стоят; каждая недопоставленная деталь стоит одинаково.</t>
  </si>
  <si>
    <t xml:space="preserve">Данные</t>
  </si>
  <si>
    <t xml:space="preserve">Завод и все цифры придуманы для этого примера.</t>
  </si>
  <si>
    <t xml:space="preserve">Функции МоделРиск в модели</t>
  </si>
  <si>
    <t>VoseBeta</t>
  </si>
  <si>
    <t xml:space="preserve">Неопределенная доля брака по числу бракованных деталей в выборке.</t>
  </si>
  <si>
    <t>VoseBinomial</t>
  </si>
  <si>
    <t xml:space="preserve">Число бракованных деталей в партии.</t>
  </si>
  <si>
    <t>VoseBetaBinomialProb</t>
  </si>
  <si>
    <t xml:space="preserve">Точная вероятность не более заданного числа бракованных деталей, когда сама доля неопределенна.</t>
  </si>
  <si>
    <t>VoseSimMean, VoseSimPercentile</t>
  </si>
  <si>
    <t xml:space="preserve">Статистика моделирования на листе «Результаты».</t>
  </si>
  <si>
    <t xml:space="preserve">Что почитать</t>
  </si>
  <si>
    <t xml:space="preserve">Неопределенность и изменчивость</t>
  </si>
  <si>
    <t xml:space="preserve">Метод Монте-Карло в анализе рисков (статья)</t>
  </si>
  <si>
    <t xml:space="preserve">Статистический контроль качества</t>
  </si>
  <si>
    <t>Montgomery, D. C. (2019). Introduction to Statistical Quality Control, 8th edition. Wiley.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</si>
  <si>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</si>
  <si>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</si>
  <si>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</si>
  <si>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Производство  ▸</t>
  </si>
  <si>
    <t xml:space="preserve">Как читать этот лист:  желтые ячейки — исходные данные.</t>
  </si>
  <si>
    <t xml:space="preserve">1   Заказ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</si>
  <si>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</si>
  <si>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</si>
  <si>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</si>
  <si>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</si>
  <si>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</si>
  <si>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Заказано годных деталей</t>
  </si>
  <si>
    <t xml:space="preserve">деталей</t>
  </si>
  <si>
    <t xml:space="preserve">Константа</t>
  </si>
  <si>
    <t xml:space="preserve">Срок — конец месяца.</t>
  </si>
  <si>
    <t xml:space="preserve">Стоимость изготовления одной детали</t>
  </si>
  <si>
    <t xml:space="preserve">долл.</t>
  </si>
  <si>
    <t xml:space="preserve">Материал, машинное время и труд; годная деталь или нет.</t>
  </si>
  <si>
    <t xml:space="preserve">Стоимость каждой недопоставленной детали</t>
  </si>
  <si>
    <t xml:space="preserve">долл. за деталь</t>
  </si>
  <si>
    <t xml:space="preserve">Срочный повторный запуск и штраф по договору.</t>
  </si>
  <si>
    <t xml:space="preserve">2   Данные контроля</t>
  </si>
  <si>
    <t xml:space="preserve">Последняя партия, проверенная поштучно.</t>
  </si>
  <si>
    <t xml:space="preserve">Проверено деталей</t>
  </si>
  <si>
    <t xml:space="preserve">Найдено бракованных деталей</t>
  </si>
  <si>
    <t xml:space="preserve">3   Сравниваемые размеры партии</t>
  </si>
  <si>
    <t xml:space="preserve">Наименьший размер партии</t>
  </si>
  <si>
    <t xml:space="preserve">Сравниваются шесть размеров.</t>
  </si>
  <si>
    <t xml:space="preserve">Шаг между размерами партии</t>
  </si>
  <si>
    <t xml:space="preserve">Размер партии для подробного рассмотрения</t>
  </si>
  <si>
    <t xml:space="preserve">Один из шести: его годные детали с неопределенной и известной долей брака.</t>
  </si>
  <si>
    <t xml:space="preserve">ПРОИЗВОДСТВО   ·   Неопределенная доля брака и брак, годные детали и затраты для каждого размера партии.</t>
  </si>
  <si>
    <t xml:space="preserve">◂  Исходные данные</t>
  </si>
  <si>
    <t xml:space="preserve">Далее:  Результаты  ▸</t>
  </si>
  <si>
    <t xml:space="preserve">1   Доля брака</t>
  </si>
  <si>
    <t xml:space="preserve">Что 400 проверенных деталей могут сказать о процессе.</t>
  </si>
  <si>
    <t xml:space="preserve">Величина</t>
  </si>
  <si>
    <t xml:space="preserve">Значение</t>
  </si>
  <si>
    <t xml:space="preserve">Как рассчитывается</t>
  </si>
  <si>
    <t xml:space="preserve">Доля брака в проверенной партии</t>
  </si>
  <si>
    <t xml:space="preserve">Найденный брак ÷ проверено деталей</t>
  </si>
  <si>
    <t xml:space="preserve">Бета α</t>
  </si>
  <si>
    <t xml:space="preserve">Брак + 1</t>
  </si>
  <si>
    <t xml:space="preserve">Бета β</t>
  </si>
  <si>
    <t xml:space="preserve">Годные + 1</t>
  </si>
  <si>
    <t xml:space="preserve">Доля брака процесса</t>
  </si>
  <si>
    <t xml:space="preserve">VoseBeta(α, β): правдоподобные доли с учетом контроля</t>
  </si>
  <si>
    <t xml:space="preserve">   5-й процентиль</t>
  </si>
  <si>
    <t xml:space="preserve">Доля правдоподобно может быть такой низкой …</t>
  </si>
  <si>
    <t xml:space="preserve">   95-й процентиль</t>
  </si>
  <si>
    <t xml:space="preserve">… или такой высокой</t>
  </si>
  <si>
    <t xml:space="preserve">2   Каждый размер партии</t>
  </si>
  <si>
    <t xml:space="preserve">Брак разыгрывается по доле этой итерации (VoseBinomial); нажмите F9, чтобы разыграть снова.</t>
  </si>
  <si>
    <t xml:space="preserve">Брак</t>
  </si>
  <si>
    <t xml:space="preserve">Годные</t>
  </si>
  <si>
    <t xml:space="preserve">Нехватка</t>
  </si>
  <si>
    <t xml:space="preserve">Стоимость</t>
  </si>
  <si>
    <t xml:space="preserve">Точная вероятность</t>
  </si>
  <si>
    <t xml:space="preserve">допустимо</t>
  </si>
  <si>
    <t xml:space="preserve">тыс. долл.</t>
  </si>
  <si>
    <t xml:space="preserve">выполнить</t>
  </si>
  <si>
    <t xml:space="preserve">Допустимый брак: размер партии − заказ, наибольшее число, при котором заказ еще выполнен</t>
  </si>
  <si>
    <t xml:space="preserve">Брак: VoseBinomial(размер партии, доля брака)</t>
  </si>
  <si>
    <t xml:space="preserve">Нехватка: брак сверх допустимого</t>
  </si>
  <si>
    <t xml:space="preserve">Затраты: размер партии × стоимость детали + недопоставленные детали × стоимость недопоставленной детали</t>
  </si>
  <si>
    <t xml:space="preserve">Точная вероятность: P(брак ≤ допустимого), VoseBetaBinomialProb</t>
  </si>
  <si>
    <t xml:space="preserve">3   Подробно рассматриваемая партия</t>
  </si>
  <si>
    <t xml:space="preserve">Размер партии с листа «Исходные данные»: ее годные детали с неопределенной долей и как если бы доля была точно известна (только случайная изменчивость).</t>
  </si>
  <si>
    <t xml:space="preserve">Годные детали, доля неопределенна</t>
  </si>
  <si>
    <t xml:space="preserve">Ее строка в таблице выше</t>
  </si>
  <si>
    <t xml:space="preserve">Годные детали, доля известна</t>
  </si>
  <si>
    <t xml:space="preserve">VoseBinomial(размер партии, доля по контролю)</t>
  </si>
  <si>
    <t xml:space="preserve">Точная вероятность выполнить заказ, доля известна</t>
  </si>
  <si>
    <t xml:space="preserve">Биномиальное распределение, функция Excel БИНОМ.РАСП</t>
  </si>
  <si>
    <t xml:space="preserve">4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</si>
  <si>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</si>
  <si>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</si>
  <si>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</si>
  <si>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Заказ выполнен?  партия 1  (1 — да)</t>
  </si>
  <si>
    <t>1 / 0</t>
  </si>
  <si>
    <t xml:space="preserve">Заказ выполнен?  партия 2  (1 — да)</t>
  </si>
  <si>
    <t xml:space="preserve">Заказ выполнен?  партия 3  (1 — да)</t>
  </si>
  <si>
    <t xml:space="preserve">Заказ выполнен?  партия 4  (1 — да)</t>
  </si>
  <si>
    <t xml:space="preserve">Заказ выполнен?  партия 5  (1 — да)</t>
  </si>
  <si>
    <t xml:space="preserve">Заказ выполнен?  партия 6  (1 — да)</t>
  </si>
  <si>
    <t xml:space="preserve">Затраты: партия 1</t>
  </si>
  <si>
    <t xml:space="preserve">Затраты: партия 2</t>
  </si>
  <si>
    <t xml:space="preserve">Затраты: партия 3</t>
  </si>
  <si>
    <t xml:space="preserve">Затраты: партия 4</t>
  </si>
  <si>
    <t xml:space="preserve">Затраты: партия 5</t>
  </si>
  <si>
    <t xml:space="preserve">Затраты: партия 6</t>
  </si>
  <si>
    <t xml:space="preserve">Годные детали: подробно рассматриваемая партия</t>
  </si>
  <si>
    <t xml:space="preserve">Доля брака неопределенна</t>
  </si>
  <si>
    <t xml:space="preserve">Годные детали: подробно рассматриваемая партия, доля известна</t>
  </si>
  <si>
    <t xml:space="preserve">Доля брака точно известна</t>
  </si>
  <si>
    <t xml:space="preserve">Заказ выполнен?  подробно рассматриваемая партия  (1 — да)</t>
  </si>
  <si>
    <t xml:space="preserve">Заказ выполнен?  доля известна  (1 — да)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</si>
  <si>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</si>
  <si>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</si>
  <si>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Найденный брак не больше числа проверенных деталей</t>
  </si>
  <si>
    <t xml:space="preserve">Наименьшая партия не меньше заказа</t>
  </si>
  <si>
    <t xml:space="preserve">Подробно рассматриваемая партия — один из шести размеров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</si>
  <si>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</si>
  <si>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Производство</t>
  </si>
  <si>
    <t xml:space="preserve">1   Какой размер партии?</t>
  </si>
  <si>
    <t xml:space="preserve">Ожидаемые затраты по размеру партии</t>
  </si>
  <si>
    <t xml:space="preserve">Вероятность выполнить заказ и ожидаемые затраты на изготовление деталей и на недопоставку.</t>
  </si>
  <si>
    <t xml:space="preserve">Размер партии  (деталей)</t>
  </si>
  <si>
    <t xml:space="preserve">Вероятность</t>
  </si>
  <si>
    <t xml:space="preserve">Точно</t>
  </si>
  <si>
    <t xml:space="preserve">Ожидаемое</t>
  </si>
  <si>
    <t xml:space="preserve">95-й проц.</t>
  </si>
  <si>
    <t xml:space="preserve">Самое низкое</t>
  </si>
  <si>
    <t xml:space="preserve">выполнить</t>
  </si>
  <si>
    <t xml:space="preserve">вероятность</t>
  </si>
  <si>
    <t xml:space="preserve">затраты, тыс. долл.</t>
  </si>
  <si>
    <t xml:space="preserve">стоимость</t>
  </si>
  <si>
    <t xml:space="preserve">2   Сколько годных деталей?</t>
  </si>
  <si>
    <t xml:space="preserve">Показатель</t>
  </si>
  <si>
    <t xml:space="preserve">5-й проц.</t>
  </si>
  <si>
    <t xml:space="preserve">Медиана</t>
  </si>
  <si>
    <t xml:space="preserve">Среднее</t>
  </si>
  <si>
    <t xml:space="preserve">Годные детали, доля брака неопределенна</t>
  </si>
  <si>
    <t xml:space="preserve">Годные детали, доля брака известна</t>
  </si>
  <si>
    <t xml:space="preserve">Годные детали в подробно рассматриваемой партии — накопленная вероятность</t>
  </si>
  <si>
    <t xml:space="preserve">Вероятность выполнить заказ, доля неопределенна</t>
  </si>
  <si>
    <t xml:space="preserve">Вероятность выполнить заказ, доля известна</t>
  </si>
  <si>
    <t xml:space="preserve">Точно, доля известна  (БИНОМ.РАСП)</t>
  </si>
  <si>
    <t xml:space="preserve">3   Как читать результаты</t>
  </si>
  <si>
    <t xml:space="preserve">•  Проверка показала 3% брака, но 400 деталей не позволяют точно определить долю: правдоподобно что угодно примерно от 2% до 5%. Именно эта неопределенность, больше чем случайность внутри партии, решает, будет ли выполнен заказ.</t>
  </si>
  <si>
    <t xml:space="preserve">•  Если считать 3% точным значением, партия в 5000 деталей наверняка выполнит заказ. Если доля так же неопределенна, как говорят данные, вероятность около 81%: та же партия, совсем другая уверенность. Прежде чем доверять плану, спросите, как оценивалась доля.</t>
  </si>
  <si>
    <t xml:space="preserve">•  Изготовление каждой детали стоит 40 долл., каждая недопоставленная — 250 долл. Ожидаемые затраты наименьшие для партии в 5000 деталей (около 201 500 долл.), которая выполняет заказ примерно в четырех случаях из пяти. Партия в 5050 деталей в среднем дороже всего примерно на 800 долл. и выполняет заказ в 96% случаев — дешевая страховка от штрафа.</t>
  </si>
  <si>
    <t xml:space="preserve">•  Проверка большего числа деталей сужает диапазон доли и позволяет приблизить размер партии к заказу: попробуйте на листе «Исходные данные» 1200 проверенных деталей и 36 бракованных.</t>
  </si>
  <si>
    <t xml:space="preserve">•  Смоделированные вероятности совпадают с точными бета-биномиальными значениями на листе «Производство» — быстрая проверка, доступная для таких простых моделей.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</si>
  <si>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</si>
  <si>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</si>
  <si>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</si>
  <si>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</si>
  <si>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Out_Good</t>
  </si>
  <si>
    <t>Out_GoodKnown</t>
  </si>
  <si>
    <t xml:space="preserve">Период</t>
  </si>
  <si>
    <t xml:space="preserve">Ожидаемые затраты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</si>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</sst>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&quot;–&quot;_)"/>
    <numFmt numFmtId="165" formatCode="#,##0.0_);\(#,##0.0\);&quot;–&quot;_)"/>
    <numFmt numFmtId="166" formatCode="0.0%"/>
    <numFmt numFmtId="167" formatCode="0.0%;\-0.0%;0.0%;&quot;–&quot;"/>
    <numFmt numFmtId="168" formatCode="#,##0.0_);\(#,##0.0\);&quot;–&quot;_);&quot;–&quot;"/>
    <numFmt numFmtId="169" formatCode="#,##0_);\(#,##0\);&quot;–&quot;_);&quot;–&quot;"/>
  </numFmts>
  <fonts count="23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6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0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0" fontId="2" fillId="3" borderId="7" xfId="2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164" fontId="3" fillId="0" borderId="8" xfId="3" applyNumberFormat="1" applyBorder="1" applyAlignment="1">
      <alignment horizontal="left" vertical="center" indent="1"/>
    </xf>
    <xf numFmtId="164" fontId="2" fillId="3" borderId="7" xfId="2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165" fontId="4" fillId="4" borderId="9" xfId="4" applyNumberFormat="1" applyBorder="1">
      <alignment horizontal="right" vertical="center"/>
    </xf>
    <xf numFmtId="164" fontId="4" fillId="4" borderId="9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2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7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1" fillId="5" borderId="7" xfId="5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21" fillId="0" borderId="6" xfId="0" applyFont="1" applyBorder="1" applyAlignment="1">
      <alignment horizontal="left" vertical="center" indent="1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3" fontId="21" fillId="0" borderId="0" xfId="0" applyNumberFormat="1" applyFont="1" applyAlignment="1">
      <alignment horizontal="left" vertical="center" indent="1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11"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Ожидаемые затраты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cat>
            <c:numRef>
              <c:f>'Результаты'!$B$104:$B$109</c:f>
              <c:numCache>
                <c:formatCode>#,##0</c:formatCode>
                <c:ptCount val="6"/>
                <c:pt idx="0">
                  <c:v>4950</c:v>
                </c:pt>
                <c:pt idx="1">
                  <c:v>5000</c:v>
                </c:pt>
                <c:pt idx="2">
                  <c:v>5050</c:v>
                </c:pt>
                <c:pt idx="3">
                  <c:v>5100</c:v>
                </c:pt>
                <c:pt idx="4">
                  <c:v>5150</c:v>
                </c:pt>
                <c:pt idx="5">
                  <c:v>5200</c:v>
                </c:pt>
              </c:numCache>
            </c:numRef>
          </c:cat>
          <c:val>
            <c:numRef>
              <c:f>'Результаты'!$C$104:$C$109</c:f>
              <c:numCache>
                <c:formatCode>#,##0.00</c:formatCode>
                <c:ptCount val="6"/>
                <c:pt idx="0">
                  <c:v>203.77226361318066</c:v>
                </c:pt>
                <c:pt idx="1">
                  <c:v>201.51497574878744</c:v>
                </c:pt>
                <c:pt idx="2">
                  <c:v>202.2643632181609</c:v>
                </c:pt>
                <c:pt idx="3">
                  <c:v>204.03840192009599</c:v>
                </c:pt>
                <c:pt idx="4">
                  <c:v>206.00425021251061</c:v>
                </c:pt>
                <c:pt idx="5">
                  <c:v>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E0-4890-895E-B8090DCB1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долл.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Доля неопределенна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'Результаты'!$D$52:$D$101</c:f>
              <c:numCache>
                <c:formatCode>#,##0.00</c:formatCode>
                <c:ptCount val="50"/>
                <c:pt idx="0">
                  <c:v>4718</c:v>
                </c:pt>
                <c:pt idx="1">
                  <c:v>4743</c:v>
                </c:pt>
                <c:pt idx="2">
                  <c:v>4756</c:v>
                </c:pt>
                <c:pt idx="3">
                  <c:v>4766</c:v>
                </c:pt>
                <c:pt idx="4">
                  <c:v>4773</c:v>
                </c:pt>
                <c:pt idx="5">
                  <c:v>4780</c:v>
                </c:pt>
                <c:pt idx="6">
                  <c:v>4785</c:v>
                </c:pt>
                <c:pt idx="7">
                  <c:v>4791</c:v>
                </c:pt>
                <c:pt idx="8">
                  <c:v>4795</c:v>
                </c:pt>
                <c:pt idx="9">
                  <c:v>4799</c:v>
                </c:pt>
                <c:pt idx="10">
                  <c:v>4803</c:v>
                </c:pt>
                <c:pt idx="11">
                  <c:v>4806</c:v>
                </c:pt>
                <c:pt idx="12">
                  <c:v>4810</c:v>
                </c:pt>
                <c:pt idx="13">
                  <c:v>4813</c:v>
                </c:pt>
                <c:pt idx="14">
                  <c:v>4816</c:v>
                </c:pt>
                <c:pt idx="15">
                  <c:v>4819</c:v>
                </c:pt>
                <c:pt idx="16">
                  <c:v>4822</c:v>
                </c:pt>
                <c:pt idx="17">
                  <c:v>4824</c:v>
                </c:pt>
                <c:pt idx="18">
                  <c:v>4827</c:v>
                </c:pt>
                <c:pt idx="19">
                  <c:v>4829</c:v>
                </c:pt>
                <c:pt idx="20">
                  <c:v>4831</c:v>
                </c:pt>
                <c:pt idx="21">
                  <c:v>4834</c:v>
                </c:pt>
                <c:pt idx="22">
                  <c:v>4836</c:v>
                </c:pt>
                <c:pt idx="23">
                  <c:v>4838</c:v>
                </c:pt>
                <c:pt idx="24">
                  <c:v>4841</c:v>
                </c:pt>
                <c:pt idx="25">
                  <c:v>4843</c:v>
                </c:pt>
                <c:pt idx="26">
                  <c:v>4845</c:v>
                </c:pt>
                <c:pt idx="27">
                  <c:v>4848</c:v>
                </c:pt>
                <c:pt idx="28">
                  <c:v>4850</c:v>
                </c:pt>
                <c:pt idx="29">
                  <c:v>4852</c:v>
                </c:pt>
                <c:pt idx="30">
                  <c:v>4854</c:v>
                </c:pt>
                <c:pt idx="31">
                  <c:v>4856</c:v>
                </c:pt>
                <c:pt idx="32">
                  <c:v>4859</c:v>
                </c:pt>
                <c:pt idx="33">
                  <c:v>4861</c:v>
                </c:pt>
                <c:pt idx="34">
                  <c:v>4864</c:v>
                </c:pt>
                <c:pt idx="35">
                  <c:v>4866</c:v>
                </c:pt>
                <c:pt idx="36">
                  <c:v>4868</c:v>
                </c:pt>
                <c:pt idx="37">
                  <c:v>4871</c:v>
                </c:pt>
                <c:pt idx="38">
                  <c:v>4873</c:v>
                </c:pt>
                <c:pt idx="39">
                  <c:v>4876</c:v>
                </c:pt>
                <c:pt idx="40">
                  <c:v>4879</c:v>
                </c:pt>
                <c:pt idx="41">
                  <c:v>4882</c:v>
                </c:pt>
                <c:pt idx="42">
                  <c:v>4885</c:v>
                </c:pt>
                <c:pt idx="43">
                  <c:v>4888</c:v>
                </c:pt>
                <c:pt idx="44">
                  <c:v>4892</c:v>
                </c:pt>
                <c:pt idx="45">
                  <c:v>4896</c:v>
                </c:pt>
                <c:pt idx="46">
                  <c:v>4901</c:v>
                </c:pt>
                <c:pt idx="47">
                  <c:v>4907</c:v>
                </c:pt>
                <c:pt idx="48">
                  <c:v>4914</c:v>
                </c:pt>
                <c:pt idx="49">
                  <c:v>4928</c:v>
                </c:pt>
              </c:numCache>
            </c:numRef>
          </c:xVal>
          <c:yVal>
            <c:numRef>
              <c:f>'Результаты'!$B$52:$B$101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43-4482-8FCF-C6A82EC4F155}"/>
            </c:ext>
          </c:extLst>
        </c:ser>
        <c:ser>
          <c:idx val="1"/>
          <c:order val="1"/>
          <c:tx>
            <c:v>Доля известна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'Результаты'!$E$52:$E$101</c:f>
              <c:numCache>
                <c:formatCode>#,##0.00</c:formatCode>
                <c:ptCount val="50"/>
                <c:pt idx="0">
                  <c:v>4820</c:v>
                </c:pt>
                <c:pt idx="1">
                  <c:v>4826</c:v>
                </c:pt>
                <c:pt idx="2">
                  <c:v>4829</c:v>
                </c:pt>
                <c:pt idx="3">
                  <c:v>4832</c:v>
                </c:pt>
                <c:pt idx="4">
                  <c:v>4833</c:v>
                </c:pt>
                <c:pt idx="5">
                  <c:v>4835</c:v>
                </c:pt>
                <c:pt idx="6">
                  <c:v>4836</c:v>
                </c:pt>
                <c:pt idx="7">
                  <c:v>4837</c:v>
                </c:pt>
                <c:pt idx="8">
                  <c:v>4838</c:v>
                </c:pt>
                <c:pt idx="9">
                  <c:v>4839</c:v>
                </c:pt>
                <c:pt idx="10">
                  <c:v>4840</c:v>
                </c:pt>
                <c:pt idx="11">
                  <c:v>4841</c:v>
                </c:pt>
                <c:pt idx="12">
                  <c:v>4842</c:v>
                </c:pt>
                <c:pt idx="13">
                  <c:v>4843</c:v>
                </c:pt>
                <c:pt idx="14">
                  <c:v>4843</c:v>
                </c:pt>
                <c:pt idx="15">
                  <c:v>4844</c:v>
                </c:pt>
                <c:pt idx="16">
                  <c:v>4845</c:v>
                </c:pt>
                <c:pt idx="17">
                  <c:v>4845</c:v>
                </c:pt>
                <c:pt idx="18">
                  <c:v>4846</c:v>
                </c:pt>
                <c:pt idx="19">
                  <c:v>4847</c:v>
                </c:pt>
                <c:pt idx="20">
                  <c:v>4847</c:v>
                </c:pt>
                <c:pt idx="21">
                  <c:v>4848</c:v>
                </c:pt>
                <c:pt idx="22">
                  <c:v>4849</c:v>
                </c:pt>
                <c:pt idx="23">
                  <c:v>4849</c:v>
                </c:pt>
                <c:pt idx="24">
                  <c:v>4850</c:v>
                </c:pt>
                <c:pt idx="25">
                  <c:v>4850</c:v>
                </c:pt>
                <c:pt idx="26">
                  <c:v>4851</c:v>
                </c:pt>
                <c:pt idx="27">
                  <c:v>4852</c:v>
                </c:pt>
                <c:pt idx="28">
                  <c:v>4852</c:v>
                </c:pt>
                <c:pt idx="29">
                  <c:v>4853</c:v>
                </c:pt>
                <c:pt idx="30">
                  <c:v>4853</c:v>
                </c:pt>
                <c:pt idx="31">
                  <c:v>4854</c:v>
                </c:pt>
                <c:pt idx="32">
                  <c:v>4855</c:v>
                </c:pt>
                <c:pt idx="33">
                  <c:v>4855</c:v>
                </c:pt>
                <c:pt idx="34">
                  <c:v>4856</c:v>
                </c:pt>
                <c:pt idx="35">
                  <c:v>4857</c:v>
                </c:pt>
                <c:pt idx="36">
                  <c:v>4857</c:v>
                </c:pt>
                <c:pt idx="37">
                  <c:v>4858</c:v>
                </c:pt>
                <c:pt idx="38">
                  <c:v>4859</c:v>
                </c:pt>
                <c:pt idx="39">
                  <c:v>4860</c:v>
                </c:pt>
                <c:pt idx="40">
                  <c:v>4861</c:v>
                </c:pt>
                <c:pt idx="41">
                  <c:v>4861</c:v>
                </c:pt>
                <c:pt idx="42">
                  <c:v>4862</c:v>
                </c:pt>
                <c:pt idx="43">
                  <c:v>4864</c:v>
                </c:pt>
                <c:pt idx="44">
                  <c:v>4865</c:v>
                </c:pt>
                <c:pt idx="45">
                  <c:v>4866</c:v>
                </c:pt>
                <c:pt idx="46">
                  <c:v>4868</c:v>
                </c:pt>
                <c:pt idx="47">
                  <c:v>4870</c:v>
                </c:pt>
                <c:pt idx="48">
                  <c:v>4872</c:v>
                </c:pt>
                <c:pt idx="49">
                  <c:v>4877</c:v>
                </c:pt>
              </c:numCache>
            </c:numRef>
          </c:xVal>
          <c:yVal>
            <c:numRef>
              <c:f>'Результаты'!$B$52:$B$101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743-4482-8FCF-C6A82EC4F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деталей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1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44" customHeight="1" x14ac:dyDescent="0.45">
      <c r="B16" s="63" t="s">
        <v>20</v>
      </c>
      <c r="C16" s="62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ht="12" customHeight="1" x14ac:dyDescent="0.45"/>
    <row r="55" spans="2:3" ht="22.05" customHeight="1" x14ac:dyDescent="0.5">
      <c r="B55" s="7" t="s">
        <v>63</v>
      </c>
      <c r="C55" s="8"/>
    </row>
    <row r="56" spans="2:3" x14ac:dyDescent="0.45">
      <c r="B56" s="9" t="s">
        <v>64</v>
      </c>
      <c r="C56" s="10" t="s">
        <v>65</v>
      </c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ht="12" customHeight="1" x14ac:dyDescent="0.45"/>
    <row r="61" spans="2:3" ht="22.05" customHeight="1" x14ac:dyDescent="0.5">
      <c r="B61" s="7" t="s">
        <v>72</v>
      </c>
      <c r="C61" s="8"/>
    </row>
    <row r="62" spans="2:3" x14ac:dyDescent="0.45">
      <c r="B62" s="20" t="s">
        <v>73</v>
      </c>
      <c r="C62" s="10" t="s">
        <v>74</v>
      </c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ht="26.25" x14ac:dyDescent="0.45">
      <c r="B65" s="20" t="s">
        <v>79</v>
      </c>
      <c r="C65" s="10" t="s">
        <v>80</v>
      </c>
    </row>
    <row r="66" spans="2:3" ht="12" customHeight="1" x14ac:dyDescent="0.45"/>
    <row r="67" spans="2:3" ht="22.05" customHeight="1" x14ac:dyDescent="0.5">
      <c r="B67" s="7" t="s">
        <v>81</v>
      </c>
      <c r="C67" s="8"/>
    </row>
    <row r="68" spans="2:3" x14ac:dyDescent="0.45">
      <c r="B68" s="9" t="s">
        <v>82</v>
      </c>
      <c r="C68" s="10" t="s">
        <v>83</v>
      </c>
    </row>
    <row r="69" spans="2:3" x14ac:dyDescent="0.45">
      <c r="B69" s="9" t="s">
        <v>84</v>
      </c>
      <c r="C69" s="10" t="s">
        <v>85</v>
      </c>
    </row>
    <row r="70" spans="2:3" ht="16.05" customHeight="1" x14ac:dyDescent="0.45"/>
    <row r="71" spans="2:3" x14ac:dyDescent="0.45">
      <c r="B71" s="61" t="s">
        <v>86</v>
      </c>
      <c r="C71" s="62"/>
    </row>
  </sheetData>
  <mergeCells count="2">
    <mergeCell ref="B71:C71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Производство'!A1" display="Производство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5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87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88</v>
      </c>
      <c r="C4" s="5"/>
      <c r="D4" s="5"/>
      <c r="E4" s="5"/>
      <c r="F4" s="5"/>
      <c r="G4" s="5"/>
      <c r="H4" s="5"/>
      <c r="I4" s="5"/>
      <c r="J4" s="6" t="s">
        <v>89</v>
      </c>
    </row>
    <row r="5" spans="1:10" ht="8" customHeight="1" x14ac:dyDescent="0.45"/>
    <row r="6" spans="1:10" ht="20" customHeight="1" x14ac:dyDescent="0.45">
      <c r="B6" s="64" t="s">
        <v>90</v>
      </c>
      <c r="C6" s="62"/>
      <c r="D6" s="62"/>
      <c r="E6" s="62"/>
      <c r="F6" s="62"/>
      <c r="G6" s="62"/>
      <c r="H6" s="62"/>
      <c r="I6" s="62"/>
      <c r="J6" s="62"/>
    </row>
    <row r="7" spans="1:10" ht="6" customHeight="1" x14ac:dyDescent="0.45"/>
    <row r="8" spans="1:10" ht="22.05" customHeight="1" x14ac:dyDescent="0.5">
      <c r="B8" s="7" t="s">
        <v>91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23" t="s">
        <v>92</v>
      </c>
      <c r="C9" s="23" t="s">
        <v>93</v>
      </c>
      <c r="D9" s="24" t="s">
        <v>94</v>
      </c>
      <c r="E9" s="23" t="s">
        <v>95</v>
      </c>
      <c r="F9" s="5"/>
      <c r="G9" s="5"/>
      <c r="H9" s="5"/>
      <c r="I9" s="5"/>
      <c r="J9" s="23" t="s">
        <v>96</v>
      </c>
    </row>
    <row r="10" spans="1:10" x14ac:dyDescent="0.45">
      <c r="B10" s="25" t="s">
        <v>97</v>
      </c>
      <c r="C10" s="26" t="s">
        <v>98</v>
      </c>
      <c r="D10" s="27">
        <v>4800</v>
      </c>
      <c r="E10" s="26" t="s">
        <v>99</v>
      </c>
      <c r="F10" s="28"/>
      <c r="G10" s="28"/>
      <c r="H10" s="28"/>
      <c r="I10" s="28"/>
      <c r="J10" s="29" t="s">
        <v>100</v>
      </c>
    </row>
    <row r="11" spans="1:10" x14ac:dyDescent="0.45">
      <c r="B11" s="25" t="s">
        <v>101</v>
      </c>
      <c r="C11" s="26" t="s">
        <v>102</v>
      </c>
      <c r="D11" s="27">
        <v>40</v>
      </c>
      <c r="E11" s="26" t="s">
        <v>99</v>
      </c>
      <c r="F11" s="28"/>
      <c r="G11" s="28"/>
      <c r="H11" s="28"/>
      <c r="I11" s="28"/>
      <c r="J11" s="29" t="s">
        <v>103</v>
      </c>
    </row>
    <row r="12" spans="1:10" x14ac:dyDescent="0.45">
      <c r="B12" s="25" t="s">
        <v>104</v>
      </c>
      <c r="C12" s="26" t="s">
        <v>105</v>
      </c>
      <c r="D12" s="27">
        <v>250</v>
      </c>
      <c r="E12" s="26" t="s">
        <v>99</v>
      </c>
      <c r="F12" s="28"/>
      <c r="G12" s="28"/>
      <c r="H12" s="28"/>
      <c r="I12" s="28"/>
      <c r="J12" s="29" t="s">
        <v>106</v>
      </c>
    </row>
    <row r="13" spans="1:10" ht="8" customHeight="1" x14ac:dyDescent="0.45"/>
    <row r="14" spans="1:10" ht="22.05" customHeight="1" x14ac:dyDescent="0.5">
      <c r="B14" s="7" t="s">
        <v>107</v>
      </c>
      <c r="C14" s="8"/>
      <c r="D14" s="8"/>
      <c r="E14" s="8"/>
      <c r="F14" s="8"/>
      <c r="G14" s="8"/>
      <c r="H14" s="8"/>
      <c r="I14" s="8"/>
      <c r="J14" s="8"/>
    </row>
    <row r="15" spans="1:10" ht="18" customHeight="1" x14ac:dyDescent="0.45">
      <c r="B15" s="13" t="s">
        <v>108</v>
      </c>
    </row>
    <row r="16" spans="1:10" ht="18" customHeight="1" x14ac:dyDescent="0.45">
      <c r="B16" s="23" t="s">
        <v>92</v>
      </c>
      <c r="C16" s="23" t="s">
        <v>93</v>
      </c>
      <c r="D16" s="24" t="s">
        <v>94</v>
      </c>
      <c r="E16" s="23" t="s">
        <v>95</v>
      </c>
      <c r="F16" s="5"/>
      <c r="G16" s="5"/>
      <c r="H16" s="5"/>
      <c r="I16" s="5"/>
      <c r="J16" s="23" t="s">
        <v>96</v>
      </c>
    </row>
    <row r="17" spans="2:10" x14ac:dyDescent="0.45">
      <c r="B17" s="25" t="s">
        <v>109</v>
      </c>
      <c r="C17" s="26" t="s">
        <v>98</v>
      </c>
      <c r="D17" s="27">
        <v>400</v>
      </c>
      <c r="E17" s="26" t="s">
        <v>99</v>
      </c>
      <c r="F17" s="28"/>
      <c r="G17" s="28"/>
      <c r="H17" s="28"/>
      <c r="I17" s="28"/>
      <c r="J17" s="29"/>
    </row>
    <row r="18" spans="2:10" x14ac:dyDescent="0.45">
      <c r="B18" s="25" t="s">
        <v>110</v>
      </c>
      <c r="C18" s="26" t="s">
        <v>98</v>
      </c>
      <c r="D18" s="27">
        <v>12</v>
      </c>
      <c r="E18" s="26" t="s">
        <v>99</v>
      </c>
      <c r="F18" s="28"/>
      <c r="G18" s="28"/>
      <c r="H18" s="28"/>
      <c r="I18" s="28"/>
      <c r="J18" s="29"/>
    </row>
    <row r="19" spans="2:10" ht="8" customHeight="1" x14ac:dyDescent="0.45"/>
    <row r="20" spans="2:10" ht="22.05" customHeight="1" x14ac:dyDescent="0.5">
      <c r="B20" s="7" t="s">
        <v>111</v>
      </c>
      <c r="C20" s="8"/>
      <c r="D20" s="8"/>
      <c r="E20" s="8"/>
      <c r="F20" s="8"/>
      <c r="G20" s="8"/>
      <c r="H20" s="8"/>
      <c r="I20" s="8"/>
      <c r="J20" s="8"/>
    </row>
    <row r="21" spans="2:10" ht="18" customHeight="1" x14ac:dyDescent="0.45">
      <c r="B21" s="23" t="s">
        <v>92</v>
      </c>
      <c r="C21" s="23" t="s">
        <v>93</v>
      </c>
      <c r="D21" s="24" t="s">
        <v>94</v>
      </c>
      <c r="E21" s="23" t="s">
        <v>95</v>
      </c>
      <c r="F21" s="5"/>
      <c r="G21" s="5"/>
      <c r="H21" s="5"/>
      <c r="I21" s="5"/>
      <c r="J21" s="23" t="s">
        <v>96</v>
      </c>
    </row>
    <row r="22" spans="2:10" x14ac:dyDescent="0.45">
      <c r="B22" s="25" t="s">
        <v>112</v>
      </c>
      <c r="C22" s="26" t="s">
        <v>98</v>
      </c>
      <c r="D22" s="27">
        <v>4950</v>
      </c>
      <c r="E22" s="26" t="s">
        <v>99</v>
      </c>
      <c r="F22" s="28"/>
      <c r="G22" s="28"/>
      <c r="H22" s="28"/>
      <c r="I22" s="28"/>
      <c r="J22" s="29" t="s">
        <v>113</v>
      </c>
    </row>
    <row r="23" spans="2:10" x14ac:dyDescent="0.45">
      <c r="B23" s="25" t="s">
        <v>114</v>
      </c>
      <c r="C23" s="26" t="s">
        <v>98</v>
      </c>
      <c r="D23" s="27">
        <v>50</v>
      </c>
      <c r="E23" s="26" t="s">
        <v>99</v>
      </c>
      <c r="F23" s="28"/>
      <c r="G23" s="28"/>
      <c r="H23" s="28"/>
      <c r="I23" s="28"/>
      <c r="J23" s="29"/>
    </row>
    <row r="24" spans="2:10" x14ac:dyDescent="0.45">
      <c r="B24" s="25" t="s">
        <v>115</v>
      </c>
      <c r="C24" s="26" t="s">
        <v>98</v>
      </c>
      <c r="D24" s="27">
        <v>5000</v>
      </c>
      <c r="E24" s="26" t="s">
        <v>99</v>
      </c>
      <c r="F24" s="28"/>
      <c r="G24" s="28"/>
      <c r="H24" s="28"/>
      <c r="I24" s="28"/>
      <c r="J24" s="29" t="s">
        <v>116</v>
      </c>
    </row>
    <row r="25" spans="2:10" ht="8" customHeight="1" x14ac:dyDescent="0.45"/>
  </sheetData>
  <mergeCells count="1">
    <mergeCell ref="B6:J6"/>
  </mergeCells>
  <dataValidations count="2">
    <dataValidation type="decimal" operator="greaterThan" showErrorMessage="1" errorTitle="Положительное значение" error="Введите значение больше нуля." sqref="D22:D24 D17 D10:D12" xr:uid="{00000000-0002-0000-0100-000000000000}">
      <formula1>0</formula1>
    </dataValidation>
    <dataValidation type="decimal" showErrorMessage="1" errorTitle="Значение" error="Введите значение не меньше нуля." sqref="D18" xr:uid="{00000000-0002-0000-0100-000004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Производство'!A1" display="Далее:  Производство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J59"/>
  <sheetViews>
    <sheetView showGridLines="0" workbookViewId="0"/>
  </sheetViews>
  <sheetFormatPr defaultRowHeight="14.25" x14ac:dyDescent="0.45"/>
  <cols>
    <col min="1" max="1" width="2" customWidth="1"/>
    <col min="2" max="2" width="40" customWidth="1"/>
    <col min="3" max="8" width="12" customWidth="1"/>
    <col min="9" max="9" width="3" customWidth="1"/>
    <col min="10" max="10" width="52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117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118</v>
      </c>
      <c r="C4" s="5"/>
      <c r="D4" s="5"/>
      <c r="E4" s="5"/>
      <c r="F4" s="5"/>
      <c r="G4" s="5"/>
      <c r="H4" s="5"/>
      <c r="I4" s="5"/>
      <c r="J4" s="6" t="s">
        <v>119</v>
      </c>
    </row>
    <row r="5" spans="1:10" ht="8" customHeight="1" x14ac:dyDescent="0.45"/>
    <row r="6" spans="1:10" ht="22.05" customHeight="1" x14ac:dyDescent="0.5">
      <c r="B6" s="7" t="s">
        <v>120</v>
      </c>
      <c r="C6" s="8"/>
      <c r="D6" s="8"/>
      <c r="E6" s="8"/>
      <c r="F6" s="8"/>
      <c r="G6" s="8"/>
      <c r="H6" s="8"/>
      <c r="I6" s="8"/>
      <c r="J6" s="8"/>
    </row>
    <row r="7" spans="1:10" ht="18" customHeight="1" x14ac:dyDescent="0.45">
      <c r="B7" s="13" t="s">
        <v>121</v>
      </c>
    </row>
    <row r="8" spans="1:10" ht="18" customHeight="1" x14ac:dyDescent="0.45">
      <c r="B8" s="30" t="s">
        <v>122</v>
      </c>
      <c r="C8" s="30" t="s">
        <v>93</v>
      </c>
      <c r="D8" s="31" t="s">
        <v>123</v>
      </c>
      <c r="E8" s="5"/>
      <c r="F8" s="5"/>
      <c r="G8" s="5"/>
      <c r="H8" s="5"/>
      <c r="I8" s="5"/>
      <c r="J8" s="30" t="s">
        <v>124</v>
      </c>
    </row>
    <row r="9" spans="1:10" x14ac:dyDescent="0.45">
      <c r="B9" s="25" t="s">
        <v>125</v>
      </c>
      <c r="C9" s="26"/>
      <c r="D9" s="32">
        <f>Defects/Inspected</f>
        <v>0.03</v>
      </c>
      <c r="E9" s="28"/>
      <c r="F9" s="28"/>
      <c r="G9" s="28"/>
      <c r="H9" s="28"/>
      <c r="I9" s="28"/>
      <c r="J9" s="26" t="s">
        <v>126</v>
      </c>
    </row>
    <row r="10" spans="1:10" x14ac:dyDescent="0.45">
      <c r="B10" s="25" t="s">
        <v>127</v>
      </c>
      <c r="C10" s="26"/>
      <c r="D10" s="33">
        <f>Defects+1</f>
        <v>13</v>
      </c>
      <c r="E10" s="28"/>
      <c r="F10" s="28"/>
      <c r="G10" s="28"/>
      <c r="H10" s="28"/>
      <c r="I10" s="28"/>
      <c r="J10" s="26" t="s">
        <v>128</v>
      </c>
    </row>
    <row r="11" spans="1:10" x14ac:dyDescent="0.45">
      <c r="B11" s="25" t="s">
        <v>129</v>
      </c>
      <c r="C11" s="26"/>
      <c r="D11" s="33">
        <f>Inspected-Defects+1</f>
        <v>389</v>
      </c>
      <c r="E11" s="28"/>
      <c r="F11" s="28"/>
      <c r="G11" s="28"/>
      <c r="H11" s="28"/>
      <c r="I11" s="28"/>
      <c r="J11" s="26" t="s">
        <v>130</v>
      </c>
    </row>
    <row r="12" spans="1:10" x14ac:dyDescent="0.45">
      <c r="B12" s="25" t="s">
        <v>131</v>
      </c>
      <c r="C12" s="26"/>
      <c r="D12" s="34" cm="1">
        <f t="array" aca="1" ref="D12" ca="1">_xll.VoseInput("Доля брака")+_xll.VoseBeta(BetaA,BetaB)</f>
        <v>3.2943067410302951E-2</v>
      </c>
      <c r="E12" s="28"/>
      <c r="F12" s="28"/>
      <c r="G12" s="28"/>
      <c r="H12" s="28"/>
      <c r="I12" s="28"/>
      <c r="J12" s="26" t="s">
        <v>132</v>
      </c>
    </row>
    <row r="13" spans="1:10" x14ac:dyDescent="0.45">
      <c r="B13" s="25" t="s">
        <v>133</v>
      </c>
      <c r="C13" s="26"/>
      <c r="D13" s="32" cm="1">
        <f t="array" ref="D13">_xll.VosePercentile(_xll.VoseBetaObject(BetaA,BetaB),0.05)</f>
        <v>1.9280350024583229E-2</v>
      </c>
      <c r="E13" s="28"/>
      <c r="F13" s="28"/>
      <c r="G13" s="28"/>
      <c r="H13" s="28"/>
      <c r="I13" s="28"/>
      <c r="J13" s="26" t="s">
        <v>134</v>
      </c>
    </row>
    <row r="14" spans="1:10" x14ac:dyDescent="0.45">
      <c r="B14" s="25" t="s">
        <v>135</v>
      </c>
      <c r="C14" s="26"/>
      <c r="D14" s="32" cm="1">
        <f t="array" ref="D14">_xll.VosePercentile(_xll.VoseBetaObject(BetaA,BetaB),0.95)</f>
        <v>4.8034962871072007E-2</v>
      </c>
      <c r="E14" s="28"/>
      <c r="F14" s="28"/>
      <c r="G14" s="28"/>
      <c r="H14" s="28"/>
      <c r="I14" s="28"/>
      <c r="J14" s="26" t="s">
        <v>136</v>
      </c>
    </row>
    <row r="15" spans="1:10" ht="8" customHeight="1" x14ac:dyDescent="0.45"/>
    <row r="16" spans="1:10" ht="22.05" customHeight="1" x14ac:dyDescent="0.5">
      <c r="B16" s="7" t="s">
        <v>137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138</v>
      </c>
    </row>
    <row r="18" spans="2:10" ht="18" customHeight="1" x14ac:dyDescent="0.45">
      <c r="B18" s="35" t="s">
        <v>61</v>
      </c>
      <c r="C18" s="36" t="s">
        <v>64</v>
      </c>
      <c r="D18" s="36" t="s">
        <v>139</v>
      </c>
      <c r="E18" s="36" t="s">
        <v>140</v>
      </c>
      <c r="F18" s="36" t="s">
        <v>141</v>
      </c>
      <c r="G18" s="36" t="s">
        <v>142</v>
      </c>
      <c r="H18" s="36" t="s">
        <v>143</v>
      </c>
      <c r="I18" s="5"/>
      <c r="J18" s="30"/>
    </row>
    <row r="19" spans="2:10" x14ac:dyDescent="0.45">
      <c r="B19" s="37" t="s">
        <v>98</v>
      </c>
      <c r="C19" s="37" t="s">
        <v>144</v>
      </c>
      <c r="D19" s="37" t="s">
        <v>98</v>
      </c>
      <c r="E19" s="37" t="s">
        <v>98</v>
      </c>
      <c r="F19" s="37" t="s">
        <v>98</v>
      </c>
      <c r="G19" s="37" t="s">
        <v>145</v>
      </c>
      <c r="H19" s="37" t="s">
        <v>146</v>
      </c>
    </row>
    <row r="20" spans="2:10" x14ac:dyDescent="0.45">
      <c r="B20" s="38">
        <f>RunMin+0*RunStep</f>
        <v>4950</v>
      </c>
      <c r="C20" s="33">
        <f t="shared" ref="C20:C25" si="0">B20-Order</f>
        <v>150</v>
      </c>
      <c r="D20" s="39" cm="1">
        <f t="array" aca="1" ref="D20" ca="1">_xll.VoseBinomial(B20,DefRate)</f>
        <v>172</v>
      </c>
      <c r="E20" s="33">
        <f t="shared" ref="E20:E25" ca="1" si="1">B20-D20</f>
        <v>4778</v>
      </c>
      <c r="F20" s="33">
        <f t="shared" ref="F20:F25" ca="1" si="2">MAX(0,D20-C20)</f>
        <v>22</v>
      </c>
      <c r="G20" s="40">
        <f t="shared" ref="G20:G25" ca="1" si="3">(B20*UnitCost+F20*Penalty)/1000</f>
        <v>203.5</v>
      </c>
      <c r="H20" s="41" cm="1">
        <f t="array" ref="H20">IF(C20&lt;0,0,_xll.VoseBetaBinomialProb(C20,B20,BetaA,BetaB,TRUE))</f>
        <v>0.4497894573303326</v>
      </c>
      <c r="I20" s="28"/>
      <c r="J20" s="26" t="s">
        <v>147</v>
      </c>
    </row>
    <row r="21" spans="2:10" x14ac:dyDescent="0.45">
      <c r="B21" s="38">
        <f>RunMin+1*RunStep</f>
        <v>5000</v>
      </c>
      <c r="C21" s="33">
        <f t="shared" si="0"/>
        <v>200</v>
      </c>
      <c r="D21" s="39" cm="1">
        <f t="array" aca="1" ref="D21" ca="1">_xll.VoseBinomial(B21,DefRate)</f>
        <v>151</v>
      </c>
      <c r="E21" s="33">
        <f t="shared" ca="1" si="1"/>
        <v>4849</v>
      </c>
      <c r="F21" s="33">
        <f t="shared" ca="1" si="2"/>
        <v>0</v>
      </c>
      <c r="G21" s="40">
        <f t="shared" ca="1" si="3"/>
        <v>200</v>
      </c>
      <c r="H21" s="41" cm="1">
        <f t="array" ref="H21">IF(C21&lt;0,0,_xll.VoseBetaBinomialProb(C21,B21,BetaA,BetaB,TRUE))</f>
        <v>0.80972523422176179</v>
      </c>
      <c r="I21" s="28"/>
      <c r="J21" s="26" t="s">
        <v>148</v>
      </c>
    </row>
    <row r="22" spans="2:10" x14ac:dyDescent="0.45">
      <c r="B22" s="38">
        <f>RunMin+2*RunStep</f>
        <v>5050</v>
      </c>
      <c r="C22" s="33">
        <f t="shared" si="0"/>
        <v>250</v>
      </c>
      <c r="D22" s="39" cm="1">
        <f t="array" aca="1" ref="D22" ca="1">_xll.VoseBinomial(B22,DefRate)</f>
        <v>160</v>
      </c>
      <c r="E22" s="33">
        <f t="shared" ca="1" si="1"/>
        <v>4890</v>
      </c>
      <c r="F22" s="33">
        <f t="shared" ca="1" si="2"/>
        <v>0</v>
      </c>
      <c r="G22" s="40">
        <f t="shared" ca="1" si="3"/>
        <v>202</v>
      </c>
      <c r="H22" s="41" cm="1">
        <f t="array" ref="H22">IF(C22&lt;0,0,_xll.VoseBetaBinomialProb(C22,B22,BetaA,BetaB,TRUE))</f>
        <v>0.95777914875627179</v>
      </c>
      <c r="I22" s="28"/>
      <c r="J22" s="26" t="s">
        <v>149</v>
      </c>
    </row>
    <row r="23" spans="2:10" x14ac:dyDescent="0.45">
      <c r="B23" s="38">
        <f>RunMin+3*RunStep</f>
        <v>5100</v>
      </c>
      <c r="C23" s="33">
        <f t="shared" si="0"/>
        <v>300</v>
      </c>
      <c r="D23" s="39" cm="1">
        <f t="array" aca="1" ref="D23" ca="1">_xll.VoseBinomial(B23,DefRate)</f>
        <v>179</v>
      </c>
      <c r="E23" s="33">
        <f t="shared" ca="1" si="1"/>
        <v>4921</v>
      </c>
      <c r="F23" s="33">
        <f t="shared" ca="1" si="2"/>
        <v>0</v>
      </c>
      <c r="G23" s="40">
        <f t="shared" ca="1" si="3"/>
        <v>204</v>
      </c>
      <c r="H23" s="41" cm="1">
        <f t="array" ref="H23">IF(C23&lt;0,0,_xll.VoseBetaBinomialProb(C23,B23,BetaA,BetaB,TRUE))</f>
        <v>0.99321445784453311</v>
      </c>
      <c r="I23" s="28"/>
      <c r="J23" s="26" t="s">
        <v>150</v>
      </c>
    </row>
    <row r="24" spans="2:10" x14ac:dyDescent="0.45">
      <c r="B24" s="38">
        <f>RunMin+4*RunStep</f>
        <v>5150</v>
      </c>
      <c r="C24" s="33">
        <f t="shared" si="0"/>
        <v>350</v>
      </c>
      <c r="D24" s="39" cm="1">
        <f t="array" aca="1" ref="D24" ca="1">_xll.VoseBinomial(B24,DefRate)</f>
        <v>168</v>
      </c>
      <c r="E24" s="33">
        <f t="shared" ca="1" si="1"/>
        <v>4982</v>
      </c>
      <c r="F24" s="33">
        <f t="shared" ca="1" si="2"/>
        <v>0</v>
      </c>
      <c r="G24" s="40">
        <f t="shared" ca="1" si="3"/>
        <v>206</v>
      </c>
      <c r="H24" s="41" cm="1">
        <f t="array" ref="H24">IF(C24&lt;0,0,_xll.VoseBetaBinomialProb(C24,B24,BetaA,BetaB,TRUE))</f>
        <v>0.99913675338501018</v>
      </c>
      <c r="I24" s="28"/>
      <c r="J24" s="26" t="s">
        <v>151</v>
      </c>
    </row>
    <row r="25" spans="2:10" x14ac:dyDescent="0.45">
      <c r="B25" s="38">
        <f>RunMin+5*RunStep</f>
        <v>5200</v>
      </c>
      <c r="C25" s="33">
        <f t="shared" si="0"/>
        <v>400</v>
      </c>
      <c r="D25" s="39" cm="1">
        <f t="array" aca="1" ref="D25" ca="1">_xll.VoseBinomial(B25,DefRate)</f>
        <v>168</v>
      </c>
      <c r="E25" s="33">
        <f t="shared" ca="1" si="1"/>
        <v>5032</v>
      </c>
      <c r="F25" s="33">
        <f t="shared" ca="1" si="2"/>
        <v>0</v>
      </c>
      <c r="G25" s="40">
        <f t="shared" ca="1" si="3"/>
        <v>208</v>
      </c>
      <c r="H25" s="41" cm="1">
        <f t="array" ref="H25">IF(C25&lt;0,0,_xll.VoseBetaBinomialProb(C25,B25,BetaA,BetaB,TRUE))</f>
        <v>0.99990754642559543</v>
      </c>
      <c r="I25" s="28"/>
      <c r="J25" s="28"/>
    </row>
    <row r="26" spans="2:10" ht="8" customHeight="1" x14ac:dyDescent="0.45"/>
    <row r="27" spans="2:10" ht="22.05" customHeight="1" x14ac:dyDescent="0.5">
      <c r="B27" s="7" t="s">
        <v>152</v>
      </c>
      <c r="C27" s="8"/>
      <c r="D27" s="8"/>
      <c r="E27" s="8"/>
      <c r="F27" s="8"/>
      <c r="G27" s="8"/>
      <c r="H27" s="8"/>
      <c r="I27" s="8"/>
      <c r="J27" s="8"/>
    </row>
    <row r="28" spans="2:10" ht="18" customHeight="1" x14ac:dyDescent="0.45">
      <c r="B28" s="13" t="s">
        <v>153</v>
      </c>
    </row>
    <row r="29" spans="2:10" ht="18" customHeight="1" x14ac:dyDescent="0.45">
      <c r="B29" s="30" t="s">
        <v>122</v>
      </c>
      <c r="C29" s="30" t="s">
        <v>93</v>
      </c>
      <c r="D29" s="31" t="s">
        <v>123</v>
      </c>
      <c r="E29" s="5"/>
      <c r="F29" s="5"/>
      <c r="G29" s="5"/>
      <c r="H29" s="5"/>
      <c r="I29" s="5"/>
      <c r="J29" s="30" t="s">
        <v>124</v>
      </c>
    </row>
    <row r="30" spans="2:10" x14ac:dyDescent="0.45">
      <c r="B30" s="25" t="s">
        <v>154</v>
      </c>
      <c r="C30" s="26" t="s">
        <v>98</v>
      </c>
      <c r="D30" s="33">
        <f ca="1">INDEX(GoodParts,MATCH(FocusRun,RunSizes,0))</f>
        <v>4849</v>
      </c>
      <c r="E30" s="28"/>
      <c r="F30" s="28"/>
      <c r="G30" s="28"/>
      <c r="H30" s="28"/>
      <c r="I30" s="28"/>
      <c r="J30" s="26" t="s">
        <v>155</v>
      </c>
    </row>
    <row r="31" spans="2:10" x14ac:dyDescent="0.45">
      <c r="B31" s="25" t="s">
        <v>156</v>
      </c>
      <c r="C31" s="26" t="s">
        <v>98</v>
      </c>
      <c r="D31" s="39" cm="1">
        <f t="array" aca="1" ref="D31" ca="1">FocusRun-_xll.VoseBinomial(FocusRun,RateObs)</f>
        <v>4846</v>
      </c>
      <c r="E31" s="28"/>
      <c r="F31" s="28"/>
      <c r="G31" s="28"/>
      <c r="H31" s="28"/>
      <c r="I31" s="28"/>
      <c r="J31" s="26" t="s">
        <v>157</v>
      </c>
    </row>
    <row r="32" spans="2:10" x14ac:dyDescent="0.45">
      <c r="B32" s="25" t="s">
        <v>158</v>
      </c>
      <c r="C32" s="26"/>
      <c r="D32" s="41">
        <f>_xlfn.BINOM.DIST(FocusRun-Order,FocusRun,RateObs,TRUE)</f>
        <v>0.99996812308980665</v>
      </c>
      <c r="E32" s="28"/>
      <c r="F32" s="28"/>
      <c r="G32" s="28"/>
      <c r="H32" s="28"/>
      <c r="I32" s="28"/>
      <c r="J32" s="26" t="s">
        <v>159</v>
      </c>
    </row>
    <row r="33" spans="2:10" ht="8" customHeight="1" x14ac:dyDescent="0.45"/>
    <row r="34" spans="2:10" ht="22.05" customHeight="1" x14ac:dyDescent="0.5">
      <c r="B34" s="7" t="s">
        <v>160</v>
      </c>
      <c r="C34" s="8"/>
      <c r="D34" s="8"/>
      <c r="E34" s="8"/>
      <c r="F34" s="8"/>
      <c r="G34" s="8"/>
      <c r="H34" s="8"/>
      <c r="I34" s="8"/>
      <c r="J34" s="8"/>
    </row>
    <row r="35" spans="2:10" ht="18" customHeight="1" x14ac:dyDescent="0.45">
      <c r="B35" s="13" t="s">
        <v>161</v>
      </c>
    </row>
    <row r="36" spans="2:10" ht="18" customHeight="1" x14ac:dyDescent="0.45">
      <c r="B36" s="30" t="s">
        <v>162</v>
      </c>
      <c r="C36" s="30" t="s">
        <v>93</v>
      </c>
      <c r="D36" s="31" t="s">
        <v>123</v>
      </c>
      <c r="E36" s="5"/>
      <c r="F36" s="5"/>
      <c r="G36" s="5"/>
      <c r="H36" s="5"/>
      <c r="I36" s="5"/>
      <c r="J36" s="30" t="s">
        <v>163</v>
      </c>
    </row>
    <row r="37" spans="2:10" x14ac:dyDescent="0.45">
      <c r="B37" s="25" t="s">
        <v>164</v>
      </c>
      <c r="C37" s="26" t="s">
        <v>165</v>
      </c>
      <c r="D37" s="42" cm="1">
        <f t="array" aca="1" ref="D37" ca="1">_xll.VoseOutput("Заказ выполнен, партия 1","1 = да")+IF(Short_1=0,1,0)</f>
        <v>0</v>
      </c>
      <c r="E37" s="28"/>
      <c r="F37" s="28"/>
      <c r="G37" s="28"/>
      <c r="H37" s="28"/>
      <c r="I37" s="28"/>
      <c r="J37" s="26"/>
    </row>
    <row r="38" spans="2:10" x14ac:dyDescent="0.45">
      <c r="B38" s="25" t="s">
        <v>166</v>
      </c>
      <c r="C38" s="26" t="s">
        <v>165</v>
      </c>
      <c r="D38" s="42" cm="1">
        <f t="array" aca="1" ref="D38" ca="1">_xll.VoseOutput("Заказ выполнен, партия 2","1 = да")+IF(Short_2=0,1,0)</f>
        <v>1</v>
      </c>
      <c r="E38" s="28"/>
      <c r="F38" s="28"/>
      <c r="G38" s="28"/>
      <c r="H38" s="28"/>
      <c r="I38" s="28"/>
      <c r="J38" s="26"/>
    </row>
    <row r="39" spans="2:10" x14ac:dyDescent="0.45">
      <c r="B39" s="25" t="s">
        <v>167</v>
      </c>
      <c r="C39" s="26" t="s">
        <v>165</v>
      </c>
      <c r="D39" s="42" cm="1">
        <f t="array" aca="1" ref="D39" ca="1">_xll.VoseOutput("Заказ выполнен, партия 3","1 = да")+IF(Short_3=0,1,0)</f>
        <v>1</v>
      </c>
      <c r="E39" s="28"/>
      <c r="F39" s="28"/>
      <c r="G39" s="28"/>
      <c r="H39" s="28"/>
      <c r="I39" s="28"/>
      <c r="J39" s="26"/>
    </row>
    <row r="40" spans="2:10" x14ac:dyDescent="0.45">
      <c r="B40" s="25" t="s">
        <v>168</v>
      </c>
      <c r="C40" s="26" t="s">
        <v>165</v>
      </c>
      <c r="D40" s="42" cm="1">
        <f t="array" aca="1" ref="D40" ca="1">_xll.VoseOutput("Заказ выполнен, партия 4","1 = да")+IF(Short_4=0,1,0)</f>
        <v>1</v>
      </c>
      <c r="E40" s="28"/>
      <c r="F40" s="28"/>
      <c r="G40" s="28"/>
      <c r="H40" s="28"/>
      <c r="I40" s="28"/>
      <c r="J40" s="26"/>
    </row>
    <row r="41" spans="2:10" x14ac:dyDescent="0.45">
      <c r="B41" s="25" t="s">
        <v>169</v>
      </c>
      <c r="C41" s="26" t="s">
        <v>165</v>
      </c>
      <c r="D41" s="42" cm="1">
        <f t="array" aca="1" ref="D41" ca="1">_xll.VoseOutput("Заказ выполнен, партия 5","1 = да")+IF(Short_5=0,1,0)</f>
        <v>1</v>
      </c>
      <c r="E41" s="28"/>
      <c r="F41" s="28"/>
      <c r="G41" s="28"/>
      <c r="H41" s="28"/>
      <c r="I41" s="28"/>
      <c r="J41" s="26"/>
    </row>
    <row r="42" spans="2:10" x14ac:dyDescent="0.45">
      <c r="B42" s="25" t="s">
        <v>170</v>
      </c>
      <c r="C42" s="26" t="s">
        <v>165</v>
      </c>
      <c r="D42" s="42" cm="1">
        <f t="array" aca="1" ref="D42" ca="1">_xll.VoseOutput("Заказ выполнен, партия 6","1 = да")+IF(Short_6=0,1,0)</f>
        <v>1</v>
      </c>
      <c r="E42" s="28"/>
      <c r="F42" s="28"/>
      <c r="G42" s="28"/>
      <c r="H42" s="28"/>
      <c r="I42" s="28"/>
      <c r="J42" s="26"/>
    </row>
    <row r="43" spans="2:10" x14ac:dyDescent="0.45">
      <c r="B43" s="25" t="s">
        <v>171</v>
      </c>
      <c r="C43" s="26" t="s">
        <v>145</v>
      </c>
      <c r="D43" s="43" cm="1">
        <f t="array" aca="1" ref="D43" ca="1">_xll.VoseOutput("Затраты, партия 1","тыс. долл.")+Cost_1</f>
        <v>203.5</v>
      </c>
      <c r="E43" s="28"/>
      <c r="F43" s="28"/>
      <c r="G43" s="28"/>
      <c r="H43" s="28"/>
      <c r="I43" s="28"/>
      <c r="J43" s="26"/>
    </row>
    <row r="44" spans="2:10" x14ac:dyDescent="0.45">
      <c r="B44" s="25" t="s">
        <v>172</v>
      </c>
      <c r="C44" s="26" t="s">
        <v>145</v>
      </c>
      <c r="D44" s="43" cm="1">
        <f t="array" aca="1" ref="D44" ca="1">_xll.VoseOutput("Затраты, партия 2","тыс. долл.")+Cost_2</f>
        <v>200</v>
      </c>
      <c r="E44" s="28"/>
      <c r="F44" s="28"/>
      <c r="G44" s="28"/>
      <c r="H44" s="28"/>
      <c r="I44" s="28"/>
      <c r="J44" s="26"/>
    </row>
    <row r="45" spans="2:10" x14ac:dyDescent="0.45">
      <c r="B45" s="25" t="s">
        <v>173</v>
      </c>
      <c r="C45" s="26" t="s">
        <v>145</v>
      </c>
      <c r="D45" s="43" cm="1">
        <f t="array" aca="1" ref="D45" ca="1">_xll.VoseOutput("Затраты, партия 3","тыс. долл.")+Cost_3</f>
        <v>202</v>
      </c>
      <c r="E45" s="28"/>
      <c r="F45" s="28"/>
      <c r="G45" s="28"/>
      <c r="H45" s="28"/>
      <c r="I45" s="28"/>
      <c r="J45" s="26"/>
    </row>
    <row r="46" spans="2:10" x14ac:dyDescent="0.45">
      <c r="B46" s="25" t="s">
        <v>174</v>
      </c>
      <c r="C46" s="26" t="s">
        <v>145</v>
      </c>
      <c r="D46" s="43" cm="1">
        <f t="array" aca="1" ref="D46" ca="1">_xll.VoseOutput("Затраты, партия 4","тыс. долл.")+Cost_4</f>
        <v>204</v>
      </c>
      <c r="E46" s="28"/>
      <c r="F46" s="28"/>
      <c r="G46" s="28"/>
      <c r="H46" s="28"/>
      <c r="I46" s="28"/>
      <c r="J46" s="26"/>
    </row>
    <row r="47" spans="2:10" x14ac:dyDescent="0.45">
      <c r="B47" s="25" t="s">
        <v>175</v>
      </c>
      <c r="C47" s="26" t="s">
        <v>145</v>
      </c>
      <c r="D47" s="43" cm="1">
        <f t="array" aca="1" ref="D47" ca="1">_xll.VoseOutput("Затраты, партия 5","тыс. долл.")+Cost_5</f>
        <v>206</v>
      </c>
      <c r="E47" s="28"/>
      <c r="F47" s="28"/>
      <c r="G47" s="28"/>
      <c r="H47" s="28"/>
      <c r="I47" s="28"/>
      <c r="J47" s="26"/>
    </row>
    <row r="48" spans="2:10" x14ac:dyDescent="0.45">
      <c r="B48" s="25" t="s">
        <v>176</v>
      </c>
      <c r="C48" s="26" t="s">
        <v>145</v>
      </c>
      <c r="D48" s="43" cm="1">
        <f t="array" aca="1" ref="D48" ca="1">_xll.VoseOutput("Затраты, партия 6","тыс. долл.")+Cost_6</f>
        <v>208</v>
      </c>
      <c r="E48" s="28"/>
      <c r="F48" s="28"/>
      <c r="G48" s="28"/>
      <c r="H48" s="28"/>
      <c r="I48" s="28"/>
      <c r="J48" s="26"/>
    </row>
    <row r="49" spans="2:10" x14ac:dyDescent="0.45">
      <c r="B49" s="25" t="s">
        <v>177</v>
      </c>
      <c r="C49" s="26" t="s">
        <v>98</v>
      </c>
      <c r="D49" s="44" cm="1">
        <f t="array" aca="1" ref="D49" ca="1">_xll.VoseOutput("Годные детали, доля неопределенна","деталей")+GoodFocus</f>
        <v>4849</v>
      </c>
      <c r="E49" s="28"/>
      <c r="F49" s="28"/>
      <c r="G49" s="28"/>
      <c r="H49" s="28"/>
      <c r="I49" s="28"/>
      <c r="J49" s="26" t="s">
        <v>178</v>
      </c>
    </row>
    <row r="50" spans="2:10" x14ac:dyDescent="0.45">
      <c r="B50" s="25" t="s">
        <v>179</v>
      </c>
      <c r="C50" s="26" t="s">
        <v>98</v>
      </c>
      <c r="D50" s="44" cm="1">
        <f t="array" aca="1" ref="D50" ca="1">_xll.VoseOutput("Годные детали, доля известна","деталей")+GoodKnown</f>
        <v>4846</v>
      </c>
      <c r="E50" s="28"/>
      <c r="F50" s="28"/>
      <c r="G50" s="28"/>
      <c r="H50" s="28"/>
      <c r="I50" s="28"/>
      <c r="J50" s="26" t="s">
        <v>180</v>
      </c>
    </row>
    <row r="51" spans="2:10" x14ac:dyDescent="0.45">
      <c r="B51" s="25" t="s">
        <v>181</v>
      </c>
      <c r="C51" s="26" t="s">
        <v>165</v>
      </c>
      <c r="D51" s="42" cm="1">
        <f t="array" aca="1" ref="D51" ca="1">_xll.VoseOutput("Заказ выполнен, подробная партия","1 = да")+IF(GoodFocus&gt;=Order,1,0)</f>
        <v>1</v>
      </c>
      <c r="E51" s="28"/>
      <c r="F51" s="28"/>
      <c r="G51" s="28"/>
      <c r="H51" s="28"/>
      <c r="I51" s="28"/>
      <c r="J51" s="26"/>
    </row>
    <row r="52" spans="2:10" x14ac:dyDescent="0.45">
      <c r="B52" s="25" t="s">
        <v>182</v>
      </c>
      <c r="C52" s="26" t="s">
        <v>165</v>
      </c>
      <c r="D52" s="42" cm="1">
        <f t="array" aca="1" ref="D52" ca="1">_xll.VoseOutput("Заказ выполнен, доля известна","1 = да")+IF(GoodKnown&gt;=Order,1,0)</f>
        <v>1</v>
      </c>
      <c r="E52" s="28"/>
      <c r="F52" s="28"/>
      <c r="G52" s="28"/>
      <c r="H52" s="28"/>
      <c r="I52" s="28"/>
      <c r="J52" s="26"/>
    </row>
    <row r="53" spans="2:10" ht="8" customHeight="1" x14ac:dyDescent="0.45"/>
    <row r="54" spans="2:10" ht="22.05" customHeight="1" x14ac:dyDescent="0.5">
      <c r="B54" s="7" t="s">
        <v>183</v>
      </c>
      <c r="C54" s="8"/>
      <c r="D54" s="8"/>
      <c r="E54" s="8"/>
      <c r="F54" s="8"/>
      <c r="G54" s="8"/>
      <c r="H54" s="8"/>
      <c r="I54" s="8"/>
      <c r="J54" s="8"/>
    </row>
    <row r="55" spans="2:10" ht="18" customHeight="1" x14ac:dyDescent="0.45">
      <c r="B55" s="13" t="s">
        <v>184</v>
      </c>
    </row>
    <row r="56" spans="2:10" x14ac:dyDescent="0.45">
      <c r="B56" s="25" t="s">
        <v>185</v>
      </c>
      <c r="C56" s="28"/>
      <c r="D56" s="45" t="str">
        <f>IF(Defects&lt;=Inspected,"ОК","ПРОВЕРИТЬ")</f>
        <v>ОК</v>
      </c>
      <c r="E56" s="28"/>
      <c r="F56" s="28"/>
      <c r="G56" s="28"/>
      <c r="H56" s="28"/>
      <c r="I56" s="28"/>
      <c r="J56" s="28"/>
    </row>
    <row r="57" spans="2:10" x14ac:dyDescent="0.45">
      <c r="B57" s="25" t="s">
        <v>186</v>
      </c>
      <c r="C57" s="28"/>
      <c r="D57" s="45" t="str">
        <f>IF(RunMin&gt;=Order,"ОК","ПРОВЕРИТЬ")</f>
        <v>ОК</v>
      </c>
      <c r="E57" s="28"/>
      <c r="F57" s="28"/>
      <c r="G57" s="28"/>
      <c r="H57" s="28"/>
      <c r="I57" s="28"/>
      <c r="J57" s="28"/>
    </row>
    <row r="58" spans="2:10" x14ac:dyDescent="0.45">
      <c r="B58" s="25" t="s">
        <v>187</v>
      </c>
      <c r="C58" s="28"/>
      <c r="D58" s="45" t="str">
        <f>IF(COUNTIF(RunSizes,FocusRun)=1,"ОК","ПРОВЕРИТЬ")</f>
        <v>ОК</v>
      </c>
      <c r="E58" s="28"/>
      <c r="F58" s="28"/>
      <c r="G58" s="28"/>
      <c r="H58" s="28"/>
      <c r="I58" s="28"/>
      <c r="J58" s="28"/>
    </row>
    <row r="59" spans="2:10" ht="14" customHeight="1" x14ac:dyDescent="0.45"/>
  </sheetData>
  <conditionalFormatting sqref="D56:D58">
    <cfRule type="expression" dxfId="10" priority="1">
      <formula>D56="CHECK"</formula>
    </cfRule>
  </conditionalFormatting>
  <hyperlinks>
    <hyperlink ref="B4" location="'Исходные данные'!A1" display="◂  Исходные данные" xr:uid="{00000000-0004-0000-0200-000000000000}"/>
    <hyperlink ref="J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2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09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188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189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6" t="str" cm="1">
        <f t="array" aca="1" ref="B6" ca="1">IF(ISNUMBER(_xll.VoseSimMean(Out_Good)),"✔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47"/>
      <c r="D6" s="47"/>
      <c r="E6" s="47"/>
      <c r="F6" s="47"/>
      <c r="G6" s="47"/>
    </row>
    <row r="7" spans="1:18" x14ac:dyDescent="0.45">
      <c r="B7" s="48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190</v>
      </c>
      <c r="C9" s="8"/>
      <c r="D9" s="8"/>
      <c r="E9" s="8"/>
      <c r="F9" s="8"/>
      <c r="G9" s="8"/>
      <c r="I9" s="49" t="s">
        <v>191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192</v>
      </c>
    </row>
    <row r="11" spans="1:18" ht="18" customHeight="1" x14ac:dyDescent="0.45">
      <c r="B11" s="50" t="s">
        <v>193</v>
      </c>
      <c r="C11" s="51" t="s">
        <v>194</v>
      </c>
      <c r="D11" s="51" t="s">
        <v>195</v>
      </c>
      <c r="E11" s="51" t="s">
        <v>196</v>
      </c>
      <c r="F11" s="51" t="s">
        <v>197</v>
      </c>
      <c r="G11" s="51" t="s">
        <v>198</v>
      </c>
    </row>
    <row r="12" spans="1:18" x14ac:dyDescent="0.45">
      <c r="B12" s="37"/>
      <c r="C12" s="37" t="s">
        <v>199</v>
      </c>
      <c r="D12" s="37" t="s">
        <v>200</v>
      </c>
      <c r="E12" s="37" t="s">
        <v>201</v>
      </c>
      <c r="F12" s="37" t="s">
        <v>201</v>
      </c>
      <c r="G12" s="37" t="s">
        <v>202</v>
      </c>
    </row>
    <row r="13" spans="1:18" x14ac:dyDescent="0.45">
      <c r="B13" s="38">
        <f>Run_1</f>
        <v>4950</v>
      </c>
      <c r="C13" s="52" cm="1">
        <f t="array" aca="1" ref="C13" ca="1">_xll.VoseSimMean(Out_Met_1)</f>
        <v>0.44950000000000001</v>
      </c>
      <c r="D13" s="41">
        <f>Exact_1</f>
        <v>0.4497894573303326</v>
      </c>
      <c r="E13" s="53" cm="1">
        <f t="array" aca="1" ref="E13" ca="1">_xll.VoseSimMean(Out_Cost_1)</f>
        <v>203.77222499999999</v>
      </c>
      <c r="F13" s="53" cm="1">
        <f t="array" aca="1" ref="F13" ca="1">_xll.VoseSimPercentile(Out_Cost_1,0.95)</f>
        <v>220.75</v>
      </c>
      <c r="G13" s="54" t="str">
        <f t="shared" ref="G13:G18" ca="1" si="0">IF(ISNUMBER(E13),IF(E13=MIN($E$13:$E$18),"✔  самое низкое",""),"–")</f>
        <v/>
      </c>
    </row>
    <row r="14" spans="1:18" x14ac:dyDescent="0.45">
      <c r="B14" s="38">
        <f>Run_2</f>
        <v>5000</v>
      </c>
      <c r="C14" s="52" cm="1">
        <f t="array" aca="1" ref="C14" ca="1">_xll.VoseSimMean(Out_Met_2)</f>
        <v>0.80820000000000003</v>
      </c>
      <c r="D14" s="41">
        <f>Exact_2</f>
        <v>0.80972523422176179</v>
      </c>
      <c r="E14" s="53" cm="1">
        <f t="array" aca="1" ref="E14" ca="1">_xll.VoseSimMean(Out_Cost_2)</f>
        <v>201.51490000000001</v>
      </c>
      <c r="F14" s="53" cm="1">
        <f t="array" aca="1" ref="F14" ca="1">_xll.VoseSimPercentile(Out_Cost_2,0.95)</f>
        <v>211</v>
      </c>
      <c r="G14" s="54" t="str">
        <f t="shared" ca="1" si="0"/>
        <v>✔  самое низкое</v>
      </c>
    </row>
    <row r="15" spans="1:18" x14ac:dyDescent="0.45">
      <c r="B15" s="38">
        <f>Run_3</f>
        <v>5050</v>
      </c>
      <c r="C15" s="52" cm="1">
        <f t="array" aca="1" ref="C15" ca="1">_xll.VoseSimMean(Out_Met_3)</f>
        <v>0.95779999999999998</v>
      </c>
      <c r="D15" s="41">
        <f>Exact_3</f>
        <v>0.95777914875627179</v>
      </c>
      <c r="E15" s="53" cm="1">
        <f t="array" aca="1" ref="E15" ca="1">_xll.VoseSimMean(Out_Cost_3)</f>
        <v>202.26435000000001</v>
      </c>
      <c r="F15" s="53" cm="1">
        <f t="array" aca="1" ref="F15" ca="1">_xll.VoseSimPercentile(Out_Cost_3,0.95)</f>
        <v>202</v>
      </c>
      <c r="G15" s="54" t="str">
        <f t="shared" ca="1" si="0"/>
        <v/>
      </c>
    </row>
    <row r="16" spans="1:18" x14ac:dyDescent="0.45">
      <c r="B16" s="38">
        <f>Run_4</f>
        <v>5100</v>
      </c>
      <c r="C16" s="52" cm="1">
        <f t="array" aca="1" ref="C16" ca="1">_xll.VoseSimMean(Out_Met_4)</f>
        <v>0.99309999999999998</v>
      </c>
      <c r="D16" s="41">
        <f>Exact_4</f>
        <v>0.99321445784453311</v>
      </c>
      <c r="E16" s="53" cm="1">
        <f t="array" aca="1" ref="E16" ca="1">_xll.VoseSimMean(Out_Cost_4)</f>
        <v>204.0384</v>
      </c>
      <c r="F16" s="53" cm="1">
        <f t="array" aca="1" ref="F16" ca="1">_xll.VoseSimPercentile(Out_Cost_4,0.95)</f>
        <v>204</v>
      </c>
      <c r="G16" s="54" t="str">
        <f t="shared" ca="1" si="0"/>
        <v/>
      </c>
    </row>
    <row r="17" spans="2:18" x14ac:dyDescent="0.45">
      <c r="B17" s="38">
        <f>Run_5</f>
        <v>5150</v>
      </c>
      <c r="C17" s="52" cm="1">
        <f t="array" aca="1" ref="C17" ca="1">_xll.VoseSimMean(Out_Met_5)</f>
        <v>0.99919999999999998</v>
      </c>
      <c r="D17" s="41">
        <f>Exact_5</f>
        <v>0.99913675338501018</v>
      </c>
      <c r="E17" s="53" cm="1">
        <f t="array" aca="1" ref="E17" ca="1">_xll.VoseSimMean(Out_Cost_5)</f>
        <v>206.00425000000001</v>
      </c>
      <c r="F17" s="53" cm="1">
        <f t="array" aca="1" ref="F17" ca="1">_xll.VoseSimPercentile(Out_Cost_5,0.95)</f>
        <v>206</v>
      </c>
      <c r="G17" s="54" t="str">
        <f t="shared" ca="1" si="0"/>
        <v/>
      </c>
    </row>
    <row r="18" spans="2:18" x14ac:dyDescent="0.45">
      <c r="B18" s="38">
        <f>Run_6</f>
        <v>5200</v>
      </c>
      <c r="C18" s="52" cm="1">
        <f t="array" aca="1" ref="C18" ca="1">_xll.VoseSimMean(Out_Met_6)</f>
        <v>1</v>
      </c>
      <c r="D18" s="41">
        <f>Exact_6</f>
        <v>0.99990754642559543</v>
      </c>
      <c r="E18" s="53" cm="1">
        <f t="array" aca="1" ref="E18" ca="1">_xll.VoseSimMean(Out_Cost_6)</f>
        <v>208</v>
      </c>
      <c r="F18" s="53" cm="1">
        <f t="array" aca="1" ref="F18" ca="1">_xll.VoseSimPercentile(Out_Cost_6,0.95)</f>
        <v>208</v>
      </c>
      <c r="G18" s="54" t="str">
        <f t="shared" ca="1" si="0"/>
        <v/>
      </c>
    </row>
    <row r="19" spans="2:18" ht="8" customHeight="1" x14ac:dyDescent="0.45"/>
    <row r="20" spans="2:18" ht="22.05" customHeight="1" x14ac:dyDescent="0.5">
      <c r="B20" s="7" t="s">
        <v>203</v>
      </c>
      <c r="C20" s="8"/>
      <c r="D20" s="8"/>
      <c r="E20" s="8"/>
      <c r="F20" s="8"/>
      <c r="G20" s="8"/>
    </row>
    <row r="21" spans="2:18" ht="18" customHeight="1" x14ac:dyDescent="0.45">
      <c r="B21" s="13" t="str">
        <f>"Партия в "&amp;TEXT(FocusRun,"#,##0")&amp;" деталей (лист «Исходные данные»): доля брака неопределенна и как если бы она была точно известна."</f>
        <v>Партия в 5000 деталей (лист «Исходные данные»): доля брака неопределенна и как если бы она была точно известна.</v>
      </c>
    </row>
    <row r="22" spans="2:18" ht="18" customHeight="1" x14ac:dyDescent="0.45">
      <c r="B22" s="23" t="s">
        <v>204</v>
      </c>
      <c r="C22" s="23" t="s">
        <v>93</v>
      </c>
      <c r="D22" s="24" t="s">
        <v>205</v>
      </c>
      <c r="E22" s="24" t="s">
        <v>206</v>
      </c>
      <c r="F22" s="24" t="s">
        <v>197</v>
      </c>
      <c r="G22" s="24" t="s">
        <v>207</v>
      </c>
    </row>
    <row r="23" spans="2:18" x14ac:dyDescent="0.45">
      <c r="B23" s="25" t="s">
        <v>208</v>
      </c>
      <c r="C23" s="26" t="s">
        <v>98</v>
      </c>
      <c r="D23" s="55" cm="1">
        <f t="array" aca="1" ref="D23" ca="1">_xll.VoseSimPercentile(Out_Good,0.05)</f>
        <v>4756</v>
      </c>
      <c r="E23" s="55" cm="1">
        <f t="array" aca="1" ref="E23" ca="1">_xll.VoseSimPercentile(Out_Good,0.5)</f>
        <v>4842</v>
      </c>
      <c r="F23" s="55" cm="1">
        <f t="array" aca="1" ref="F23" ca="1">_xll.VoseSimPercentile(Out_Good,0.95)</f>
        <v>4907</v>
      </c>
      <c r="G23" s="55" cm="1">
        <f t="array" aca="1" ref="G23" ca="1">_xll.VoseSimMean(Out_Good)</f>
        <v>4838.0974999999999</v>
      </c>
    </row>
    <row r="24" spans="2:18" x14ac:dyDescent="0.45">
      <c r="B24" s="25" t="s">
        <v>209</v>
      </c>
      <c r="C24" s="26" t="s">
        <v>98</v>
      </c>
      <c r="D24" s="55" cm="1">
        <f t="array" aca="1" ref="D24" ca="1">_xll.VoseSimPercentile(Out_GoodKnown,0.05)</f>
        <v>4829</v>
      </c>
      <c r="E24" s="55" cm="1">
        <f t="array" aca="1" ref="E24" ca="1">_xll.VoseSimPercentile(Out_GoodKnown,0.5)</f>
        <v>4850</v>
      </c>
      <c r="F24" s="55" cm="1">
        <f t="array" aca="1" ref="F24" ca="1">_xll.VoseSimPercentile(Out_GoodKnown,0.95)</f>
        <v>4870</v>
      </c>
      <c r="G24" s="55" cm="1">
        <f t="array" aca="1" ref="G24" ca="1">_xll.VoseSimMean(Out_GoodKnown)</f>
        <v>4849.8761000000004</v>
      </c>
    </row>
    <row r="25" spans="2:18" ht="18" customHeight="1" x14ac:dyDescent="0.45">
      <c r="B25" s="23" t="s">
        <v>204</v>
      </c>
      <c r="C25" s="23" t="s">
        <v>93</v>
      </c>
      <c r="D25" s="24" t="s">
        <v>123</v>
      </c>
      <c r="E25" s="5"/>
      <c r="F25" s="5"/>
      <c r="G25" s="5"/>
      <c r="I25" s="49" t="s">
        <v>210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56" t="s">
        <v>211</v>
      </c>
      <c r="C26" s="26"/>
      <c r="D26" s="52" cm="1">
        <f t="array" aca="1" ref="D26" ca="1">_xll.VoseSimMean(Out_MetFocus)</f>
        <v>0.80820000000000003</v>
      </c>
      <c r="E26" s="28"/>
      <c r="F26" s="28"/>
      <c r="G26" s="28"/>
    </row>
    <row r="27" spans="2:18" x14ac:dyDescent="0.45">
      <c r="B27" s="25" t="s">
        <v>212</v>
      </c>
      <c r="C27" s="26"/>
      <c r="D27" s="52" cm="1">
        <f t="array" aca="1" ref="D27" ca="1">_xll.VoseSimMean(Out_MetKnown)</f>
        <v>1</v>
      </c>
      <c r="E27" s="28"/>
      <c r="F27" s="28"/>
      <c r="G27" s="28"/>
    </row>
    <row r="28" spans="2:18" x14ac:dyDescent="0.45">
      <c r="B28" s="57" t="s">
        <v>213</v>
      </c>
      <c r="C28" s="26"/>
      <c r="D28" s="41">
        <f>ExactKnown</f>
        <v>0.99996812308980665</v>
      </c>
      <c r="E28" s="28"/>
      <c r="F28" s="28"/>
      <c r="G28" s="28"/>
    </row>
    <row r="29" spans="2:18" ht="8" customHeight="1" x14ac:dyDescent="0.45"/>
    <row r="41" spans="2:7" ht="22.05" customHeight="1" x14ac:dyDescent="0.5">
      <c r="B41" s="7" t="s">
        <v>214</v>
      </c>
      <c r="C41" s="8"/>
      <c r="D41" s="8"/>
      <c r="E41" s="8"/>
      <c r="F41" s="8"/>
      <c r="G41" s="8"/>
    </row>
    <row r="42" spans="2:7" ht="32" customHeight="1" x14ac:dyDescent="0.45">
      <c r="B42" s="63" t="s">
        <v>215</v>
      </c>
      <c r="C42" s="62"/>
      <c r="D42" s="62"/>
      <c r="E42" s="62"/>
      <c r="F42" s="62"/>
      <c r="G42" s="62"/>
    </row>
    <row r="43" spans="2:7" ht="32" customHeight="1" x14ac:dyDescent="0.45">
      <c r="B43" s="63" t="s">
        <v>216</v>
      </c>
      <c r="C43" s="62"/>
      <c r="D43" s="62"/>
      <c r="E43" s="62"/>
      <c r="F43" s="62"/>
      <c r="G43" s="62"/>
    </row>
    <row r="44" spans="2:7" ht="45" customHeight="1" x14ac:dyDescent="0.45">
      <c r="B44" s="63" t="s">
        <v>217</v>
      </c>
      <c r="C44" s="62"/>
      <c r="D44" s="62"/>
      <c r="E44" s="62"/>
      <c r="F44" s="62"/>
      <c r="G44" s="62"/>
    </row>
    <row r="45" spans="2:7" ht="32" customHeight="1" x14ac:dyDescent="0.45">
      <c r="B45" s="63" t="s">
        <v>218</v>
      </c>
      <c r="C45" s="62"/>
      <c r="D45" s="62"/>
      <c r="E45" s="62"/>
      <c r="F45" s="62"/>
      <c r="G45" s="62"/>
    </row>
    <row r="46" spans="2:7" ht="32" customHeight="1" x14ac:dyDescent="0.45">
      <c r="B46" s="63" t="s">
        <v>219</v>
      </c>
      <c r="C46" s="62"/>
      <c r="D46" s="62"/>
      <c r="E46" s="62"/>
      <c r="F46" s="62"/>
      <c r="G46" s="62"/>
    </row>
    <row r="47" spans="2:7" ht="14" customHeight="1" x14ac:dyDescent="0.45"/>
    <row r="48" spans="2:7" ht="14" customHeight="1" x14ac:dyDescent="0.45"/>
    <row r="49" spans="2:7" ht="22.05" customHeight="1" x14ac:dyDescent="0.5">
      <c r="B49" s="7" t="s">
        <v>220</v>
      </c>
      <c r="C49" s="8"/>
      <c r="D49" s="8"/>
      <c r="E49" s="8"/>
      <c r="F49" s="8"/>
      <c r="G49" s="8"/>
    </row>
    <row r="50" spans="2:7" ht="18" customHeight="1" x14ac:dyDescent="0.45">
      <c r="B50" s="13" t="s">
        <v>221</v>
      </c>
    </row>
    <row r="51" spans="2:7" ht="28.05" hidden="1" customHeight="1" outlineLevel="1" x14ac:dyDescent="0.45">
      <c r="B51" s="24" t="s">
        <v>222</v>
      </c>
      <c r="C51" s="24" t="s">
        <v>223</v>
      </c>
      <c r="D51" s="24" t="s">
        <v>224</v>
      </c>
      <c r="E51" s="24" t="s">
        <v>225</v>
      </c>
      <c r="F51" s="5"/>
      <c r="G51" s="5"/>
    </row>
    <row r="52" spans="2:7" hidden="1" outlineLevel="1" x14ac:dyDescent="0.45">
      <c r="B52" s="58">
        <v>0.01</v>
      </c>
      <c r="C52" s="58">
        <f t="shared" ref="C52:C83" si="1">1-B52</f>
        <v>0.99</v>
      </c>
      <c r="D52" s="59" cm="1">
        <f t="array" aca="1" ref="D52" ca="1">IF(ISNUMBER(_xll.VoseSimPercentile(Out_Good,$B52)),_xll.VoseSimPercentile(Out_Good,$B52),NA())</f>
        <v>4718</v>
      </c>
      <c r="E52" s="59" cm="1">
        <f t="array" aca="1" ref="E52" ca="1">IF(ISNUMBER(_xll.VoseSimPercentile(Out_GoodKnown,$B52)),_xll.VoseSimPercentile(Out_GoodKnown,$B52),NA())</f>
        <v>4820</v>
      </c>
    </row>
    <row r="53" spans="2:7" hidden="1" outlineLevel="1" x14ac:dyDescent="0.45">
      <c r="B53" s="58">
        <v>0.03</v>
      </c>
      <c r="C53" s="58">
        <f t="shared" si="1"/>
        <v>0.97</v>
      </c>
      <c r="D53" s="59" cm="1">
        <f t="array" aca="1" ref="D53" ca="1">IF(ISNUMBER(_xll.VoseSimPercentile(Out_Good,$B53)),_xll.VoseSimPercentile(Out_Good,$B53),NA())</f>
        <v>4743</v>
      </c>
      <c r="E53" s="59" cm="1">
        <f t="array" aca="1" ref="E53" ca="1">IF(ISNUMBER(_xll.VoseSimPercentile(Out_GoodKnown,$B53)),_xll.VoseSimPercentile(Out_GoodKnown,$B53),NA())</f>
        <v>4826</v>
      </c>
    </row>
    <row r="54" spans="2:7" hidden="1" outlineLevel="1" x14ac:dyDescent="0.45">
      <c r="B54" s="58">
        <v>0.05</v>
      </c>
      <c r="C54" s="58">
        <f t="shared" si="1"/>
        <v>0.95</v>
      </c>
      <c r="D54" s="59" cm="1">
        <f t="array" aca="1" ref="D54" ca="1">IF(ISNUMBER(_xll.VoseSimPercentile(Out_Good,$B54)),_xll.VoseSimPercentile(Out_Good,$B54),NA())</f>
        <v>4756</v>
      </c>
      <c r="E54" s="59" cm="1">
        <f t="array" aca="1" ref="E54" ca="1">IF(ISNUMBER(_xll.VoseSimPercentile(Out_GoodKnown,$B54)),_xll.VoseSimPercentile(Out_GoodKnown,$B54),NA())</f>
        <v>4829</v>
      </c>
    </row>
    <row r="55" spans="2:7" hidden="1" outlineLevel="1" x14ac:dyDescent="0.45">
      <c r="B55" s="58">
        <v>7.0000000000000007E-2</v>
      </c>
      <c r="C55" s="58">
        <f t="shared" si="1"/>
        <v>0.92999999999999994</v>
      </c>
      <c r="D55" s="59" cm="1">
        <f t="array" aca="1" ref="D55" ca="1">IF(ISNUMBER(_xll.VoseSimPercentile(Out_Good,$B55)),_xll.VoseSimPercentile(Out_Good,$B55),NA())</f>
        <v>4766</v>
      </c>
      <c r="E55" s="59" cm="1">
        <f t="array" aca="1" ref="E55" ca="1">IF(ISNUMBER(_xll.VoseSimPercentile(Out_GoodKnown,$B55)),_xll.VoseSimPercentile(Out_GoodKnown,$B55),NA())</f>
        <v>4832</v>
      </c>
    </row>
    <row r="56" spans="2:7" hidden="1" outlineLevel="1" x14ac:dyDescent="0.45">
      <c r="B56" s="58">
        <v>0.09</v>
      </c>
      <c r="C56" s="58">
        <f t="shared" si="1"/>
        <v>0.91</v>
      </c>
      <c r="D56" s="59" cm="1">
        <f t="array" aca="1" ref="D56" ca="1">IF(ISNUMBER(_xll.VoseSimPercentile(Out_Good,$B56)),_xll.VoseSimPercentile(Out_Good,$B56),NA())</f>
        <v>4773</v>
      </c>
      <c r="E56" s="59" cm="1">
        <f t="array" aca="1" ref="E56" ca="1">IF(ISNUMBER(_xll.VoseSimPercentile(Out_GoodKnown,$B56)),_xll.VoseSimPercentile(Out_GoodKnown,$B56),NA())</f>
        <v>4833</v>
      </c>
    </row>
    <row r="57" spans="2:7" hidden="1" outlineLevel="1" x14ac:dyDescent="0.45">
      <c r="B57" s="58">
        <v>0.11</v>
      </c>
      <c r="C57" s="58">
        <f t="shared" si="1"/>
        <v>0.89</v>
      </c>
      <c r="D57" s="59" cm="1">
        <f t="array" aca="1" ref="D57" ca="1">IF(ISNUMBER(_xll.VoseSimPercentile(Out_Good,$B57)),_xll.VoseSimPercentile(Out_Good,$B57),NA())</f>
        <v>4780</v>
      </c>
      <c r="E57" s="59" cm="1">
        <f t="array" aca="1" ref="E57" ca="1">IF(ISNUMBER(_xll.VoseSimPercentile(Out_GoodKnown,$B57)),_xll.VoseSimPercentile(Out_GoodKnown,$B57),NA())</f>
        <v>4835</v>
      </c>
    </row>
    <row r="58" spans="2:7" hidden="1" outlineLevel="1" x14ac:dyDescent="0.45">
      <c r="B58" s="58">
        <v>0.13</v>
      </c>
      <c r="C58" s="58">
        <f t="shared" si="1"/>
        <v>0.87</v>
      </c>
      <c r="D58" s="59" cm="1">
        <f t="array" aca="1" ref="D58" ca="1">IF(ISNUMBER(_xll.VoseSimPercentile(Out_Good,$B58)),_xll.VoseSimPercentile(Out_Good,$B58),NA())</f>
        <v>4785</v>
      </c>
      <c r="E58" s="59" cm="1">
        <f t="array" aca="1" ref="E58" ca="1">IF(ISNUMBER(_xll.VoseSimPercentile(Out_GoodKnown,$B58)),_xll.VoseSimPercentile(Out_GoodKnown,$B58),NA())</f>
        <v>4836</v>
      </c>
    </row>
    <row r="59" spans="2:7" hidden="1" outlineLevel="1" x14ac:dyDescent="0.45">
      <c r="B59" s="58">
        <v>0.15</v>
      </c>
      <c r="C59" s="58">
        <f t="shared" si="1"/>
        <v>0.85</v>
      </c>
      <c r="D59" s="59" cm="1">
        <f t="array" aca="1" ref="D59" ca="1">IF(ISNUMBER(_xll.VoseSimPercentile(Out_Good,$B59)),_xll.VoseSimPercentile(Out_Good,$B59),NA())</f>
        <v>4791</v>
      </c>
      <c r="E59" s="59" cm="1">
        <f t="array" aca="1" ref="E59" ca="1">IF(ISNUMBER(_xll.VoseSimPercentile(Out_GoodKnown,$B59)),_xll.VoseSimPercentile(Out_GoodKnown,$B59),NA())</f>
        <v>4837</v>
      </c>
    </row>
    <row r="60" spans="2:7" hidden="1" outlineLevel="1" x14ac:dyDescent="0.45">
      <c r="B60" s="58">
        <v>0.17</v>
      </c>
      <c r="C60" s="58">
        <f t="shared" si="1"/>
        <v>0.83</v>
      </c>
      <c r="D60" s="59" cm="1">
        <f t="array" aca="1" ref="D60" ca="1">IF(ISNUMBER(_xll.VoseSimPercentile(Out_Good,$B60)),_xll.VoseSimPercentile(Out_Good,$B60),NA())</f>
        <v>4795</v>
      </c>
      <c r="E60" s="59" cm="1">
        <f t="array" aca="1" ref="E60" ca="1">IF(ISNUMBER(_xll.VoseSimPercentile(Out_GoodKnown,$B60)),_xll.VoseSimPercentile(Out_GoodKnown,$B60),NA())</f>
        <v>4838</v>
      </c>
    </row>
    <row r="61" spans="2:7" hidden="1" outlineLevel="1" x14ac:dyDescent="0.45">
      <c r="B61" s="58">
        <v>0.19</v>
      </c>
      <c r="C61" s="58">
        <f t="shared" si="1"/>
        <v>0.81</v>
      </c>
      <c r="D61" s="59" cm="1">
        <f t="array" aca="1" ref="D61" ca="1">IF(ISNUMBER(_xll.VoseSimPercentile(Out_Good,$B61)),_xll.VoseSimPercentile(Out_Good,$B61),NA())</f>
        <v>4799</v>
      </c>
      <c r="E61" s="59" cm="1">
        <f t="array" aca="1" ref="E61" ca="1">IF(ISNUMBER(_xll.VoseSimPercentile(Out_GoodKnown,$B61)),_xll.VoseSimPercentile(Out_GoodKnown,$B61),NA())</f>
        <v>4839</v>
      </c>
    </row>
    <row r="62" spans="2:7" hidden="1" outlineLevel="1" x14ac:dyDescent="0.45">
      <c r="B62" s="58">
        <v>0.21</v>
      </c>
      <c r="C62" s="58">
        <f t="shared" si="1"/>
        <v>0.79</v>
      </c>
      <c r="D62" s="59" cm="1">
        <f t="array" aca="1" ref="D62" ca="1">IF(ISNUMBER(_xll.VoseSimPercentile(Out_Good,$B62)),_xll.VoseSimPercentile(Out_Good,$B62),NA())</f>
        <v>4803</v>
      </c>
      <c r="E62" s="59" cm="1">
        <f t="array" aca="1" ref="E62" ca="1">IF(ISNUMBER(_xll.VoseSimPercentile(Out_GoodKnown,$B62)),_xll.VoseSimPercentile(Out_GoodKnown,$B62),NA())</f>
        <v>4840</v>
      </c>
    </row>
    <row r="63" spans="2:7" hidden="1" outlineLevel="1" x14ac:dyDescent="0.45">
      <c r="B63" s="58">
        <v>0.23</v>
      </c>
      <c r="C63" s="58">
        <f t="shared" si="1"/>
        <v>0.77</v>
      </c>
      <c r="D63" s="59" cm="1">
        <f t="array" aca="1" ref="D63" ca="1">IF(ISNUMBER(_xll.VoseSimPercentile(Out_Good,$B63)),_xll.VoseSimPercentile(Out_Good,$B63),NA())</f>
        <v>4806</v>
      </c>
      <c r="E63" s="59" cm="1">
        <f t="array" aca="1" ref="E63" ca="1">IF(ISNUMBER(_xll.VoseSimPercentile(Out_GoodKnown,$B63)),_xll.VoseSimPercentile(Out_GoodKnown,$B63),NA())</f>
        <v>4841</v>
      </c>
    </row>
    <row r="64" spans="2:7" hidden="1" outlineLevel="1" x14ac:dyDescent="0.45">
      <c r="B64" s="58">
        <v>0.25</v>
      </c>
      <c r="C64" s="58">
        <f t="shared" si="1"/>
        <v>0.75</v>
      </c>
      <c r="D64" s="59" cm="1">
        <f t="array" aca="1" ref="D64" ca="1">IF(ISNUMBER(_xll.VoseSimPercentile(Out_Good,$B64)),_xll.VoseSimPercentile(Out_Good,$B64),NA())</f>
        <v>4810</v>
      </c>
      <c r="E64" s="59" cm="1">
        <f t="array" aca="1" ref="E64" ca="1">IF(ISNUMBER(_xll.VoseSimPercentile(Out_GoodKnown,$B64)),_xll.VoseSimPercentile(Out_GoodKnown,$B64),NA())</f>
        <v>4842</v>
      </c>
    </row>
    <row r="65" spans="2:5" hidden="1" outlineLevel="1" x14ac:dyDescent="0.45">
      <c r="B65" s="58">
        <v>0.27</v>
      </c>
      <c r="C65" s="58">
        <f t="shared" si="1"/>
        <v>0.73</v>
      </c>
      <c r="D65" s="59" cm="1">
        <f t="array" aca="1" ref="D65" ca="1">IF(ISNUMBER(_xll.VoseSimPercentile(Out_Good,$B65)),_xll.VoseSimPercentile(Out_Good,$B65),NA())</f>
        <v>4813</v>
      </c>
      <c r="E65" s="59" cm="1">
        <f t="array" aca="1" ref="E65" ca="1">IF(ISNUMBER(_xll.VoseSimPercentile(Out_GoodKnown,$B65)),_xll.VoseSimPercentile(Out_GoodKnown,$B65),NA())</f>
        <v>4843</v>
      </c>
    </row>
    <row r="66" spans="2:5" hidden="1" outlineLevel="1" x14ac:dyDescent="0.45">
      <c r="B66" s="58">
        <v>0.28999999999999998</v>
      </c>
      <c r="C66" s="58">
        <f t="shared" si="1"/>
        <v>0.71</v>
      </c>
      <c r="D66" s="59" cm="1">
        <f t="array" aca="1" ref="D66" ca="1">IF(ISNUMBER(_xll.VoseSimPercentile(Out_Good,$B66)),_xll.VoseSimPercentile(Out_Good,$B66),NA())</f>
        <v>4816</v>
      </c>
      <c r="E66" s="59" cm="1">
        <f t="array" aca="1" ref="E66" ca="1">IF(ISNUMBER(_xll.VoseSimPercentile(Out_GoodKnown,$B66)),_xll.VoseSimPercentile(Out_GoodKnown,$B66),NA())</f>
        <v>4843</v>
      </c>
    </row>
    <row r="67" spans="2:5" hidden="1" outlineLevel="1" x14ac:dyDescent="0.45">
      <c r="B67" s="58">
        <v>0.31</v>
      </c>
      <c r="C67" s="58">
        <f t="shared" si="1"/>
        <v>0.69</v>
      </c>
      <c r="D67" s="59" cm="1">
        <f t="array" aca="1" ref="D67" ca="1">IF(ISNUMBER(_xll.VoseSimPercentile(Out_Good,$B67)),_xll.VoseSimPercentile(Out_Good,$B67),NA())</f>
        <v>4819</v>
      </c>
      <c r="E67" s="59" cm="1">
        <f t="array" aca="1" ref="E67" ca="1">IF(ISNUMBER(_xll.VoseSimPercentile(Out_GoodKnown,$B67)),_xll.VoseSimPercentile(Out_GoodKnown,$B67),NA())</f>
        <v>4844</v>
      </c>
    </row>
    <row r="68" spans="2:5" hidden="1" outlineLevel="1" x14ac:dyDescent="0.45">
      <c r="B68" s="58">
        <v>0.33</v>
      </c>
      <c r="C68" s="58">
        <f t="shared" si="1"/>
        <v>0.66999999999999993</v>
      </c>
      <c r="D68" s="59" cm="1">
        <f t="array" aca="1" ref="D68" ca="1">IF(ISNUMBER(_xll.VoseSimPercentile(Out_Good,$B68)),_xll.VoseSimPercentile(Out_Good,$B68),NA())</f>
        <v>4822</v>
      </c>
      <c r="E68" s="59" cm="1">
        <f t="array" aca="1" ref="E68" ca="1">IF(ISNUMBER(_xll.VoseSimPercentile(Out_GoodKnown,$B68)),_xll.VoseSimPercentile(Out_GoodKnown,$B68),NA())</f>
        <v>4845</v>
      </c>
    </row>
    <row r="69" spans="2:5" hidden="1" outlineLevel="1" x14ac:dyDescent="0.45">
      <c r="B69" s="58">
        <v>0.35</v>
      </c>
      <c r="C69" s="58">
        <f t="shared" si="1"/>
        <v>0.65</v>
      </c>
      <c r="D69" s="59" cm="1">
        <f t="array" aca="1" ref="D69" ca="1">IF(ISNUMBER(_xll.VoseSimPercentile(Out_Good,$B69)),_xll.VoseSimPercentile(Out_Good,$B69),NA())</f>
        <v>4824</v>
      </c>
      <c r="E69" s="59" cm="1">
        <f t="array" aca="1" ref="E69" ca="1">IF(ISNUMBER(_xll.VoseSimPercentile(Out_GoodKnown,$B69)),_xll.VoseSimPercentile(Out_GoodKnown,$B69),NA())</f>
        <v>4845</v>
      </c>
    </row>
    <row r="70" spans="2:5" hidden="1" outlineLevel="1" x14ac:dyDescent="0.45">
      <c r="B70" s="58">
        <v>0.37</v>
      </c>
      <c r="C70" s="58">
        <f t="shared" si="1"/>
        <v>0.63</v>
      </c>
      <c r="D70" s="59" cm="1">
        <f t="array" aca="1" ref="D70" ca="1">IF(ISNUMBER(_xll.VoseSimPercentile(Out_Good,$B70)),_xll.VoseSimPercentile(Out_Good,$B70),NA())</f>
        <v>4827</v>
      </c>
      <c r="E70" s="59" cm="1">
        <f t="array" aca="1" ref="E70" ca="1">IF(ISNUMBER(_xll.VoseSimPercentile(Out_GoodKnown,$B70)),_xll.VoseSimPercentile(Out_GoodKnown,$B70),NA())</f>
        <v>4846</v>
      </c>
    </row>
    <row r="71" spans="2:5" hidden="1" outlineLevel="1" x14ac:dyDescent="0.45">
      <c r="B71" s="58">
        <v>0.39</v>
      </c>
      <c r="C71" s="58">
        <f t="shared" si="1"/>
        <v>0.61</v>
      </c>
      <c r="D71" s="59" cm="1">
        <f t="array" aca="1" ref="D71" ca="1">IF(ISNUMBER(_xll.VoseSimPercentile(Out_Good,$B71)),_xll.VoseSimPercentile(Out_Good,$B71),NA())</f>
        <v>4829</v>
      </c>
      <c r="E71" s="59" cm="1">
        <f t="array" aca="1" ref="E71" ca="1">IF(ISNUMBER(_xll.VoseSimPercentile(Out_GoodKnown,$B71)),_xll.VoseSimPercentile(Out_GoodKnown,$B71),NA())</f>
        <v>4847</v>
      </c>
    </row>
    <row r="72" spans="2:5" hidden="1" outlineLevel="1" x14ac:dyDescent="0.45">
      <c r="B72" s="58">
        <v>0.41</v>
      </c>
      <c r="C72" s="58">
        <f t="shared" si="1"/>
        <v>0.59000000000000008</v>
      </c>
      <c r="D72" s="59" cm="1">
        <f t="array" aca="1" ref="D72" ca="1">IF(ISNUMBER(_xll.VoseSimPercentile(Out_Good,$B72)),_xll.VoseSimPercentile(Out_Good,$B72),NA())</f>
        <v>4831</v>
      </c>
      <c r="E72" s="59" cm="1">
        <f t="array" aca="1" ref="E72" ca="1">IF(ISNUMBER(_xll.VoseSimPercentile(Out_GoodKnown,$B72)),_xll.VoseSimPercentile(Out_GoodKnown,$B72),NA())</f>
        <v>4847</v>
      </c>
    </row>
    <row r="73" spans="2:5" hidden="1" outlineLevel="1" x14ac:dyDescent="0.45">
      <c r="B73" s="58">
        <v>0.43</v>
      </c>
      <c r="C73" s="58">
        <f t="shared" si="1"/>
        <v>0.57000000000000006</v>
      </c>
      <c r="D73" s="59" cm="1">
        <f t="array" aca="1" ref="D73" ca="1">IF(ISNUMBER(_xll.VoseSimPercentile(Out_Good,$B73)),_xll.VoseSimPercentile(Out_Good,$B73),NA())</f>
        <v>4834</v>
      </c>
      <c r="E73" s="59" cm="1">
        <f t="array" aca="1" ref="E73" ca="1">IF(ISNUMBER(_xll.VoseSimPercentile(Out_GoodKnown,$B73)),_xll.VoseSimPercentile(Out_GoodKnown,$B73),NA())</f>
        <v>4848</v>
      </c>
    </row>
    <row r="74" spans="2:5" hidden="1" outlineLevel="1" x14ac:dyDescent="0.45">
      <c r="B74" s="58">
        <v>0.45</v>
      </c>
      <c r="C74" s="58">
        <f t="shared" si="1"/>
        <v>0.55000000000000004</v>
      </c>
      <c r="D74" s="59" cm="1">
        <f t="array" aca="1" ref="D74" ca="1">IF(ISNUMBER(_xll.VoseSimPercentile(Out_Good,$B74)),_xll.VoseSimPercentile(Out_Good,$B74),NA())</f>
        <v>4836</v>
      </c>
      <c r="E74" s="59" cm="1">
        <f t="array" aca="1" ref="E74" ca="1">IF(ISNUMBER(_xll.VoseSimPercentile(Out_GoodKnown,$B74)),_xll.VoseSimPercentile(Out_GoodKnown,$B74),NA())</f>
        <v>4849</v>
      </c>
    </row>
    <row r="75" spans="2:5" hidden="1" outlineLevel="1" x14ac:dyDescent="0.45">
      <c r="B75" s="58">
        <v>0.47</v>
      </c>
      <c r="C75" s="58">
        <f t="shared" si="1"/>
        <v>0.53</v>
      </c>
      <c r="D75" s="59" cm="1">
        <f t="array" aca="1" ref="D75" ca="1">IF(ISNUMBER(_xll.VoseSimPercentile(Out_Good,$B75)),_xll.VoseSimPercentile(Out_Good,$B75),NA())</f>
        <v>4838</v>
      </c>
      <c r="E75" s="59" cm="1">
        <f t="array" aca="1" ref="E75" ca="1">IF(ISNUMBER(_xll.VoseSimPercentile(Out_GoodKnown,$B75)),_xll.VoseSimPercentile(Out_GoodKnown,$B75),NA())</f>
        <v>4849</v>
      </c>
    </row>
    <row r="76" spans="2:5" hidden="1" outlineLevel="1" x14ac:dyDescent="0.45">
      <c r="B76" s="58">
        <v>0.49</v>
      </c>
      <c r="C76" s="58">
        <f t="shared" si="1"/>
        <v>0.51</v>
      </c>
      <c r="D76" s="59" cm="1">
        <f t="array" aca="1" ref="D76" ca="1">IF(ISNUMBER(_xll.VoseSimPercentile(Out_Good,$B76)),_xll.VoseSimPercentile(Out_Good,$B76),NA())</f>
        <v>4841</v>
      </c>
      <c r="E76" s="59" cm="1">
        <f t="array" aca="1" ref="E76" ca="1">IF(ISNUMBER(_xll.VoseSimPercentile(Out_GoodKnown,$B76)),_xll.VoseSimPercentile(Out_GoodKnown,$B76),NA())</f>
        <v>4850</v>
      </c>
    </row>
    <row r="77" spans="2:5" hidden="1" outlineLevel="1" x14ac:dyDescent="0.45">
      <c r="B77" s="58">
        <v>0.51</v>
      </c>
      <c r="C77" s="58">
        <f t="shared" si="1"/>
        <v>0.49</v>
      </c>
      <c r="D77" s="59" cm="1">
        <f t="array" aca="1" ref="D77" ca="1">IF(ISNUMBER(_xll.VoseSimPercentile(Out_Good,$B77)),_xll.VoseSimPercentile(Out_Good,$B77),NA())</f>
        <v>4843</v>
      </c>
      <c r="E77" s="59" cm="1">
        <f t="array" aca="1" ref="E77" ca="1">IF(ISNUMBER(_xll.VoseSimPercentile(Out_GoodKnown,$B77)),_xll.VoseSimPercentile(Out_GoodKnown,$B77),NA())</f>
        <v>4850</v>
      </c>
    </row>
    <row r="78" spans="2:5" hidden="1" outlineLevel="1" x14ac:dyDescent="0.45">
      <c r="B78" s="58">
        <v>0.53</v>
      </c>
      <c r="C78" s="58">
        <f t="shared" si="1"/>
        <v>0.47</v>
      </c>
      <c r="D78" s="59" cm="1">
        <f t="array" aca="1" ref="D78" ca="1">IF(ISNUMBER(_xll.VoseSimPercentile(Out_Good,$B78)),_xll.VoseSimPercentile(Out_Good,$B78),NA())</f>
        <v>4845</v>
      </c>
      <c r="E78" s="59" cm="1">
        <f t="array" aca="1" ref="E78" ca="1">IF(ISNUMBER(_xll.VoseSimPercentile(Out_GoodKnown,$B78)),_xll.VoseSimPercentile(Out_GoodKnown,$B78),NA())</f>
        <v>4851</v>
      </c>
    </row>
    <row r="79" spans="2:5" hidden="1" outlineLevel="1" x14ac:dyDescent="0.45">
      <c r="B79" s="58">
        <v>0.55000000000000004</v>
      </c>
      <c r="C79" s="58">
        <f t="shared" si="1"/>
        <v>0.44999999999999996</v>
      </c>
      <c r="D79" s="59" cm="1">
        <f t="array" aca="1" ref="D79" ca="1">IF(ISNUMBER(_xll.VoseSimPercentile(Out_Good,$B79)),_xll.VoseSimPercentile(Out_Good,$B79),NA())</f>
        <v>4848</v>
      </c>
      <c r="E79" s="59" cm="1">
        <f t="array" aca="1" ref="E79" ca="1">IF(ISNUMBER(_xll.VoseSimPercentile(Out_GoodKnown,$B79)),_xll.VoseSimPercentile(Out_GoodKnown,$B79),NA())</f>
        <v>4852</v>
      </c>
    </row>
    <row r="80" spans="2:5" hidden="1" outlineLevel="1" x14ac:dyDescent="0.45">
      <c r="B80" s="58">
        <v>0.56999999999999995</v>
      </c>
      <c r="C80" s="58">
        <f t="shared" si="1"/>
        <v>0.43000000000000005</v>
      </c>
      <c r="D80" s="59" cm="1">
        <f t="array" aca="1" ref="D80" ca="1">IF(ISNUMBER(_xll.VoseSimPercentile(Out_Good,$B80)),_xll.VoseSimPercentile(Out_Good,$B80),NA())</f>
        <v>4850</v>
      </c>
      <c r="E80" s="59" cm="1">
        <f t="array" aca="1" ref="E80" ca="1">IF(ISNUMBER(_xll.VoseSimPercentile(Out_GoodKnown,$B80)),_xll.VoseSimPercentile(Out_GoodKnown,$B80),NA())</f>
        <v>4852</v>
      </c>
    </row>
    <row r="81" spans="2:5" hidden="1" outlineLevel="1" x14ac:dyDescent="0.45">
      <c r="B81" s="58">
        <v>0.59</v>
      </c>
      <c r="C81" s="58">
        <f t="shared" si="1"/>
        <v>0.41000000000000003</v>
      </c>
      <c r="D81" s="59" cm="1">
        <f t="array" aca="1" ref="D81" ca="1">IF(ISNUMBER(_xll.VoseSimPercentile(Out_Good,$B81)),_xll.VoseSimPercentile(Out_Good,$B81),NA())</f>
        <v>4852</v>
      </c>
      <c r="E81" s="59" cm="1">
        <f t="array" aca="1" ref="E81" ca="1">IF(ISNUMBER(_xll.VoseSimPercentile(Out_GoodKnown,$B81)),_xll.VoseSimPercentile(Out_GoodKnown,$B81),NA())</f>
        <v>4853</v>
      </c>
    </row>
    <row r="82" spans="2:5" hidden="1" outlineLevel="1" x14ac:dyDescent="0.45">
      <c r="B82" s="58">
        <v>0.61</v>
      </c>
      <c r="C82" s="58">
        <f t="shared" si="1"/>
        <v>0.39</v>
      </c>
      <c r="D82" s="59" cm="1">
        <f t="array" aca="1" ref="D82" ca="1">IF(ISNUMBER(_xll.VoseSimPercentile(Out_Good,$B82)),_xll.VoseSimPercentile(Out_Good,$B82),NA())</f>
        <v>4854</v>
      </c>
      <c r="E82" s="59" cm="1">
        <f t="array" aca="1" ref="E82" ca="1">IF(ISNUMBER(_xll.VoseSimPercentile(Out_GoodKnown,$B82)),_xll.VoseSimPercentile(Out_GoodKnown,$B82),NA())</f>
        <v>4853</v>
      </c>
    </row>
    <row r="83" spans="2:5" hidden="1" outlineLevel="1" x14ac:dyDescent="0.45">
      <c r="B83" s="58">
        <v>0.63</v>
      </c>
      <c r="C83" s="58">
        <f t="shared" si="1"/>
        <v>0.37</v>
      </c>
      <c r="D83" s="59" cm="1">
        <f t="array" aca="1" ref="D83" ca="1">IF(ISNUMBER(_xll.VoseSimPercentile(Out_Good,$B83)),_xll.VoseSimPercentile(Out_Good,$B83),NA())</f>
        <v>4856</v>
      </c>
      <c r="E83" s="59" cm="1">
        <f t="array" aca="1" ref="E83" ca="1">IF(ISNUMBER(_xll.VoseSimPercentile(Out_GoodKnown,$B83)),_xll.VoseSimPercentile(Out_GoodKnown,$B83),NA())</f>
        <v>4854</v>
      </c>
    </row>
    <row r="84" spans="2:5" hidden="1" outlineLevel="1" x14ac:dyDescent="0.45">
      <c r="B84" s="58">
        <v>0.65</v>
      </c>
      <c r="C84" s="58">
        <f t="shared" ref="C84:C115" si="2">1-B84</f>
        <v>0.35</v>
      </c>
      <c r="D84" s="59" cm="1">
        <f t="array" aca="1" ref="D84" ca="1">IF(ISNUMBER(_xll.VoseSimPercentile(Out_Good,$B84)),_xll.VoseSimPercentile(Out_Good,$B84),NA())</f>
        <v>4859</v>
      </c>
      <c r="E84" s="59" cm="1">
        <f t="array" aca="1" ref="E84" ca="1">IF(ISNUMBER(_xll.VoseSimPercentile(Out_GoodKnown,$B84)),_xll.VoseSimPercentile(Out_GoodKnown,$B84),NA())</f>
        <v>4855</v>
      </c>
    </row>
    <row r="85" spans="2:5" hidden="1" outlineLevel="1" x14ac:dyDescent="0.45">
      <c r="B85" s="58">
        <v>0.67</v>
      </c>
      <c r="C85" s="58">
        <f t="shared" si="2"/>
        <v>0.32999999999999996</v>
      </c>
      <c r="D85" s="59" cm="1">
        <f t="array" aca="1" ref="D85" ca="1">IF(ISNUMBER(_xll.VoseSimPercentile(Out_Good,$B85)),_xll.VoseSimPercentile(Out_Good,$B85),NA())</f>
        <v>4861</v>
      </c>
      <c r="E85" s="59" cm="1">
        <f t="array" aca="1" ref="E85" ca="1">IF(ISNUMBER(_xll.VoseSimPercentile(Out_GoodKnown,$B85)),_xll.VoseSimPercentile(Out_GoodKnown,$B85),NA())</f>
        <v>4855</v>
      </c>
    </row>
    <row r="86" spans="2:5" hidden="1" outlineLevel="1" x14ac:dyDescent="0.45">
      <c r="B86" s="58">
        <v>0.69</v>
      </c>
      <c r="C86" s="58">
        <f t="shared" si="2"/>
        <v>0.31000000000000005</v>
      </c>
      <c r="D86" s="59" cm="1">
        <f t="array" aca="1" ref="D86" ca="1">IF(ISNUMBER(_xll.VoseSimPercentile(Out_Good,$B86)),_xll.VoseSimPercentile(Out_Good,$B86),NA())</f>
        <v>4864</v>
      </c>
      <c r="E86" s="59" cm="1">
        <f t="array" aca="1" ref="E86" ca="1">IF(ISNUMBER(_xll.VoseSimPercentile(Out_GoodKnown,$B86)),_xll.VoseSimPercentile(Out_GoodKnown,$B86),NA())</f>
        <v>4856</v>
      </c>
    </row>
    <row r="87" spans="2:5" hidden="1" outlineLevel="1" x14ac:dyDescent="0.45">
      <c r="B87" s="58">
        <v>0.71</v>
      </c>
      <c r="C87" s="58">
        <f t="shared" si="2"/>
        <v>0.29000000000000004</v>
      </c>
      <c r="D87" s="59" cm="1">
        <f t="array" aca="1" ref="D87" ca="1">IF(ISNUMBER(_xll.VoseSimPercentile(Out_Good,$B87)),_xll.VoseSimPercentile(Out_Good,$B87),NA())</f>
        <v>4866</v>
      </c>
      <c r="E87" s="59" cm="1">
        <f t="array" aca="1" ref="E87" ca="1">IF(ISNUMBER(_xll.VoseSimPercentile(Out_GoodKnown,$B87)),_xll.VoseSimPercentile(Out_GoodKnown,$B87),NA())</f>
        <v>4857</v>
      </c>
    </row>
    <row r="88" spans="2:5" hidden="1" outlineLevel="1" x14ac:dyDescent="0.45">
      <c r="B88" s="58">
        <v>0.73</v>
      </c>
      <c r="C88" s="58">
        <f t="shared" si="2"/>
        <v>0.27</v>
      </c>
      <c r="D88" s="59" cm="1">
        <f t="array" aca="1" ref="D88" ca="1">IF(ISNUMBER(_xll.VoseSimPercentile(Out_Good,$B88)),_xll.VoseSimPercentile(Out_Good,$B88),NA())</f>
        <v>4868</v>
      </c>
      <c r="E88" s="59" cm="1">
        <f t="array" aca="1" ref="E88" ca="1">IF(ISNUMBER(_xll.VoseSimPercentile(Out_GoodKnown,$B88)),_xll.VoseSimPercentile(Out_GoodKnown,$B88),NA())</f>
        <v>4857</v>
      </c>
    </row>
    <row r="89" spans="2:5" hidden="1" outlineLevel="1" x14ac:dyDescent="0.45">
      <c r="B89" s="58">
        <v>0.75</v>
      </c>
      <c r="C89" s="58">
        <f t="shared" si="2"/>
        <v>0.25</v>
      </c>
      <c r="D89" s="59" cm="1">
        <f t="array" aca="1" ref="D89" ca="1">IF(ISNUMBER(_xll.VoseSimPercentile(Out_Good,$B89)),_xll.VoseSimPercentile(Out_Good,$B89),NA())</f>
        <v>4871</v>
      </c>
      <c r="E89" s="59" cm="1">
        <f t="array" aca="1" ref="E89" ca="1">IF(ISNUMBER(_xll.VoseSimPercentile(Out_GoodKnown,$B89)),_xll.VoseSimPercentile(Out_GoodKnown,$B89),NA())</f>
        <v>4858</v>
      </c>
    </row>
    <row r="90" spans="2:5" hidden="1" outlineLevel="1" x14ac:dyDescent="0.45">
      <c r="B90" s="58">
        <v>0.77</v>
      </c>
      <c r="C90" s="58">
        <f t="shared" si="2"/>
        <v>0.22999999999999998</v>
      </c>
      <c r="D90" s="59" cm="1">
        <f t="array" aca="1" ref="D90" ca="1">IF(ISNUMBER(_xll.VoseSimPercentile(Out_Good,$B90)),_xll.VoseSimPercentile(Out_Good,$B90),NA())</f>
        <v>4873</v>
      </c>
      <c r="E90" s="59" cm="1">
        <f t="array" aca="1" ref="E90" ca="1">IF(ISNUMBER(_xll.VoseSimPercentile(Out_GoodKnown,$B90)),_xll.VoseSimPercentile(Out_GoodKnown,$B90),NA())</f>
        <v>4859</v>
      </c>
    </row>
    <row r="91" spans="2:5" hidden="1" outlineLevel="1" x14ac:dyDescent="0.45">
      <c r="B91" s="58">
        <v>0.79</v>
      </c>
      <c r="C91" s="58">
        <f t="shared" si="2"/>
        <v>0.20999999999999996</v>
      </c>
      <c r="D91" s="59" cm="1">
        <f t="array" aca="1" ref="D91" ca="1">IF(ISNUMBER(_xll.VoseSimPercentile(Out_Good,$B91)),_xll.VoseSimPercentile(Out_Good,$B91),NA())</f>
        <v>4876</v>
      </c>
      <c r="E91" s="59" cm="1">
        <f t="array" aca="1" ref="E91" ca="1">IF(ISNUMBER(_xll.VoseSimPercentile(Out_GoodKnown,$B91)),_xll.VoseSimPercentile(Out_GoodKnown,$B91),NA())</f>
        <v>4860</v>
      </c>
    </row>
    <row r="92" spans="2:5" hidden="1" outlineLevel="1" x14ac:dyDescent="0.45">
      <c r="B92" s="58">
        <v>0.81</v>
      </c>
      <c r="C92" s="58">
        <f t="shared" si="2"/>
        <v>0.18999999999999995</v>
      </c>
      <c r="D92" s="59" cm="1">
        <f t="array" aca="1" ref="D92" ca="1">IF(ISNUMBER(_xll.VoseSimPercentile(Out_Good,$B92)),_xll.VoseSimPercentile(Out_Good,$B92),NA())</f>
        <v>4879</v>
      </c>
      <c r="E92" s="59" cm="1">
        <f t="array" aca="1" ref="E92" ca="1">IF(ISNUMBER(_xll.VoseSimPercentile(Out_GoodKnown,$B92)),_xll.VoseSimPercentile(Out_GoodKnown,$B92),NA())</f>
        <v>4861</v>
      </c>
    </row>
    <row r="93" spans="2:5" hidden="1" outlineLevel="1" x14ac:dyDescent="0.45">
      <c r="B93" s="58">
        <v>0.83</v>
      </c>
      <c r="C93" s="58">
        <f t="shared" si="2"/>
        <v>0.17000000000000004</v>
      </c>
      <c r="D93" s="59" cm="1">
        <f t="array" aca="1" ref="D93" ca="1">IF(ISNUMBER(_xll.VoseSimPercentile(Out_Good,$B93)),_xll.VoseSimPercentile(Out_Good,$B93),NA())</f>
        <v>4882</v>
      </c>
      <c r="E93" s="59" cm="1">
        <f t="array" aca="1" ref="E93" ca="1">IF(ISNUMBER(_xll.VoseSimPercentile(Out_GoodKnown,$B93)),_xll.VoseSimPercentile(Out_GoodKnown,$B93),NA())</f>
        <v>4861</v>
      </c>
    </row>
    <row r="94" spans="2:5" hidden="1" outlineLevel="1" x14ac:dyDescent="0.45">
      <c r="B94" s="58">
        <v>0.85</v>
      </c>
      <c r="C94" s="58">
        <f t="shared" si="2"/>
        <v>0.15000000000000002</v>
      </c>
      <c r="D94" s="59" cm="1">
        <f t="array" aca="1" ref="D94" ca="1">IF(ISNUMBER(_xll.VoseSimPercentile(Out_Good,$B94)),_xll.VoseSimPercentile(Out_Good,$B94),NA())</f>
        <v>4885</v>
      </c>
      <c r="E94" s="59" cm="1">
        <f t="array" aca="1" ref="E94" ca="1">IF(ISNUMBER(_xll.VoseSimPercentile(Out_GoodKnown,$B94)),_xll.VoseSimPercentile(Out_GoodKnown,$B94),NA())</f>
        <v>4862</v>
      </c>
    </row>
    <row r="95" spans="2:5" hidden="1" outlineLevel="1" x14ac:dyDescent="0.45">
      <c r="B95" s="58">
        <v>0.87</v>
      </c>
      <c r="C95" s="58">
        <f t="shared" si="2"/>
        <v>0.13</v>
      </c>
      <c r="D95" s="59" cm="1">
        <f t="array" aca="1" ref="D95" ca="1">IF(ISNUMBER(_xll.VoseSimPercentile(Out_Good,$B95)),_xll.VoseSimPercentile(Out_Good,$B95),NA())</f>
        <v>4888</v>
      </c>
      <c r="E95" s="59" cm="1">
        <f t="array" aca="1" ref="E95" ca="1">IF(ISNUMBER(_xll.VoseSimPercentile(Out_GoodKnown,$B95)),_xll.VoseSimPercentile(Out_GoodKnown,$B95),NA())</f>
        <v>4864</v>
      </c>
    </row>
    <row r="96" spans="2:5" hidden="1" outlineLevel="1" x14ac:dyDescent="0.45">
      <c r="B96" s="58">
        <v>0.89</v>
      </c>
      <c r="C96" s="58">
        <f t="shared" si="2"/>
        <v>0.10999999999999999</v>
      </c>
      <c r="D96" s="59" cm="1">
        <f t="array" aca="1" ref="D96" ca="1">IF(ISNUMBER(_xll.VoseSimPercentile(Out_Good,$B96)),_xll.VoseSimPercentile(Out_Good,$B96),NA())</f>
        <v>4892</v>
      </c>
      <c r="E96" s="59" cm="1">
        <f t="array" aca="1" ref="E96" ca="1">IF(ISNUMBER(_xll.VoseSimPercentile(Out_GoodKnown,$B96)),_xll.VoseSimPercentile(Out_GoodKnown,$B96),NA())</f>
        <v>4865</v>
      </c>
    </row>
    <row r="97" spans="2:7" hidden="1" outlineLevel="1" x14ac:dyDescent="0.45">
      <c r="B97" s="58">
        <v>0.91</v>
      </c>
      <c r="C97" s="58">
        <f t="shared" si="2"/>
        <v>8.9999999999999969E-2</v>
      </c>
      <c r="D97" s="59" cm="1">
        <f t="array" aca="1" ref="D97" ca="1">IF(ISNUMBER(_xll.VoseSimPercentile(Out_Good,$B97)),_xll.VoseSimPercentile(Out_Good,$B97),NA())</f>
        <v>4896</v>
      </c>
      <c r="E97" s="59" cm="1">
        <f t="array" aca="1" ref="E97" ca="1">IF(ISNUMBER(_xll.VoseSimPercentile(Out_GoodKnown,$B97)),_xll.VoseSimPercentile(Out_GoodKnown,$B97),NA())</f>
        <v>4866</v>
      </c>
    </row>
    <row r="98" spans="2:7" hidden="1" outlineLevel="1" x14ac:dyDescent="0.45">
      <c r="B98" s="58">
        <v>0.93</v>
      </c>
      <c r="C98" s="58">
        <f t="shared" si="2"/>
        <v>6.9999999999999951E-2</v>
      </c>
      <c r="D98" s="59" cm="1">
        <f t="array" aca="1" ref="D98" ca="1">IF(ISNUMBER(_xll.VoseSimPercentile(Out_Good,$B98)),_xll.VoseSimPercentile(Out_Good,$B98),NA())</f>
        <v>4901</v>
      </c>
      <c r="E98" s="59" cm="1">
        <f t="array" aca="1" ref="E98" ca="1">IF(ISNUMBER(_xll.VoseSimPercentile(Out_GoodKnown,$B98)),_xll.VoseSimPercentile(Out_GoodKnown,$B98),NA())</f>
        <v>4868</v>
      </c>
    </row>
    <row r="99" spans="2:7" hidden="1" outlineLevel="1" x14ac:dyDescent="0.45">
      <c r="B99" s="58">
        <v>0.95</v>
      </c>
      <c r="C99" s="58">
        <f t="shared" si="2"/>
        <v>5.0000000000000044E-2</v>
      </c>
      <c r="D99" s="59" cm="1">
        <f t="array" aca="1" ref="D99" ca="1">IF(ISNUMBER(_xll.VoseSimPercentile(Out_Good,$B99)),_xll.VoseSimPercentile(Out_Good,$B99),NA())</f>
        <v>4907</v>
      </c>
      <c r="E99" s="59" cm="1">
        <f t="array" aca="1" ref="E99" ca="1">IF(ISNUMBER(_xll.VoseSimPercentile(Out_GoodKnown,$B99)),_xll.VoseSimPercentile(Out_GoodKnown,$B99),NA())</f>
        <v>4870</v>
      </c>
    </row>
    <row r="100" spans="2:7" hidden="1" outlineLevel="1" x14ac:dyDescent="0.45">
      <c r="B100" s="58">
        <v>0.97</v>
      </c>
      <c r="C100" s="58">
        <f t="shared" si="2"/>
        <v>3.0000000000000027E-2</v>
      </c>
      <c r="D100" s="59" cm="1">
        <f t="array" aca="1" ref="D100" ca="1">IF(ISNUMBER(_xll.VoseSimPercentile(Out_Good,$B100)),_xll.VoseSimPercentile(Out_Good,$B100),NA())</f>
        <v>4914</v>
      </c>
      <c r="E100" s="59" cm="1">
        <f t="array" aca="1" ref="E100" ca="1">IF(ISNUMBER(_xll.VoseSimPercentile(Out_GoodKnown,$B100)),_xll.VoseSimPercentile(Out_GoodKnown,$B100),NA())</f>
        <v>4872</v>
      </c>
    </row>
    <row r="101" spans="2:7" hidden="1" outlineLevel="1" x14ac:dyDescent="0.45">
      <c r="B101" s="58">
        <v>0.99</v>
      </c>
      <c r="C101" s="58">
        <f t="shared" si="2"/>
        <v>1.0000000000000009E-2</v>
      </c>
      <c r="D101" s="59" cm="1">
        <f t="array" aca="1" ref="D101" ca="1">IF(ISNUMBER(_xll.VoseSimPercentile(Out_Good,$B101)),_xll.VoseSimPercentile(Out_Good,$B101),NA())</f>
        <v>4928</v>
      </c>
      <c r="E101" s="59" cm="1">
        <f t="array" aca="1" ref="E101" ca="1">IF(ISNUMBER(_xll.VoseSimPercentile(Out_GoodKnown,$B101)),_xll.VoseSimPercentile(Out_GoodKnown,$B101),NA())</f>
        <v>4877</v>
      </c>
    </row>
    <row r="102" spans="2:7" hidden="1" outlineLevel="1" x14ac:dyDescent="0.45"/>
    <row r="103" spans="2:7" ht="28.05" hidden="1" customHeight="1" outlineLevel="1" x14ac:dyDescent="0.45">
      <c r="B103" s="23" t="s">
        <v>226</v>
      </c>
      <c r="C103" s="24" t="s">
        <v>227</v>
      </c>
      <c r="D103" s="5"/>
      <c r="E103" s="5"/>
      <c r="F103" s="5"/>
      <c r="G103" s="5"/>
    </row>
    <row r="104" spans="2:7" hidden="1" outlineLevel="1" x14ac:dyDescent="0.45">
      <c r="B104" s="60">
        <f>'Производство'!B20</f>
        <v>4950</v>
      </c>
      <c r="C104" s="59" cm="1">
        <f t="array" aca="1" ref="C104" ca="1">IF(ISNUMBER(_xll.VoseSimMean('Производство'!G20)),_xll.VoseSimMean('Производство'!G20),NA())</f>
        <v>203.77226361318066</v>
      </c>
    </row>
    <row r="105" spans="2:7" hidden="1" outlineLevel="1" x14ac:dyDescent="0.45">
      <c r="B105" s="60">
        <f>'Производство'!B21</f>
        <v>5000</v>
      </c>
      <c r="C105" s="59" cm="1">
        <f t="array" aca="1" ref="C105" ca="1">IF(ISNUMBER(_xll.VoseSimMean('Производство'!G21)),_xll.VoseSimMean('Производство'!G21),NA())</f>
        <v>201.51497574878744</v>
      </c>
    </row>
    <row r="106" spans="2:7" hidden="1" outlineLevel="1" x14ac:dyDescent="0.45">
      <c r="B106" s="60">
        <f>'Производство'!B22</f>
        <v>5050</v>
      </c>
      <c r="C106" s="59" cm="1">
        <f t="array" aca="1" ref="C106" ca="1">IF(ISNUMBER(_xll.VoseSimMean('Производство'!G22)),_xll.VoseSimMean('Производство'!G22),NA())</f>
        <v>202.2643632181609</v>
      </c>
    </row>
    <row r="107" spans="2:7" hidden="1" outlineLevel="1" x14ac:dyDescent="0.45">
      <c r="B107" s="60">
        <f>'Производство'!B23</f>
        <v>5100</v>
      </c>
      <c r="C107" s="59" cm="1">
        <f t="array" aca="1" ref="C107" ca="1">IF(ISNUMBER(_xll.VoseSimMean('Производство'!G23)),_xll.VoseSimMean('Производство'!G23),NA())</f>
        <v>204.03840192009599</v>
      </c>
    </row>
    <row r="108" spans="2:7" hidden="1" outlineLevel="1" x14ac:dyDescent="0.45">
      <c r="B108" s="60">
        <f>'Производство'!B24</f>
        <v>5150</v>
      </c>
      <c r="C108" s="59" cm="1">
        <f t="array" aca="1" ref="C108" ca="1">IF(ISNUMBER(_xll.VoseSimMean('Производство'!G24)),_xll.VoseSimMean('Производство'!G24),NA())</f>
        <v>206.00425021251061</v>
      </c>
    </row>
    <row r="109" spans="2:7" hidden="1" outlineLevel="1" x14ac:dyDescent="0.45">
      <c r="B109" s="60">
        <f>'Производство'!B25</f>
        <v>5200</v>
      </c>
      <c r="C109" s="59" cm="1">
        <f t="array" aca="1" ref="C109" ca="1">IF(ISNUMBER(_xll.VoseSimMean('Производство'!G25)),_xll.VoseSimMean('Производство'!G25),NA())</f>
        <v>208</v>
      </c>
    </row>
  </sheetData>
  <mergeCells count="5">
    <mergeCell ref="B42:G42"/>
    <mergeCell ref="B46:G46"/>
    <mergeCell ref="B45:G45"/>
    <mergeCell ref="B43:G43"/>
    <mergeCell ref="B44:G44"/>
  </mergeCells>
  <conditionalFormatting sqref="B7">
    <cfRule type="expression" dxfId="9" priority="2">
      <formula>LEFT($B$7,1)="✗"</formula>
    </cfRule>
  </conditionalFormatting>
  <conditionalFormatting sqref="B6:G6">
    <cfRule type="expression" dxfId="8" priority="1">
      <formula>LEFT($B$6,1)&lt;&gt;"✔"</formula>
    </cfRule>
  </conditionalFormatting>
  <conditionalFormatting sqref="C104:C109">
    <cfRule type="expression" dxfId="7" priority="10">
      <formula>ISNA(C104)</formula>
    </cfRule>
  </conditionalFormatting>
  <conditionalFormatting sqref="D52:E101">
    <cfRule type="expression" dxfId="6" priority="9">
      <formula>ISNA(D52)</formula>
    </cfRule>
  </conditionalFormatting>
  <conditionalFormatting sqref="G13">
    <cfRule type="expression" dxfId="5" priority="3">
      <formula>LEFT($G$13,1)="✔"</formula>
    </cfRule>
  </conditionalFormatting>
  <conditionalFormatting sqref="G14">
    <cfRule type="expression" dxfId="4" priority="4">
      <formula>LEFT($G$14,1)="✔"</formula>
    </cfRule>
  </conditionalFormatting>
  <conditionalFormatting sqref="G15">
    <cfRule type="expression" dxfId="3" priority="5">
      <formula>LEFT($G$15,1)="✔"</formula>
    </cfRule>
  </conditionalFormatting>
  <conditionalFormatting sqref="G16">
    <cfRule type="expression" dxfId="2" priority="6">
      <formula>LEFT($G$16,1)="✔"</formula>
    </cfRule>
  </conditionalFormatting>
  <conditionalFormatting sqref="G17">
    <cfRule type="expression" dxfId="1" priority="7">
      <formula>LEFT($G$17,1)="✔"</formula>
    </cfRule>
  </conditionalFormatting>
  <conditionalFormatting sqref="G18">
    <cfRule type="expression" dxfId="0" priority="8">
      <formula>LEFT($G$18,1)="✔"</formula>
    </cfRule>
  </conditionalFormatting>
  <hyperlinks>
    <hyperlink ref="B4" location="'Производство'!A1" display="◂  Производство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073FC-7199-4D32-BCAF-3867A4BE6CD9}">
  <dimension ref="A1:B1"/>
  <sheetViews>
    <sheetView workbookViewId="0"/>
  </sheetViews>
  <sheetFormatPr defaultRowHeight="14.25" x14ac:dyDescent="0.45"/>
  <sheetData>
    <row r="1" spans="1:2" x14ac:dyDescent="0.45">
      <c r="A1" s="65" t="s">
        <v>228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6949-0531-44C8-84A7-7A8EF69D95CF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D841-9ABA-4471-A2A6-B92CEF2E72FB}">
  <dimension ref="B3:B172"/>
  <sheetViews>
    <sheetView workbookViewId="0"/>
  </sheetViews>
  <sheetFormatPr defaultRowHeight="14.25" x14ac:dyDescent="0.45"/>
  <sheetData>
    <row r="3" spans="2:2" x14ac:dyDescent="0.45">
      <c r="B3">
        <v>28</v>
      </c>
    </row>
    <row r="4" spans="2:2" x14ac:dyDescent="0.45">
      <c r="B4">
        <v>201</v>
      </c>
    </row>
    <row r="5" spans="2:2" x14ac:dyDescent="0.45">
      <c r="B5">
        <v>520</v>
      </c>
    </row>
    <row r="6" spans="2:2" x14ac:dyDescent="0.45">
      <c r="B6">
        <v>589</v>
      </c>
    </row>
    <row r="7" spans="2:2" x14ac:dyDescent="0.45">
      <c r="B7">
        <v>396</v>
      </c>
    </row>
    <row r="8" spans="2:2" x14ac:dyDescent="0.45">
      <c r="B8">
        <v>184</v>
      </c>
    </row>
    <row r="9" spans="2:2" x14ac:dyDescent="0.45">
      <c r="B9">
        <v>69</v>
      </c>
    </row>
    <row r="10" spans="2:2" x14ac:dyDescent="0.45">
      <c r="B10">
        <v>8</v>
      </c>
    </row>
    <row r="11" spans="2:2" x14ac:dyDescent="0.45">
      <c r="B11">
        <v>3</v>
      </c>
    </row>
    <row r="12" spans="2:2" x14ac:dyDescent="0.45">
      <c r="B12">
        <v>2</v>
      </c>
    </row>
    <row r="13" spans="2:2" x14ac:dyDescent="0.45">
      <c r="B13">
        <v>1112</v>
      </c>
    </row>
    <row r="14" spans="2:2" x14ac:dyDescent="0.45">
      <c r="B14">
        <v>0</v>
      </c>
    </row>
    <row r="15" spans="2:2" x14ac:dyDescent="0.45">
      <c r="B15">
        <v>0</v>
      </c>
    </row>
    <row r="16" spans="2:2" x14ac:dyDescent="0.45">
      <c r="B16">
        <v>0</v>
      </c>
    </row>
    <row r="17" spans="2:2" x14ac:dyDescent="0.45">
      <c r="B17">
        <v>0</v>
      </c>
    </row>
    <row r="18" spans="2:2" x14ac:dyDescent="0.45">
      <c r="B18">
        <v>0</v>
      </c>
    </row>
    <row r="19" spans="2:2" x14ac:dyDescent="0.45">
      <c r="B19">
        <v>0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888</v>
      </c>
    </row>
    <row r="23" spans="2:2" x14ac:dyDescent="0.45">
      <c r="B23">
        <v>399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0</v>
      </c>
    </row>
    <row r="27" spans="2:2" x14ac:dyDescent="0.45">
      <c r="B27">
        <v>0</v>
      </c>
    </row>
    <row r="28" spans="2:2" x14ac:dyDescent="0.45">
      <c r="B28">
        <v>0</v>
      </c>
    </row>
    <row r="29" spans="2:2" x14ac:dyDescent="0.45">
      <c r="B29">
        <v>0</v>
      </c>
    </row>
    <row r="30" spans="2:2" x14ac:dyDescent="0.45">
      <c r="B30">
        <v>0</v>
      </c>
    </row>
    <row r="31" spans="2:2" x14ac:dyDescent="0.45">
      <c r="B31">
        <v>0</v>
      </c>
    </row>
    <row r="32" spans="2:2" x14ac:dyDescent="0.45">
      <c r="B32">
        <v>1601</v>
      </c>
    </row>
    <row r="33" spans="2:2" x14ac:dyDescent="0.45">
      <c r="B33">
        <v>88</v>
      </c>
    </row>
    <row r="34" spans="2:2" x14ac:dyDescent="0.45">
      <c r="B34">
        <v>0</v>
      </c>
    </row>
    <row r="35" spans="2:2" x14ac:dyDescent="0.45">
      <c r="B35">
        <v>0</v>
      </c>
    </row>
    <row r="36" spans="2:2" x14ac:dyDescent="0.45">
      <c r="B36">
        <v>0</v>
      </c>
    </row>
    <row r="37" spans="2:2" x14ac:dyDescent="0.45">
      <c r="B37">
        <v>0</v>
      </c>
    </row>
    <row r="38" spans="2:2" x14ac:dyDescent="0.45">
      <c r="B38">
        <v>0</v>
      </c>
    </row>
    <row r="39" spans="2:2" x14ac:dyDescent="0.45">
      <c r="B39">
        <v>0</v>
      </c>
    </row>
    <row r="40" spans="2:2" x14ac:dyDescent="0.45">
      <c r="B40">
        <v>0</v>
      </c>
    </row>
    <row r="41" spans="2:2" x14ac:dyDescent="0.45">
      <c r="B41">
        <v>0</v>
      </c>
    </row>
    <row r="42" spans="2:2" x14ac:dyDescent="0.45">
      <c r="B42">
        <v>1912</v>
      </c>
    </row>
    <row r="43" spans="2:2" x14ac:dyDescent="0.45">
      <c r="B43">
        <v>12</v>
      </c>
    </row>
    <row r="44" spans="2:2" x14ac:dyDescent="0.45">
      <c r="B44">
        <v>0</v>
      </c>
    </row>
    <row r="45" spans="2:2" x14ac:dyDescent="0.45">
      <c r="B45">
        <v>0</v>
      </c>
    </row>
    <row r="46" spans="2:2" x14ac:dyDescent="0.45">
      <c r="B46">
        <v>0</v>
      </c>
    </row>
    <row r="47" spans="2:2" x14ac:dyDescent="0.45">
      <c r="B47">
        <v>0</v>
      </c>
    </row>
    <row r="48" spans="2:2" x14ac:dyDescent="0.45">
      <c r="B48">
        <v>0</v>
      </c>
    </row>
    <row r="49" spans="2:2" x14ac:dyDescent="0.45">
      <c r="B49">
        <v>0</v>
      </c>
    </row>
    <row r="50" spans="2:2" x14ac:dyDescent="0.45">
      <c r="B50">
        <v>0</v>
      </c>
    </row>
    <row r="51" spans="2:2" x14ac:dyDescent="0.45">
      <c r="B51">
        <v>0</v>
      </c>
    </row>
    <row r="52" spans="2:2" x14ac:dyDescent="0.45">
      <c r="B52">
        <v>1988</v>
      </c>
    </row>
    <row r="53" spans="2:2" x14ac:dyDescent="0.45">
      <c r="B53">
        <v>3</v>
      </c>
    </row>
    <row r="54" spans="2:2" x14ac:dyDescent="0.45">
      <c r="B54">
        <v>0</v>
      </c>
    </row>
    <row r="55" spans="2:2" x14ac:dyDescent="0.45">
      <c r="B55">
        <v>0</v>
      </c>
    </row>
    <row r="56" spans="2:2" x14ac:dyDescent="0.45">
      <c r="B56">
        <v>0</v>
      </c>
    </row>
    <row r="57" spans="2:2" x14ac:dyDescent="0.45">
      <c r="B57">
        <v>0</v>
      </c>
    </row>
    <row r="58" spans="2:2" x14ac:dyDescent="0.45">
      <c r="B58">
        <v>0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1997</v>
      </c>
    </row>
    <row r="63" spans="2:2" x14ac:dyDescent="0.45">
      <c r="B63">
        <v>0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2000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0</v>
      </c>
    </row>
    <row r="73" spans="2:2" x14ac:dyDescent="0.45">
      <c r="B73">
        <v>1262</v>
      </c>
    </row>
    <row r="74" spans="2:2" x14ac:dyDescent="0.45">
      <c r="B74">
        <v>338</v>
      </c>
    </row>
    <row r="75" spans="2:2" x14ac:dyDescent="0.45">
      <c r="B75">
        <v>200</v>
      </c>
    </row>
    <row r="76" spans="2:2" x14ac:dyDescent="0.45">
      <c r="B76">
        <v>111</v>
      </c>
    </row>
    <row r="77" spans="2:2" x14ac:dyDescent="0.45">
      <c r="B77">
        <v>61</v>
      </c>
    </row>
    <row r="78" spans="2:2" x14ac:dyDescent="0.45">
      <c r="B78">
        <v>16</v>
      </c>
    </row>
    <row r="79" spans="2:2" x14ac:dyDescent="0.45">
      <c r="B79">
        <v>6</v>
      </c>
    </row>
    <row r="80" spans="2:2" x14ac:dyDescent="0.45">
      <c r="B80">
        <v>3</v>
      </c>
    </row>
    <row r="81" spans="2:2" x14ac:dyDescent="0.45">
      <c r="B81">
        <v>1</v>
      </c>
    </row>
    <row r="82" spans="2:2" x14ac:dyDescent="0.45">
      <c r="B82">
        <v>2</v>
      </c>
    </row>
    <row r="83" spans="2:2" x14ac:dyDescent="0.45">
      <c r="B83">
        <v>1772</v>
      </c>
    </row>
    <row r="84" spans="2:2" x14ac:dyDescent="0.45">
      <c r="B84">
        <v>104</v>
      </c>
    </row>
    <row r="85" spans="2:2" x14ac:dyDescent="0.45">
      <c r="B85">
        <v>65</v>
      </c>
    </row>
    <row r="86" spans="2:2" x14ac:dyDescent="0.45">
      <c r="B86">
        <v>39</v>
      </c>
    </row>
    <row r="87" spans="2:2" x14ac:dyDescent="0.45">
      <c r="B87">
        <v>10</v>
      </c>
    </row>
    <row r="88" spans="2:2" x14ac:dyDescent="0.45">
      <c r="B88">
        <v>6</v>
      </c>
    </row>
    <row r="89" spans="2:2" x14ac:dyDescent="0.45">
      <c r="B89">
        <v>2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2</v>
      </c>
    </row>
    <row r="93" spans="2:2" x14ac:dyDescent="0.45">
      <c r="B93">
        <v>1944</v>
      </c>
    </row>
    <row r="94" spans="2:2" x14ac:dyDescent="0.45">
      <c r="B94">
        <v>26</v>
      </c>
    </row>
    <row r="95" spans="2:2" x14ac:dyDescent="0.45">
      <c r="B95">
        <v>12</v>
      </c>
    </row>
    <row r="96" spans="2:2" x14ac:dyDescent="0.45">
      <c r="B96">
        <v>7</v>
      </c>
    </row>
    <row r="97" spans="2:2" x14ac:dyDescent="0.45">
      <c r="B97">
        <v>4</v>
      </c>
    </row>
    <row r="98" spans="2:2" x14ac:dyDescent="0.45">
      <c r="B98">
        <v>1</v>
      </c>
    </row>
    <row r="99" spans="2:2" x14ac:dyDescent="0.45">
      <c r="B99">
        <v>2</v>
      </c>
    </row>
    <row r="100" spans="2:2" x14ac:dyDescent="0.45">
      <c r="B100">
        <v>0</v>
      </c>
    </row>
    <row r="101" spans="2:2" x14ac:dyDescent="0.45">
      <c r="B101">
        <v>2</v>
      </c>
    </row>
    <row r="102" spans="2:2" x14ac:dyDescent="0.45">
      <c r="B102">
        <v>2</v>
      </c>
    </row>
    <row r="103" spans="2:2" x14ac:dyDescent="0.45">
      <c r="B103">
        <v>1992</v>
      </c>
    </row>
    <row r="104" spans="2:2" x14ac:dyDescent="0.45">
      <c r="B104">
        <v>4</v>
      </c>
    </row>
    <row r="105" spans="2:2" x14ac:dyDescent="0.45">
      <c r="B105">
        <v>1</v>
      </c>
    </row>
    <row r="106" spans="2:2" x14ac:dyDescent="0.45">
      <c r="B106">
        <v>0</v>
      </c>
    </row>
    <row r="107" spans="2:2" x14ac:dyDescent="0.45">
      <c r="B107">
        <v>1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2</v>
      </c>
    </row>
    <row r="113" spans="2:2" x14ac:dyDescent="0.45">
      <c r="B113">
        <v>1998</v>
      </c>
    </row>
    <row r="114" spans="2:2" x14ac:dyDescent="0.45">
      <c r="B114">
        <v>0</v>
      </c>
    </row>
    <row r="115" spans="2:2" x14ac:dyDescent="0.45">
      <c r="B115">
        <v>0</v>
      </c>
    </row>
    <row r="116" spans="2:2" x14ac:dyDescent="0.45">
      <c r="B116">
        <v>0</v>
      </c>
    </row>
    <row r="117" spans="2:2" x14ac:dyDescent="0.45">
      <c r="B117">
        <v>0</v>
      </c>
    </row>
    <row r="118" spans="2:2" x14ac:dyDescent="0.45">
      <c r="B118">
        <v>0</v>
      </c>
    </row>
    <row r="119" spans="2:2" x14ac:dyDescent="0.45">
      <c r="B119">
        <v>0</v>
      </c>
    </row>
    <row r="120" spans="2:2" x14ac:dyDescent="0.45">
      <c r="B120">
        <v>0</v>
      </c>
    </row>
    <row r="121" spans="2:2" x14ac:dyDescent="0.45">
      <c r="B121">
        <v>0</v>
      </c>
    </row>
    <row r="122" spans="2:2" x14ac:dyDescent="0.45">
      <c r="B122">
        <v>2</v>
      </c>
    </row>
    <row r="123" spans="2:2" x14ac:dyDescent="0.45">
      <c r="B123">
        <v>0</v>
      </c>
    </row>
    <row r="124" spans="2:2" x14ac:dyDescent="0.45">
      <c r="B124">
        <v>0</v>
      </c>
    </row>
    <row r="125" spans="2:2" x14ac:dyDescent="0.45">
      <c r="B125">
        <v>0</v>
      </c>
    </row>
    <row r="126" spans="2:2" x14ac:dyDescent="0.45">
      <c r="B126">
        <v>0</v>
      </c>
    </row>
    <row r="127" spans="2:2" x14ac:dyDescent="0.45">
      <c r="B127">
        <v>0</v>
      </c>
    </row>
    <row r="128" spans="2:2" x14ac:dyDescent="0.45">
      <c r="B128">
        <v>2000</v>
      </c>
    </row>
    <row r="129" spans="2:2" x14ac:dyDescent="0.45">
      <c r="B129">
        <v>0</v>
      </c>
    </row>
    <row r="130" spans="2:2" x14ac:dyDescent="0.45">
      <c r="B130">
        <v>0</v>
      </c>
    </row>
    <row r="131" spans="2:2" x14ac:dyDescent="0.45">
      <c r="B131">
        <v>0</v>
      </c>
    </row>
    <row r="132" spans="2:2" x14ac:dyDescent="0.45">
      <c r="B132">
        <v>0</v>
      </c>
    </row>
    <row r="133" spans="2:2" x14ac:dyDescent="0.45">
      <c r="B133">
        <v>2</v>
      </c>
    </row>
    <row r="134" spans="2:2" x14ac:dyDescent="0.45">
      <c r="B134">
        <v>1</v>
      </c>
    </row>
    <row r="135" spans="2:2" x14ac:dyDescent="0.45">
      <c r="B135">
        <v>11</v>
      </c>
    </row>
    <row r="136" spans="2:2" x14ac:dyDescent="0.45">
      <c r="B136">
        <v>60</v>
      </c>
    </row>
    <row r="137" spans="2:2" x14ac:dyDescent="0.45">
      <c r="B137">
        <v>175</v>
      </c>
    </row>
    <row r="138" spans="2:2" x14ac:dyDescent="0.45">
      <c r="B138">
        <v>396</v>
      </c>
    </row>
    <row r="139" spans="2:2" x14ac:dyDescent="0.45">
      <c r="B139">
        <v>567</v>
      </c>
    </row>
    <row r="140" spans="2:2" x14ac:dyDescent="0.45">
      <c r="B140">
        <v>538</v>
      </c>
    </row>
    <row r="141" spans="2:2" x14ac:dyDescent="0.45">
      <c r="B141">
        <v>218</v>
      </c>
    </row>
    <row r="142" spans="2:2" x14ac:dyDescent="0.45">
      <c r="B142">
        <v>32</v>
      </c>
    </row>
    <row r="143" spans="2:2" x14ac:dyDescent="0.45">
      <c r="B143">
        <v>8</v>
      </c>
    </row>
    <row r="144" spans="2:2" x14ac:dyDescent="0.45">
      <c r="B144">
        <v>26</v>
      </c>
    </row>
    <row r="145" spans="2:2" x14ac:dyDescent="0.45">
      <c r="B145">
        <v>108</v>
      </c>
    </row>
    <row r="146" spans="2:2" x14ac:dyDescent="0.45">
      <c r="B146">
        <v>289</v>
      </c>
    </row>
    <row r="147" spans="2:2" x14ac:dyDescent="0.45">
      <c r="B147">
        <v>569</v>
      </c>
    </row>
    <row r="148" spans="2:2" x14ac:dyDescent="0.45">
      <c r="B148">
        <v>560</v>
      </c>
    </row>
    <row r="149" spans="2:2" x14ac:dyDescent="0.45">
      <c r="B149">
        <v>308</v>
      </c>
    </row>
    <row r="150" spans="2:2" x14ac:dyDescent="0.45">
      <c r="B150">
        <v>112</v>
      </c>
    </row>
    <row r="151" spans="2:2" x14ac:dyDescent="0.45">
      <c r="B151">
        <v>18</v>
      </c>
    </row>
    <row r="152" spans="2:2" x14ac:dyDescent="0.45">
      <c r="B152">
        <v>2</v>
      </c>
    </row>
    <row r="153" spans="2:2" x14ac:dyDescent="0.45">
      <c r="B153">
        <v>399</v>
      </c>
    </row>
    <row r="154" spans="2:2" x14ac:dyDescent="0.45">
      <c r="B154">
        <v>0</v>
      </c>
    </row>
    <row r="155" spans="2:2" x14ac:dyDescent="0.45">
      <c r="B155">
        <v>0</v>
      </c>
    </row>
    <row r="156" spans="2:2" x14ac:dyDescent="0.45">
      <c r="B156">
        <v>0</v>
      </c>
    </row>
    <row r="157" spans="2:2" x14ac:dyDescent="0.45">
      <c r="B157">
        <v>0</v>
      </c>
    </row>
    <row r="158" spans="2:2" x14ac:dyDescent="0.45">
      <c r="B158">
        <v>0</v>
      </c>
    </row>
    <row r="159" spans="2:2" x14ac:dyDescent="0.45">
      <c r="B159">
        <v>0</v>
      </c>
    </row>
    <row r="160" spans="2:2" x14ac:dyDescent="0.45">
      <c r="B160">
        <v>0</v>
      </c>
    </row>
    <row r="161" spans="2:2" x14ac:dyDescent="0.45">
      <c r="B161">
        <v>0</v>
      </c>
    </row>
    <row r="162" spans="2:2" x14ac:dyDescent="0.45">
      <c r="B162">
        <v>1601</v>
      </c>
    </row>
    <row r="163" spans="2:2" x14ac:dyDescent="0.45">
      <c r="B163">
        <v>0</v>
      </c>
    </row>
    <row r="164" spans="2:2" x14ac:dyDescent="0.45">
      <c r="B164">
        <v>0</v>
      </c>
    </row>
    <row r="165" spans="2:2" x14ac:dyDescent="0.45">
      <c r="B165">
        <v>0</v>
      </c>
    </row>
    <row r="166" spans="2:2" x14ac:dyDescent="0.45">
      <c r="B166">
        <v>0</v>
      </c>
    </row>
    <row r="167" spans="2:2" x14ac:dyDescent="0.45">
      <c r="B167">
        <v>0</v>
      </c>
    </row>
    <row r="168" spans="2:2" x14ac:dyDescent="0.45">
      <c r="B168">
        <v>2000</v>
      </c>
    </row>
    <row r="169" spans="2:2" x14ac:dyDescent="0.45">
      <c r="B169">
        <v>0</v>
      </c>
    </row>
    <row r="170" spans="2:2" x14ac:dyDescent="0.45">
      <c r="B170">
        <v>0</v>
      </c>
    </row>
    <row r="171" spans="2:2" x14ac:dyDescent="0.45">
      <c r="B171">
        <v>0</v>
      </c>
    </row>
    <row r="172" spans="2:2" x14ac:dyDescent="0.45">
      <c r="B17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2D4EDA5F-C7CF-43E6-A968-3D3043B6828D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69</vt:i4>
      </vt:variant>
    </vt:vector>
  </HeadingPairs>
  <TitlesOfParts>
    <vt:vector size="76" baseType="lpstr">
      <vt:lpstr>Описание</vt:lpstr>
      <vt:lpstr>Исходные данные</vt:lpstr>
      <vt:lpstr>Производство</vt:lpstr>
      <vt:lpstr>Результаты</vt:lpstr>
      <vt:lpstr>ModelRiskDSN</vt:lpstr>
      <vt:lpstr>ModelRiskSYS1</vt:lpstr>
      <vt:lpstr>ModelRiskCharts</vt:lpstr>
      <vt:lpstr>BetaA</vt:lpstr>
      <vt:lpstr>BetaB</vt:lpstr>
      <vt:lpstr>Checks</vt:lpstr>
      <vt:lpstr>Cost_1</vt:lpstr>
      <vt:lpstr>Cost_2</vt:lpstr>
      <vt:lpstr>Cost_3</vt:lpstr>
      <vt:lpstr>Cost_4</vt:lpstr>
      <vt:lpstr>Cost_5</vt:lpstr>
      <vt:lpstr>Cost_6</vt:lpstr>
      <vt:lpstr>Defects</vt:lpstr>
      <vt:lpstr>DefRate</vt:lpstr>
      <vt:lpstr>Exact_1</vt:lpstr>
      <vt:lpstr>Exact_2</vt:lpstr>
      <vt:lpstr>Exact_3</vt:lpstr>
      <vt:lpstr>Exact_4</vt:lpstr>
      <vt:lpstr>Exact_5</vt:lpstr>
      <vt:lpstr>Exact_6</vt:lpstr>
      <vt:lpstr>ExactKnown</vt:lpstr>
      <vt:lpstr>FocusRun</vt:lpstr>
      <vt:lpstr>Good_1</vt:lpstr>
      <vt:lpstr>Good_2</vt:lpstr>
      <vt:lpstr>Good_3</vt:lpstr>
      <vt:lpstr>Good_4</vt:lpstr>
      <vt:lpstr>Good_5</vt:lpstr>
      <vt:lpstr>Good_6</vt:lpstr>
      <vt:lpstr>GoodFocus</vt:lpstr>
      <vt:lpstr>GoodKnown</vt:lpstr>
      <vt:lpstr>GoodParts</vt:lpstr>
      <vt:lpstr>Inspected</vt:lpstr>
      <vt:lpstr>Order</vt:lpstr>
      <vt:lpstr>Out_Cost_1</vt:lpstr>
      <vt:lpstr>Out_Cost_2</vt:lpstr>
      <vt:lpstr>Out_Cost_3</vt:lpstr>
      <vt:lpstr>Out_Cost_4</vt:lpstr>
      <vt:lpstr>Out_Cost_5</vt:lpstr>
      <vt:lpstr>Out_Cost_6</vt:lpstr>
      <vt:lpstr>Out_Good</vt:lpstr>
      <vt:lpstr>Out_GoodKnown</vt:lpstr>
      <vt:lpstr>Out_Met_1</vt:lpstr>
      <vt:lpstr>Out_Met_2</vt:lpstr>
      <vt:lpstr>Out_Met_3</vt:lpstr>
      <vt:lpstr>Out_Met_4</vt:lpstr>
      <vt:lpstr>Out_Met_5</vt:lpstr>
      <vt:lpstr>Out_Met_6</vt:lpstr>
      <vt:lpstr>Out_MetFocus</vt:lpstr>
      <vt:lpstr>Out_MetKnown</vt:lpstr>
      <vt:lpstr>Penalty</vt:lpstr>
      <vt:lpstr>Results!Print_Area</vt:lpstr>
      <vt:lpstr>Inputs!Print_Titles</vt:lpstr>
      <vt:lpstr>Results!Print_Titles</vt:lpstr>
      <vt:lpstr>RateHi</vt:lpstr>
      <vt:lpstr>RateLo</vt:lpstr>
      <vt:lpstr>RateObs</vt:lpstr>
      <vt:lpstr>Run_1</vt:lpstr>
      <vt:lpstr>Run_2</vt:lpstr>
      <vt:lpstr>Run_3</vt:lpstr>
      <vt:lpstr>Run_4</vt:lpstr>
      <vt:lpstr>Run_5</vt:lpstr>
      <vt:lpstr>Run_6</vt:lpstr>
      <vt:lpstr>RunMin</vt:lpstr>
      <vt:lpstr>RunSizes</vt:lpstr>
      <vt:lpstr>RunStep</vt:lpstr>
      <vt:lpstr>Short_1</vt:lpstr>
      <vt:lpstr>Short_2</vt:lpstr>
      <vt:lpstr>Short_3</vt:lpstr>
      <vt:lpstr>Short_4</vt:lpstr>
      <vt:lpstr>Short_5</vt:lpstr>
      <vt:lpstr>Short_6</vt:lpstr>
      <vt:lpstr>UnitCost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MF-01 Выход годных и брак</dc:title>
  <dc:subject>Библиотека отраслевых примеров МоделРиск — производство</dc:subject>
  <dc:creator>ООО «Стратегия Риска»</dc:creator>
  <cp:keywords>МоделРиск; Монте-Карло; производство</cp:keywords>
  <dc:description>Неопределенная доля брака по 400 проверенным деталям, биномиальный брак и размер партии, который выполняет заказ с наименьшими ожидаемыми затратами.</dc:description>
  <cp:lastModifiedBy>ООО «Стратегия Риска»</cp:lastModifiedBy>
  <cp:lastPrinted>2026-10-05T15:57:08Z</cp:lastPrinted>
  <dcterms:created xsi:type="dcterms:W3CDTF">2026-10-05T15:52:28Z</dcterms:created>
  <dcterms:modified xsi:type="dcterms:W3CDTF">2026-10-05T15:57:09Z</dcterms:modified>
</cp:coreProperties>
</file>