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04D425F4-74D2-4FF7-8301-E2FCBB82FF0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Убытки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Checks">'Убытки'!$D$37:$D$38</definedName>
    <definedName name="Claims_FFT">'Убытки'!$D$31</definedName>
    <definedName name="Claims_Flat">'Убытки'!$D$33</definedName>
    <definedName name="Claims_MC">'Убытки'!$D$30</definedName>
    <definedName name="Claims_Wrong">'Убытки'!$D$32</definedName>
    <definedName name="ExactMean">'Убытки'!$D$23</definedName>
    <definedName name="ExactSD">'Убытки'!$D$24</definedName>
    <definedName name="FFTDensity">'Исходные данные'!$D$23</definedName>
    <definedName name="FFTMean">'Убытки'!$D$25</definedName>
    <definedName name="Freq">'Убытки'!$D$11</definedName>
    <definedName name="FreqCV">'Исходные данные'!$D$12</definedName>
    <definedName name="FreqMean">'Исходные данные'!$D$11</definedName>
    <definedName name="PolyaA">'Убытки'!$D$9</definedName>
    <definedName name="PolyaB">'Убытки'!$D$10</definedName>
    <definedName name="Premium">'Исходные данные'!$D$22</definedName>
    <definedName name="_xlnm.Print_Area" localSheetId="3">'Результаты'!$A$1:$R$49</definedName>
    <definedName name="_xlnm.Print_Titles" localSheetId="1">'Исходные данные'!$1:$4</definedName>
    <definedName name="_xlnm.Print_Titles" localSheetId="3">'Результаты'!$1:$4</definedName>
    <definedName name="Sev">'Убытки'!$D$14</definedName>
    <definedName name="SevMean">'Исходные данные'!$D$17</definedName>
    <definedName name="SevMeanM">'Убытки'!$D$12</definedName>
    <definedName name="SevSD">'Исходные данные'!$D$18</definedName>
    <definedName name="SevSDM">'Убытки'!$D$13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4" i="4" l="1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D20" i="4"/>
  <c r="D37" i="3"/>
  <c r="D13" i="3"/>
  <c r="D12" i="3"/>
  <c r="D14" i="3" s="1" a="1"/>
  <c r="D14" i="3" s="1"/>
  <c r="D33" i="3"/>
  <c r="C16" i="4"/>
  <c r="D10" i="3"/>
  <c r="D9" i="3"/>
  <c r="D11" i="3" a="1"/>
  <c r="D11" i="3" s="1"/>
  <c r="D31" i="3" a="1"/>
  <c r="D30" i="3" a="1"/>
  <c r="D19" i="3" a="1"/>
  <c r="D32" i="3" a="1"/>
  <c r="D32" i="3" l="1"/>
  <c r="D20" i="3"/>
  <c r="D24" i="3" s="1"/>
  <c r="D19" i="4" s="1"/>
  <c r="D21" i="3"/>
  <c r="D22" i="3"/>
  <c r="D19" i="3"/>
  <c r="D23" i="3" s="1"/>
  <c r="D18" i="4" s="1"/>
  <c r="D30" i="3"/>
  <c r="D31" i="3"/>
  <c r="C154" i="4" a="1"/>
  <c r="D76" i="4" a="1"/>
  <c r="C129" i="4" a="1"/>
  <c r="C204" i="4" a="1"/>
  <c r="C140" i="4" a="1"/>
  <c r="G13" i="4" a="1"/>
  <c r="D62" i="4" a="1"/>
  <c r="C163" i="4" a="1"/>
  <c r="D97" i="4" a="1"/>
  <c r="F13" i="4" a="1"/>
  <c r="D95" i="4" a="1"/>
  <c r="C200" i="4" a="1"/>
  <c r="C136" i="4" a="1"/>
  <c r="D72" i="4" a="1"/>
  <c r="D93" i="4" a="1"/>
  <c r="D87" i="4" a="1"/>
  <c r="C146" i="4" a="1"/>
  <c r="C132" i="4" a="1"/>
  <c r="C155" i="4" a="1"/>
  <c r="D83" i="4" a="1"/>
  <c r="D99" i="4" a="1"/>
  <c r="D90" i="4" a="1"/>
  <c r="C192" i="4" a="1"/>
  <c r="D85" i="4" a="1"/>
  <c r="D81" i="4" a="1"/>
  <c r="D71" i="4" a="1"/>
  <c r="C130" i="4" a="1"/>
  <c r="C168" i="4" a="1"/>
  <c r="D104" i="4" a="1"/>
  <c r="C191" i="4" a="1"/>
  <c r="C127" i="4" a="1"/>
  <c r="F26" i="4" a="1"/>
  <c r="C149" i="4" a="1"/>
  <c r="C185" i="4" a="1"/>
  <c r="D13" i="4" a="1"/>
  <c r="D78" i="4" a="1"/>
  <c r="C166" i="4" a="1"/>
  <c r="C159" i="4" a="1"/>
  <c r="C121" i="4" a="1"/>
  <c r="C113" i="4" a="1"/>
  <c r="C118" i="4" a="1"/>
  <c r="C196" i="4" a="1"/>
  <c r="D68" i="4" a="1"/>
  <c r="D89" i="4" a="1"/>
  <c r="D79" i="4" a="1"/>
  <c r="C138" i="4" a="1"/>
  <c r="C128" i="4" a="1"/>
  <c r="C151" i="4" a="1"/>
  <c r="C197" i="4" a="1"/>
  <c r="D91" i="4" a="1"/>
  <c r="C158" i="4" a="1"/>
  <c r="C172" i="4" a="1"/>
  <c r="C108" i="4" a="1"/>
  <c r="C195" i="4" a="1"/>
  <c r="C131" i="4" a="1"/>
  <c r="D57" i="4" a="1"/>
  <c r="C157" i="4" a="1"/>
  <c r="C193" i="4" a="1"/>
  <c r="E26" i="4" a="1"/>
  <c r="D86" i="4" a="1"/>
  <c r="C174" i="4" a="1"/>
  <c r="C164" i="4" a="1"/>
  <c r="D100" i="4" a="1"/>
  <c r="C187" i="4" a="1"/>
  <c r="C123" i="4" a="1"/>
  <c r="C206" i="4" a="1"/>
  <c r="C141" i="4" a="1"/>
  <c r="C177" i="4" a="1"/>
  <c r="C205" i="4" a="1"/>
  <c r="D70" i="4" a="1"/>
  <c r="D58" i="4" a="1"/>
  <c r="C160" i="4" a="1"/>
  <c r="D96" i="4" a="1"/>
  <c r="C183" i="4" a="1"/>
  <c r="C119" i="4" a="1"/>
  <c r="C202" i="4" a="1"/>
  <c r="C133" i="4" a="1"/>
  <c r="C169" i="4" a="1"/>
  <c r="C194" i="4" a="1"/>
  <c r="D59" i="4" a="1"/>
  <c r="C134" i="4" a="1"/>
  <c r="C188" i="4" a="1"/>
  <c r="D92" i="4" a="1"/>
  <c r="C147" i="4" a="1"/>
  <c r="C198" i="4" a="1"/>
  <c r="D64" i="4" a="1"/>
  <c r="D75" i="4" a="1"/>
  <c r="C122" i="4" a="1"/>
  <c r="C110" i="4" a="1"/>
  <c r="C184" i="4" a="1"/>
  <c r="C152" i="4" a="1"/>
  <c r="C120" i="4" a="1"/>
  <c r="D88" i="4" a="1"/>
  <c r="C207" i="4" a="1"/>
  <c r="C175" i="4" a="1"/>
  <c r="C143" i="4" a="1"/>
  <c r="C111" i="4" a="1"/>
  <c r="D73" i="4" a="1"/>
  <c r="D66" i="4" a="1"/>
  <c r="C181" i="4" a="1"/>
  <c r="C117" i="4" a="1"/>
  <c r="G26" i="4" a="1"/>
  <c r="C153" i="4" a="1"/>
  <c r="D67" i="4" a="1"/>
  <c r="C178" i="4" a="1"/>
  <c r="C114" i="4" a="1"/>
  <c r="D26" i="4" a="1"/>
  <c r="D74" i="4" a="1"/>
  <c r="C190" i="4" a="1"/>
  <c r="C156" i="4" a="1"/>
  <c r="D61" i="4" a="1"/>
  <c r="C115" i="4" a="1"/>
  <c r="C189" i="4" a="1"/>
  <c r="C161" i="4" a="1"/>
  <c r="C186" i="4" a="1"/>
  <c r="C142" i="4" a="1"/>
  <c r="C180" i="4" a="1"/>
  <c r="C148" i="4" a="1"/>
  <c r="C116" i="4" a="1"/>
  <c r="D84" i="4" a="1"/>
  <c r="C203" i="4" a="1"/>
  <c r="C171" i="4" a="1"/>
  <c r="C139" i="4" a="1"/>
  <c r="C107" i="4" a="1"/>
  <c r="D69" i="4" a="1"/>
  <c r="D60" i="4" a="1"/>
  <c r="C173" i="4" a="1"/>
  <c r="C109" i="4" a="1"/>
  <c r="E13" i="4" a="1"/>
  <c r="C145" i="4" a="1"/>
  <c r="C201" i="4" a="1"/>
  <c r="C170" i="4" a="1"/>
  <c r="D102" i="4" a="1"/>
  <c r="C150" i="4" a="1"/>
  <c r="D56" i="4" a="1"/>
  <c r="C126" i="4" a="1"/>
  <c r="C124" i="4" a="1"/>
  <c r="C179" i="4" a="1"/>
  <c r="D77" i="4" a="1"/>
  <c r="C125" i="4" a="1"/>
  <c r="D63" i="4" a="1"/>
  <c r="C176" i="4" a="1"/>
  <c r="C144" i="4" a="1"/>
  <c r="C112" i="4" a="1"/>
  <c r="D80" i="4" a="1"/>
  <c r="C199" i="4" a="1"/>
  <c r="C167" i="4" a="1"/>
  <c r="C135" i="4" a="1"/>
  <c r="D101" i="4" a="1"/>
  <c r="D65" i="4" a="1"/>
  <c r="C13" i="4" a="1"/>
  <c r="C165" i="4" a="1"/>
  <c r="D103" i="4" a="1"/>
  <c r="B6" i="4" a="1"/>
  <c r="C137" i="4" a="1"/>
  <c r="D55" i="4" a="1"/>
  <c r="C162" i="4" a="1"/>
  <c r="D94" i="4" a="1"/>
  <c r="D98" i="4" a="1"/>
  <c r="C182" i="4" a="1"/>
  <c r="D82" i="4" a="1"/>
  <c r="E62" i="4" a="1"/>
  <c r="E63" i="4" a="1"/>
  <c r="E71" i="4" a="1"/>
  <c r="E85" i="4" a="1"/>
  <c r="E81" i="4" a="1"/>
  <c r="E57" i="4" a="1"/>
  <c r="E77" i="4" a="1"/>
  <c r="F14" i="4" a="1"/>
  <c r="E90" i="4" a="1"/>
  <c r="E76" i="4" a="1"/>
  <c r="E14" i="4" a="1"/>
  <c r="E55" i="4" a="1"/>
  <c r="E103" i="4" a="1"/>
  <c r="G14" i="4" a="1"/>
  <c r="E87" i="4" a="1"/>
  <c r="E73" i="4" a="1"/>
  <c r="E88" i="4" a="1"/>
  <c r="E99" i="4" a="1"/>
  <c r="E94" i="4" a="1"/>
  <c r="E84" i="4" a="1"/>
  <c r="E61" i="4" a="1"/>
  <c r="E86" i="4" a="1"/>
  <c r="E68" i="4" a="1"/>
  <c r="D14" i="4" a="1"/>
  <c r="E82" i="4" a="1"/>
  <c r="E59" i="4" a="1"/>
  <c r="E60" i="4" a="1"/>
  <c r="E78" i="4" a="1"/>
  <c r="E91" i="4" a="1"/>
  <c r="E97" i="4" a="1"/>
  <c r="E58" i="4" a="1"/>
  <c r="E74" i="4" a="1"/>
  <c r="E56" i="4" a="1"/>
  <c r="E104" i="4" a="1"/>
  <c r="E83" i="4" a="1"/>
  <c r="E64" i="4" a="1"/>
  <c r="E101" i="4" a="1"/>
  <c r="E65" i="4" a="1"/>
  <c r="E93" i="4" a="1"/>
  <c r="E102" i="4" a="1"/>
  <c r="E70" i="4" a="1"/>
  <c r="E100" i="4" a="1"/>
  <c r="E96" i="4" a="1"/>
  <c r="E75" i="4" a="1"/>
  <c r="E79" i="4" a="1"/>
  <c r="E69" i="4" a="1"/>
  <c r="E72" i="4" a="1"/>
  <c r="E95" i="4" a="1"/>
  <c r="E89" i="4" a="1"/>
  <c r="E98" i="4" a="1"/>
  <c r="E66" i="4" a="1"/>
  <c r="E92" i="4" a="1"/>
  <c r="E80" i="4" a="1"/>
  <c r="E67" i="4" a="1"/>
  <c r="C14" i="4" a="1"/>
  <c r="F87" i="4" a="1"/>
  <c r="F61" i="4" a="1"/>
  <c r="F56" i="4" a="1"/>
  <c r="F102" i="4" a="1"/>
  <c r="G27" i="4" a="1"/>
  <c r="F15" i="4" a="1"/>
  <c r="F94" i="4" a="1"/>
  <c r="F84" i="4" a="1"/>
  <c r="F70" i="4" a="1"/>
  <c r="F77" i="4" a="1"/>
  <c r="F65" i="4" a="1"/>
  <c r="D27" i="4" a="1"/>
  <c r="F83" i="4" a="1"/>
  <c r="F60" i="4" a="1"/>
  <c r="F98" i="4" a="1"/>
  <c r="F79" i="4" a="1"/>
  <c r="F76" i="4" a="1"/>
  <c r="F75" i="4" a="1"/>
  <c r="F101" i="4" a="1"/>
  <c r="F74" i="4" a="1"/>
  <c r="F57" i="4" a="1"/>
  <c r="E15" i="4" a="1"/>
  <c r="F92" i="4" a="1"/>
  <c r="F67" i="4" a="1"/>
  <c r="F69" i="4" a="1"/>
  <c r="G15" i="4" a="1"/>
  <c r="F68" i="4" a="1"/>
  <c r="F27" i="4" a="1"/>
  <c r="F64" i="4" a="1"/>
  <c r="F104" i="4" a="1"/>
  <c r="D15" i="4" a="1"/>
  <c r="F103" i="4" a="1"/>
  <c r="F93" i="4" a="1"/>
  <c r="C15" i="4" a="1"/>
  <c r="F86" i="4" a="1"/>
  <c r="F99" i="4" a="1"/>
  <c r="F63" i="4" a="1"/>
  <c r="F89" i="4" a="1"/>
  <c r="F85" i="4" a="1"/>
  <c r="F88" i="4" a="1"/>
  <c r="F100" i="4" a="1"/>
  <c r="F90" i="4" a="1"/>
  <c r="F71" i="4" a="1"/>
  <c r="F96" i="4" a="1"/>
  <c r="F82" i="4" a="1"/>
  <c r="F95" i="4" a="1"/>
  <c r="F59" i="4" a="1"/>
  <c r="F81" i="4" a="1"/>
  <c r="F58" i="4" a="1"/>
  <c r="F80" i="4" a="1"/>
  <c r="F66" i="4" a="1"/>
  <c r="F97" i="4" a="1"/>
  <c r="F78" i="4" a="1"/>
  <c r="F91" i="4" a="1"/>
  <c r="F55" i="4" a="1"/>
  <c r="F73" i="4" a="1"/>
  <c r="E27" i="4" a="1"/>
  <c r="F72" i="4" a="1"/>
  <c r="F62" i="4" a="1"/>
  <c r="D25" i="3" a="1"/>
  <c r="F62" i="4" l="1"/>
  <c r="F72" i="4"/>
  <c r="E27" i="4"/>
  <c r="F73" i="4"/>
  <c r="F55" i="4"/>
  <c r="F91" i="4"/>
  <c r="F78" i="4"/>
  <c r="F97" i="4"/>
  <c r="F66" i="4"/>
  <c r="F80" i="4"/>
  <c r="F58" i="4"/>
  <c r="F81" i="4"/>
  <c r="F59" i="4"/>
  <c r="F95" i="4"/>
  <c r="F82" i="4"/>
  <c r="F96" i="4"/>
  <c r="F71" i="4"/>
  <c r="F90" i="4"/>
  <c r="F100" i="4"/>
  <c r="F88" i="4"/>
  <c r="F85" i="4"/>
  <c r="F89" i="4"/>
  <c r="F63" i="4"/>
  <c r="F99" i="4"/>
  <c r="F86" i="4"/>
  <c r="C15" i="4"/>
  <c r="F93" i="4"/>
  <c r="F103" i="4"/>
  <c r="D15" i="4"/>
  <c r="F104" i="4"/>
  <c r="F64" i="4"/>
  <c r="F27" i="4"/>
  <c r="F68" i="4"/>
  <c r="G15" i="4"/>
  <c r="F69" i="4"/>
  <c r="F67" i="4"/>
  <c r="F92" i="4"/>
  <c r="E15" i="4"/>
  <c r="F57" i="4"/>
  <c r="F74" i="4"/>
  <c r="F101" i="4"/>
  <c r="F75" i="4"/>
  <c r="F76" i="4"/>
  <c r="F79" i="4"/>
  <c r="F98" i="4"/>
  <c r="F60" i="4"/>
  <c r="F83" i="4"/>
  <c r="D27" i="4"/>
  <c r="F65" i="4"/>
  <c r="F77" i="4"/>
  <c r="F70" i="4"/>
  <c r="F84" i="4"/>
  <c r="F94" i="4"/>
  <c r="F15" i="4"/>
  <c r="G27" i="4"/>
  <c r="F102" i="4"/>
  <c r="F56" i="4"/>
  <c r="F61" i="4"/>
  <c r="F87" i="4"/>
  <c r="C14" i="4"/>
  <c r="E67" i="4"/>
  <c r="E80" i="4"/>
  <c r="E92" i="4"/>
  <c r="E66" i="4"/>
  <c r="E98" i="4"/>
  <c r="E89" i="4"/>
  <c r="E95" i="4"/>
  <c r="E72" i="4"/>
  <c r="E69" i="4"/>
  <c r="E79" i="4"/>
  <c r="E75" i="4"/>
  <c r="E96" i="4"/>
  <c r="E100" i="4"/>
  <c r="E70" i="4"/>
  <c r="E102" i="4"/>
  <c r="E93" i="4"/>
  <c r="E65" i="4"/>
  <c r="E101" i="4"/>
  <c r="E64" i="4"/>
  <c r="E83" i="4"/>
  <c r="E104" i="4"/>
  <c r="E56" i="4"/>
  <c r="E74" i="4"/>
  <c r="E58" i="4"/>
  <c r="E97" i="4"/>
  <c r="E91" i="4"/>
  <c r="E78" i="4"/>
  <c r="E60" i="4"/>
  <c r="E59" i="4"/>
  <c r="E82" i="4"/>
  <c r="D14" i="4"/>
  <c r="E68" i="4"/>
  <c r="E86" i="4"/>
  <c r="E61" i="4"/>
  <c r="E84" i="4"/>
  <c r="E94" i="4"/>
  <c r="E99" i="4"/>
  <c r="E88" i="4"/>
  <c r="E73" i="4"/>
  <c r="E87" i="4"/>
  <c r="G14" i="4"/>
  <c r="E103" i="4"/>
  <c r="E55" i="4"/>
  <c r="E14" i="4"/>
  <c r="E76" i="4"/>
  <c r="E90" i="4"/>
  <c r="F14" i="4"/>
  <c r="E77" i="4"/>
  <c r="E57" i="4"/>
  <c r="E81" i="4"/>
  <c r="E85" i="4"/>
  <c r="E71" i="4"/>
  <c r="E63" i="4"/>
  <c r="E62" i="4"/>
  <c r="D82" i="4"/>
  <c r="C182" i="4"/>
  <c r="D98" i="4"/>
  <c r="D94" i="4"/>
  <c r="C162" i="4"/>
  <c r="D55" i="4"/>
  <c r="C137" i="4"/>
  <c r="B6" i="4"/>
  <c r="D103" i="4"/>
  <c r="C165" i="4"/>
  <c r="C13" i="4"/>
  <c r="D65" i="4"/>
  <c r="D101" i="4"/>
  <c r="C135" i="4"/>
  <c r="C167" i="4"/>
  <c r="C199" i="4"/>
  <c r="D80" i="4"/>
  <c r="C112" i="4"/>
  <c r="C144" i="4"/>
  <c r="C176" i="4"/>
  <c r="D63" i="4"/>
  <c r="C125" i="4"/>
  <c r="D77" i="4"/>
  <c r="C179" i="4"/>
  <c r="C124" i="4"/>
  <c r="C126" i="4"/>
  <c r="D56" i="4"/>
  <c r="C150" i="4"/>
  <c r="D102" i="4"/>
  <c r="C170" i="4"/>
  <c r="C201" i="4"/>
  <c r="C145" i="4"/>
  <c r="E13" i="4"/>
  <c r="C109" i="4"/>
  <c r="C173" i="4"/>
  <c r="D60" i="4"/>
  <c r="D69" i="4"/>
  <c r="C107" i="4"/>
  <c r="C139" i="4"/>
  <c r="C171" i="4"/>
  <c r="C203" i="4"/>
  <c r="D84" i="4"/>
  <c r="C116" i="4"/>
  <c r="C148" i="4"/>
  <c r="C180" i="4"/>
  <c r="C142" i="4"/>
  <c r="C186" i="4"/>
  <c r="C161" i="4"/>
  <c r="C189" i="4"/>
  <c r="C115" i="4"/>
  <c r="D61" i="4"/>
  <c r="C156" i="4"/>
  <c r="C190" i="4"/>
  <c r="D74" i="4"/>
  <c r="D26" i="4"/>
  <c r="C114" i="4"/>
  <c r="C178" i="4"/>
  <c r="D67" i="4"/>
  <c r="C153" i="4"/>
  <c r="G26" i="4"/>
  <c r="C117" i="4"/>
  <c r="C181" i="4"/>
  <c r="D66" i="4"/>
  <c r="D73" i="4"/>
  <c r="C111" i="4"/>
  <c r="C143" i="4"/>
  <c r="C175" i="4"/>
  <c r="C207" i="4"/>
  <c r="D88" i="4"/>
  <c r="C120" i="4"/>
  <c r="C152" i="4"/>
  <c r="C184" i="4"/>
  <c r="C110" i="4"/>
  <c r="C122" i="4"/>
  <c r="D75" i="4"/>
  <c r="D64" i="4"/>
  <c r="C198" i="4"/>
  <c r="C147" i="4"/>
  <c r="D92" i="4"/>
  <c r="C188" i="4"/>
  <c r="C134" i="4"/>
  <c r="D59" i="4"/>
  <c r="C194" i="4"/>
  <c r="C169" i="4"/>
  <c r="C133" i="4"/>
  <c r="C202" i="4"/>
  <c r="C119" i="4"/>
  <c r="C183" i="4"/>
  <c r="D96" i="4"/>
  <c r="C160" i="4"/>
  <c r="D58" i="4"/>
  <c r="D70" i="4"/>
  <c r="C205" i="4"/>
  <c r="C177" i="4"/>
  <c r="C141" i="4"/>
  <c r="C206" i="4"/>
  <c r="C123" i="4"/>
  <c r="C187" i="4"/>
  <c r="D100" i="4"/>
  <c r="C164" i="4"/>
  <c r="C174" i="4"/>
  <c r="D86" i="4"/>
  <c r="E26" i="4"/>
  <c r="C193" i="4"/>
  <c r="C157" i="4"/>
  <c r="D57" i="4"/>
  <c r="C131" i="4"/>
  <c r="C195" i="4"/>
  <c r="C108" i="4"/>
  <c r="C172" i="4"/>
  <c r="C158" i="4"/>
  <c r="D91" i="4"/>
  <c r="C197" i="4"/>
  <c r="C151" i="4"/>
  <c r="C128" i="4"/>
  <c r="C138" i="4"/>
  <c r="D79" i="4"/>
  <c r="D89" i="4"/>
  <c r="D68" i="4"/>
  <c r="C196" i="4"/>
  <c r="C118" i="4"/>
  <c r="C113" i="4"/>
  <c r="C121" i="4"/>
  <c r="C159" i="4"/>
  <c r="C166" i="4"/>
  <c r="D78" i="4"/>
  <c r="D13" i="4"/>
  <c r="C185" i="4"/>
  <c r="C149" i="4"/>
  <c r="F26" i="4"/>
  <c r="C127" i="4"/>
  <c r="C191" i="4"/>
  <c r="D104" i="4"/>
  <c r="C168" i="4"/>
  <c r="C130" i="4"/>
  <c r="D71" i="4"/>
  <c r="D81" i="4"/>
  <c r="D85" i="4"/>
  <c r="C192" i="4"/>
  <c r="D90" i="4"/>
  <c r="D99" i="4"/>
  <c r="D83" i="4"/>
  <c r="C155" i="4"/>
  <c r="C132" i="4"/>
  <c r="C146" i="4"/>
  <c r="D87" i="4"/>
  <c r="D93" i="4"/>
  <c r="D72" i="4"/>
  <c r="C136" i="4"/>
  <c r="C200" i="4"/>
  <c r="D95" i="4"/>
  <c r="F13" i="4"/>
  <c r="D21" i="4" s="1"/>
  <c r="D97" i="4"/>
  <c r="C163" i="4"/>
  <c r="D62" i="4"/>
  <c r="G13" i="4"/>
  <c r="C140" i="4"/>
  <c r="C204" i="4"/>
  <c r="C129" i="4"/>
  <c r="D76" i="4"/>
  <c r="C154" i="4"/>
  <c r="D25" i="3"/>
  <c r="D38" i="3" s="1"/>
  <c r="B7" i="4" s="1"/>
  <c r="C215" i="4" l="1"/>
  <c r="C221" i="4"/>
  <c r="C219" i="4"/>
  <c r="C218" i="4"/>
  <c r="C220" i="4"/>
  <c r="C211" i="4"/>
  <c r="C232" i="4"/>
  <c r="C213" i="4"/>
  <c r="C233" i="4"/>
  <c r="C222" i="4"/>
  <c r="C212" i="4"/>
  <c r="C228" i="4"/>
  <c r="C225" i="4"/>
  <c r="C231" i="4"/>
  <c r="C234" i="4"/>
  <c r="D234" i="4" s="1"/>
  <c r="G234" i="4" s="1" a="1"/>
  <c r="G234" i="4" s="1"/>
  <c r="C214" i="4"/>
  <c r="C226" i="4"/>
  <c r="C217" i="4"/>
  <c r="C223" i="4"/>
  <c r="C210" i="4"/>
  <c r="C224" i="4"/>
  <c r="C230" i="4"/>
  <c r="C227" i="4"/>
  <c r="C216" i="4"/>
  <c r="C229" i="4"/>
  <c r="E218" i="4" l="1"/>
  <c r="D218" i="4"/>
  <c r="G218" i="4" s="1" a="1"/>
  <c r="G218" i="4" s="1"/>
  <c r="D214" i="4"/>
  <c r="G214" i="4" s="1" a="1"/>
  <c r="G214" i="4" s="1"/>
  <c r="E214" i="4"/>
  <c r="E227" i="4"/>
  <c r="D227" i="4"/>
  <c r="G227" i="4" s="1" a="1"/>
  <c r="G227" i="4" s="1"/>
  <c r="E232" i="4"/>
  <c r="D232" i="4"/>
  <c r="G232" i="4" s="1" a="1"/>
  <c r="G232" i="4" s="1"/>
  <c r="D211" i="4"/>
  <c r="G211" i="4" s="1" a="1"/>
  <c r="G211" i="4" s="1"/>
  <c r="E211" i="4"/>
  <c r="D225" i="4"/>
  <c r="G225" i="4" s="1" a="1"/>
  <c r="G225" i="4" s="1"/>
  <c r="E225" i="4"/>
  <c r="D228" i="4"/>
  <c r="G228" i="4" s="1" a="1"/>
  <c r="G228" i="4" s="1"/>
  <c r="E228" i="4"/>
  <c r="E223" i="4"/>
  <c r="D223" i="4"/>
  <c r="G223" i="4" s="1" a="1"/>
  <c r="G223" i="4" s="1"/>
  <c r="E212" i="4"/>
  <c r="D212" i="4"/>
  <c r="G212" i="4" s="1" a="1"/>
  <c r="G212" i="4" s="1"/>
  <c r="D219" i="4"/>
  <c r="G219" i="4" s="1" a="1"/>
  <c r="G219" i="4" s="1"/>
  <c r="F218" i="4" s="1"/>
  <c r="E219" i="4"/>
  <c r="D216" i="4"/>
  <c r="G216" i="4" s="1" a="1"/>
  <c r="G216" i="4" s="1"/>
  <c r="E216" i="4"/>
  <c r="D213" i="4"/>
  <c r="G213" i="4" s="1" a="1"/>
  <c r="G213" i="4" s="1"/>
  <c r="F212" i="4" s="1"/>
  <c r="E213" i="4"/>
  <c r="D230" i="4"/>
  <c r="G230" i="4" s="1" a="1"/>
  <c r="G230" i="4" s="1"/>
  <c r="E230" i="4"/>
  <c r="D224" i="4"/>
  <c r="G224" i="4" s="1" a="1"/>
  <c r="G224" i="4" s="1"/>
  <c r="E224" i="4"/>
  <c r="E210" i="4"/>
  <c r="D210" i="4"/>
  <c r="G210" i="4" s="1" a="1"/>
  <c r="G210" i="4" s="1"/>
  <c r="E217" i="4"/>
  <c r="D217" i="4"/>
  <c r="G217" i="4" s="1" a="1"/>
  <c r="G217" i="4" s="1"/>
  <c r="D222" i="4"/>
  <c r="G222" i="4" s="1" a="1"/>
  <c r="G222" i="4" s="1"/>
  <c r="E222" i="4"/>
  <c r="E221" i="4"/>
  <c r="D221" i="4"/>
  <c r="G221" i="4" s="1" a="1"/>
  <c r="G221" i="4" s="1"/>
  <c r="D231" i="4"/>
  <c r="G231" i="4" s="1" a="1"/>
  <c r="G231" i="4" s="1"/>
  <c r="F230" i="4" s="1"/>
  <c r="E231" i="4"/>
  <c r="E220" i="4"/>
  <c r="D220" i="4"/>
  <c r="G220" i="4" s="1" a="1"/>
  <c r="G220" i="4" s="1"/>
  <c r="E229" i="4"/>
  <c r="D229" i="4"/>
  <c r="G229" i="4" s="1" a="1"/>
  <c r="G229" i="4" s="1"/>
  <c r="E226" i="4"/>
  <c r="D226" i="4"/>
  <c r="G226" i="4" s="1" a="1"/>
  <c r="G226" i="4" s="1"/>
  <c r="F225" i="4" s="1"/>
  <c r="E233" i="4"/>
  <c r="D233" i="4"/>
  <c r="G233" i="4" s="1" a="1"/>
  <c r="G233" i="4" s="1"/>
  <c r="D215" i="4"/>
  <c r="G215" i="4" s="1" a="1"/>
  <c r="G215" i="4" s="1"/>
  <c r="F214" i="4" s="1"/>
  <c r="E215" i="4"/>
  <c r="F216" i="4" l="1"/>
  <c r="F222" i="4"/>
  <c r="F231" i="4"/>
  <c r="F226" i="4"/>
  <c r="F211" i="4"/>
  <c r="F227" i="4"/>
  <c r="F220" i="4"/>
  <c r="F223" i="4"/>
  <c r="F224" i="4"/>
  <c r="F213" i="4"/>
  <c r="F232" i="4"/>
  <c r="F215" i="4"/>
  <c r="F217" i="4"/>
  <c r="F233" i="4"/>
  <c r="F228" i="4"/>
  <c r="F219" i="4"/>
  <c r="F221" i="4"/>
  <c r="F229" i="4"/>
  <c r="F210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<sst xmlns="http://schemas.openxmlformats.org/spreadsheetml/2006/main" count="273" uniqueCount="208">
  <si>
    <t xml:space="preserve">Совокупные страховые выплаты: частота × тяжесть</t>
  </si>
  <si>
    <t xml:space="preserve">Пример МоделРиск  ·  Страхование  ·  IN-01</t>
  </si>
  <si>
    <t xml:space="preserve">Во что обойдутся выплаты за год?  Сумма случайного числа случайных убытков — и ошибка, которой нужно избежать.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</si>
  <si>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</si>
  <si>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</si>
  <si>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</si>
  <si>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Страхование</t>
  </si>
  <si>
    <t xml:space="preserve">Сложность</t>
  </si>
  <si>
    <t xml:space="preserve">★★☆☆☆   Выплаты за год как случайное число случайных размеров убытков, тремя способами — два верных и одна распространенная ошибка.</t>
  </si>
  <si>
    <t xml:space="preserve">Вопрос бизнеса</t>
  </si>
  <si>
    <t xml:space="preserve">Страховщик автомобилей ожидает около 1200 убытков в следующем году, в среднем по 5000 долл., но с большим разбросом. Его премиальный доход — 7,5 млн долл. Каков диапазон совокупных выплат за год, насколько вероятно, что они превысят премию, и почему очевидное упрощение в электронной таблице дает неверный ответ?</t>
  </si>
  <si>
    <t xml:space="preserve">Для кого</t>
  </si>
  <si>
    <t xml:space="preserve">Актуариям по тарификации и резервированию, андеррайтерам, финансовым службам; подходит как первая модель для страхования.</t>
  </si>
  <si>
    <t xml:space="preserve">Основные результаты</t>
  </si>
  <si>
    <t xml:space="preserve">Совокупные выплаты за год: среднее, процентили до 99,5% и вероятность превысить премию — агрегированным моделированием, методом FFT и упрощенным способом · для сравнения — точные среднее и стандартное отклонение.</t>
  </si>
  <si>
    <t xml:space="preserve">Приемы МоделРиск</t>
  </si>
  <si>
    <t xml:space="preserve">Число убытков по Пойа (пуассоновское распределение с гамма-распределенной интенсивностью) и размеры убытков по логнормальному распределению, оба как объекты распределений · совокупное распределение методом Монте-Карло (VoseAggregateMC) и быстрым преобразованием Фурье (VoseAggregateFFT) · точные моменты (VoseAggregateMoments) · для контраста — ошибка «число × один размер».</t>
  </si>
  <si>
    <t xml:space="preserve">Файл</t>
  </si>
  <si>
    <t xml:space="preserve">IN-01 Совокупные страховые выплаты: частота и тяжесть  ·  Версия 1.0  ·  Ноябрь 2026  ·  создано в МоделРиск</t>
  </si>
  <si>
    <t xml:space="preserve">Вопрос бизнеса</t>
  </si>
  <si>
    <t xml:space="preserve">Страховщик автомобилей ожидает около 1200 убытков в следующем году. Число убытков меняется от года к году сильнее, чем дает чистая случайность, — суровая зима или дождливое лето сдвигают их все — примерно на 10%. Размеры убытков очень неравномерны: в основном это мелкий ремонт, иногда тяжелые травмы, поэтому при среднем 5000 долл. стандартное отклонение составляет 12 000 долл. Совокупная стоимость убытков за год — сумма случайного числа случайных величин. Соблазнительное упрощение в электронной таблице умножает случайное число убытков на один случайный размер убытка — как будто все убытки за год одного размера. Модель правильно рассчитывает совокупную сумму двумя способами, а также упрощенным способом и сравнивает их с премией.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</si>
  <si>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</si>
  <si>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</si>
  <si>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</si>
  <si>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Ожидаемое число убытков и его изменчивость от года к году; среднее и стандартное отклонение одного убытка; премия.</t>
  </si>
  <si>
    <t xml:space="preserve">2  Убытки</t>
  </si>
  <si>
    <t xml:space="preserve">Частота — объект Пойа (пуассоновское распределение, интенсивность которого распределена по гамма-распределению), тяжесть — логнормальный объект. VoseAggregateMC складывает смоделированный размер каждого убытка; VoseAggregateFFT делает выборку из того же совокупного распределения, рассчитанного быстрым преобразованием Фурье. Упрощенный способ умножает одно число убытков на один размер убытка.</t>
  </si>
  <si>
    <t xml:space="preserve">3  Результаты</t>
  </si>
  <si>
    <t xml:space="preserve">Среднее, 5-й, 95-й и 99,5-й процентили и вероятность, что выплаты превысят премию, для каждого метода в сравнении с точными средним и стандартным отклонением.</t>
  </si>
  <si>
    <t xml:space="preserve">Как пользоваться моделью</t>
  </si>
  <si>
    <t xml:space="preserve">Шаг 1</t>
  </si>
  <si>
    <t xml:space="preserve">Введите ожидаемое число убытков, его изменчивость, статистику размеров убытков и свою премию.</t>
  </si>
  <si>
    <t xml:space="preserve">Шаг 2</t>
  </si>
  <si>
    <t xml:space="preserve">Нажмите F9 на листе «Убытки», чтобы увидеть другие возможные годы.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</si>
  <si>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</si>
  <si>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</si>
  <si>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</si>
  <si>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Оцените вероятность убытка от страховой деятельности и резерв, нужный при 99,5%.</t>
  </si>
  <si>
    <t xml:space="preserve">Структура модели</t>
  </si>
  <si>
    <t xml:space="preserve">Исходные данные</t>
  </si>
  <si>
    <t xml:space="preserve">Число убытков, размеры убытков, премия.</t>
  </si>
  <si>
    <t xml:space="preserve">Убытки</t>
  </si>
  <si>
    <t xml:space="preserve">Объекты распределений, совокупная сумма за этот год тремя методами, точные моменты; результаты и проверки.</t>
  </si>
  <si>
    <t xml:space="preserve">Результаты</t>
  </si>
  <si>
    <t xml:space="preserve">Совокупные выплаты по методам в сравнении с премией.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</si>
  <si>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</si>
  <si>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</si>
  <si>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</si>
  <si>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</si>
  <si>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</si>
  <si>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</si>
  <si>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</si>
  <si>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</si>
  <si>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</si>
  <si>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</si>
  <si>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</si>
  <si>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</si>
  <si>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</si>
  <si>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Миллионы долларов США (млн долл.); размеры убытков — в тысячах долларов.</t>
  </si>
  <si>
    <t xml:space="preserve">Частота</t>
  </si>
  <si>
    <t xml:space="preserve">Число убытков за год.</t>
  </si>
  <si>
    <t xml:space="preserve">Тяжесть</t>
  </si>
  <si>
    <t xml:space="preserve">Размер одного убытка.</t>
  </si>
  <si>
    <t xml:space="preserve">Совокупное распределение</t>
  </si>
  <si>
    <t xml:space="preserve">Сумма всех убытков за год.</t>
  </si>
  <si>
    <t xml:space="preserve">Основные допущения и ограничения</t>
  </si>
  <si>
    <t xml:space="preserve">Размеры убытков независимы друг от друга и от числа убытков.</t>
  </si>
  <si>
    <t xml:space="preserve">Изменчивость частоты убытков от года к году делает число убытков распределенным по Пойа: пуассоновское распределение с гамма-распределенной интенсивностью (отрицательное биномиальное с любым s, не только целым).</t>
  </si>
  <si>
    <t xml:space="preserve">Данные</t>
  </si>
  <si>
    <t xml:space="preserve">Портфель и все цифры придуманы для этого примера.</t>
  </si>
  <si>
    <t xml:space="preserve">Функции МоделРиск в модели</t>
  </si>
  <si>
    <t>VosePolyaObject, VoseLognormalObject</t>
  </si>
  <si>
    <t xml:space="preserve">Частота (пуассоновское распределение с гамма-распределенной интенсивностью) и тяжесть как объекты.</t>
  </si>
  <si>
    <t>VoseAggregateMC</t>
  </si>
  <si>
    <t xml:space="preserve">Складывает по одному смоделированному размеру для каждого убытка за год.</t>
  </si>
  <si>
    <t>VoseAggregateFFT</t>
  </si>
  <si>
    <t xml:space="preserve">То же совокупное распределение, рассчитанное быстрым преобразованием Фурье, затем выборка из него.</t>
  </si>
  <si>
    <t>VoseAggregateMoments</t>
  </si>
  <si>
    <t xml:space="preserve">Точные среднее, дисперсия, асимметрия и эксцесс совокупного распределения.</t>
  </si>
  <si>
    <t>VoseSimMean, VoseSimPercentile</t>
  </si>
  <si>
    <t xml:space="preserve">Статистика моделирования на листе «Результаты».</t>
  </si>
  <si>
    <t xml:space="preserve">Что почитать</t>
  </si>
  <si>
    <t xml:space="preserve">Совокупные убытки</t>
  </si>
  <si>
    <t>Klugman, S. A., Panjer, H. H. &amp; Willmot, G. E. (2019). Loss Models: From Data to Decisions, 5th edition. Wiley.</t>
  </si>
  <si>
    <t xml:space="preserve">Анализ рисков</t>
  </si>
  <si>
    <t xml:space="preserve">Метод Монте-Карло в анализе рисков: что это и как работает (статья)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</si>
  <si>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</si>
  <si>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</si>
  <si>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</si>
  <si>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Убытки  ▸</t>
  </si>
  <si>
    <t xml:space="preserve">Как читать этот лист:  желтые ячейки — исходные данные.</t>
  </si>
  <si>
    <t xml:space="preserve">1   Число убытков</t>
  </si>
  <si>
    <t xml:space="preserve">Сколько убытков в год.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</si>
  <si>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</si>
  <si>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</si>
  <si>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</si>
  <si>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</si>
  <si>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Обоснование / источник (условно)</t>
  </si>
  <si>
    <t xml:space="preserve">Ожидаемое число убытков</t>
  </si>
  <si>
    <t xml:space="preserve">убытков в год</t>
  </si>
  <si>
    <t xml:space="preserve">Константа</t>
  </si>
  <si>
    <t xml:space="preserve">Число действующих полисов × частота убытков.</t>
  </si>
  <si>
    <t xml:space="preserve">Изменчивость частоты убытков от года к году</t>
  </si>
  <si>
    <t xml:space="preserve">коэффициент вариации</t>
  </si>
  <si>
    <t xml:space="preserve">Погода и экономические условия сдвигают все убытки вместе. Больше 0: для чистого пуассоновского распределения используйте 1%.</t>
  </si>
  <si>
    <t xml:space="preserve">2   Размеры убытков</t>
  </si>
  <si>
    <t xml:space="preserve">Во что обходится один убыток.</t>
  </si>
  <si>
    <t xml:space="preserve">Средний убыток</t>
  </si>
  <si>
    <t xml:space="preserve">тыс. долл.</t>
  </si>
  <si>
    <t xml:space="preserve">История убытков, проиндексированная на следующий год.</t>
  </si>
  <si>
    <t xml:space="preserve">Стандартное отклонение убытка</t>
  </si>
  <si>
    <t xml:space="preserve">Большинство убытков мелкие; немногие очень крупные.</t>
  </si>
  <si>
    <t xml:space="preserve">3   Премия и метод</t>
  </si>
  <si>
    <t xml:space="preserve">Премиальный доход</t>
  </si>
  <si>
    <t xml:space="preserve">млн долл.</t>
  </si>
  <si>
    <t xml:space="preserve">Ожидаемый коэффициент убыточности 80%.</t>
  </si>
  <si>
    <t xml:space="preserve">Уровень плотности FFT</t>
  </si>
  <si>
    <t xml:space="preserve">2^n шагов</t>
  </si>
  <si>
    <t xml:space="preserve">При большом числе убытков в год нужна мелкая сетка: значение по умолчанию (12) здесь слишком грубое.</t>
  </si>
  <si>
    <t xml:space="preserve">УБЫТКИ   ·   Распределения частоты и тяжести и совокупные выплаты этого года тремя способами.</t>
  </si>
  <si>
    <t xml:space="preserve">◂  Исходные данные</t>
  </si>
  <si>
    <t xml:space="preserve">Далее:  Результаты  ▸</t>
  </si>
  <si>
    <t xml:space="preserve">1   Распределения</t>
  </si>
  <si>
    <t xml:space="preserve">Частота и тяжесть как объекты распределений МоделРиск.</t>
  </si>
  <si>
    <t xml:space="preserve">Величина</t>
  </si>
  <si>
    <t xml:space="preserve">Значение</t>
  </si>
  <si>
    <t xml:space="preserve">Как рассчитывается</t>
  </si>
  <si>
    <t xml:space="preserve">Частота убытков: гамма α</t>
  </si>
  <si>
    <t xml:space="preserve">1 ÷ CV²: собственная изменчивость частоты убытков</t>
  </si>
  <si>
    <t xml:space="preserve">Частота убытков: гамма β</t>
  </si>
  <si>
    <t xml:space="preserve">Ожидаемое число убытков × CV²: α × β — ожидаемое число убытков</t>
  </si>
  <si>
    <t xml:space="preserve">Частота  (убытков за год)</t>
  </si>
  <si>
    <t xml:space="preserve">объект</t>
  </si>
  <si>
    <t xml:space="preserve">Пуассоновское распределение с неопределенной интенсивностью</t>
  </si>
  <si>
    <t xml:space="preserve">Тыс. долл. с листа «Исходные данные» ÷ 1000: все ниже — в млн долл.</t>
  </si>
  <si>
    <t xml:space="preserve">Тяжесть  (один убыток)</t>
  </si>
  <si>
    <t xml:space="preserve">VoseLognormal по собственным среднему и стандартному отклонению</t>
  </si>
  <si>
    <t xml:space="preserve">2   Точные моменты</t>
  </si>
  <si>
    <t xml:space="preserve">VoseAggregateMoments: рассчитываются напрямую, а не моделируются (массив на четыре ячейки).</t>
  </si>
  <si>
    <t xml:space="preserve">Среднее выплат за год</t>
  </si>
  <si>
    <t xml:space="preserve">VoseAggregateMoments(частота, тяжесть): среднее, дисперсия, асимметрия, эксцесс</t>
  </si>
  <si>
    <t xml:space="preserve">Дисперсия</t>
  </si>
  <si>
    <t xml:space="preserve">(млн долл.)²</t>
  </si>
  <si>
    <t xml:space="preserve">Асимметрия</t>
  </si>
  <si>
    <t xml:space="preserve">Эксцесс</t>
  </si>
  <si>
    <t xml:space="preserve">Ожидаемое число убытков × средний убыток</t>
  </si>
  <si>
    <t xml:space="preserve">Стандартное отклонение выплат за год</t>
  </si>
  <si>
    <t xml:space="preserve">√(среднее число убытков × дисперсия убытка + дисперсия числа убытков × средний убыток²)</t>
  </si>
  <si>
    <t xml:space="preserve">Среднее распределения FFT  (при плотности с листа «Исходные данные»)</t>
  </si>
  <si>
    <t xml:space="preserve">Должно совпадать с точным средним; если нет, повысьте плотность</t>
  </si>
  <si>
    <t xml:space="preserve">3   Выплаты этого года тремя способами</t>
  </si>
  <si>
    <t xml:space="preserve">Нажмите F9, чтобы выбрать другой год.</t>
  </si>
  <si>
    <t xml:space="preserve">Метод</t>
  </si>
  <si>
    <t xml:space="preserve">Сумма всех убытков  (VoseAggregateMC)</t>
  </si>
  <si>
    <t xml:space="preserve">Число убытков, затем по одному смоделированному размеру на каждый убыток, сложенные</t>
  </si>
  <si>
    <t xml:space="preserve">Сумма всех убытков  (VoseAggregateFFT)</t>
  </si>
  <si>
    <t xml:space="preserve">То же распределение, рассчитанное быстрым преобразованием Фурье, выборка</t>
  </si>
  <si>
    <t xml:space="preserve">Число убытков × размер одного убытка</t>
  </si>
  <si>
    <t xml:space="preserve">Как будто все убытки за год одного размера</t>
  </si>
  <si>
    <t xml:space="preserve">Ожидаемое число убытков × средний убыток  (без неопределенности)</t>
  </si>
  <si>
    <t xml:space="preserve">Детерминированная оценка</t>
  </si>
  <si>
    <t xml:space="preserve">4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</si>
  <si>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</si>
  <si>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Изменчивость частоты убытков больше 0</t>
  </si>
  <si>
    <t xml:space="preserve">Среднее FFT отличается от точного среднего не более чем на 2%  (иначе повысьте плотность)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</si>
  <si>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</si>
  <si>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Убытки</t>
  </si>
  <si>
    <t xml:space="preserve">1   Во что обойдутся выплаты за год?</t>
  </si>
  <si>
    <t xml:space="preserve">Совокупные выплаты, сумма всех убытков — распределение</t>
  </si>
  <si>
    <t xml:space="preserve">Совокупные выплаты (млн долл.) каждым методом в сравнении с премией.</t>
  </si>
  <si>
    <t xml:space="preserve">Среднее</t>
  </si>
  <si>
    <t xml:space="preserve">Станд. откл.</t>
  </si>
  <si>
    <t xml:space="preserve">95-й проц.</t>
  </si>
  <si>
    <t xml:space="preserve">99,5-й проц.</t>
  </si>
  <si>
    <t xml:space="preserve">Выше</t>
  </si>
  <si>
    <t xml:space="preserve">1 раз в 200 лет</t>
  </si>
  <si>
    <t xml:space="preserve">премии</t>
  </si>
  <si>
    <t xml:space="preserve">Показатель</t>
  </si>
  <si>
    <t xml:space="preserve">Точное среднее  (VoseAggregateMoments)</t>
  </si>
  <si>
    <t xml:space="preserve">Точное стандартное отклонение</t>
  </si>
  <si>
    <t xml:space="preserve">Премия</t>
  </si>
  <si>
    <t xml:space="preserve">Капитал сверх премии, 1 из 200  (сумма всех убытков)</t>
  </si>
  <si>
    <t xml:space="preserve">2   Почему упрощение неверно</t>
  </si>
  <si>
    <t xml:space="preserve">Среднее то же, диапазон совсем другой.</t>
  </si>
  <si>
    <t xml:space="preserve">10-й проц.</t>
  </si>
  <si>
    <t xml:space="preserve">Медиана</t>
  </si>
  <si>
    <t xml:space="preserve">90-й проц.</t>
  </si>
  <si>
    <t xml:space="preserve">Совокупные выплаты — интегральная вероятность</t>
  </si>
  <si>
    <t xml:space="preserve">3   Как читать результаты</t>
  </si>
  <si>
    <t xml:space="preserve">•  Сумма всех убытков дает узкое распределение с небольшой правосторонней асимметрией: при большом числе убытков крупные и мелкие в значительной мере компенсируют друг друга. Его среднее и стандартное отклонение совпадают с точными моментами.</t>
  </si>
  <si>
    <t xml:space="preserve">•  Метод FFT рассчитывает то же распределение, не моделируя каждый убыток, и совпадает с суммой всех убытков — но только при достаточно мелкой сетке. При плотности МоделРиск по умолчанию среднее FFT здесь оказалось бы примерно в три раза завышенным. Всегда сравнивайте среднее FFT с точным средним (лист «Убытки» это делает) и повышайте плотность, пока они не совпадут.</t>
  </si>
  <si>
    <t xml:space="preserve">•  Если умножить случайное число убытков на один случайный размер убытка, среднее получится правильным, но диапазон — во много раз шире: предполагается, что все убытки за год одного размера, поэтому одна крупная выборка делает катастрофическим весь год. Вероятность превысить премию и нужный резерв сильно завышаются.</t>
  </si>
  <si>
    <t xml:space="preserve">•  Детерминированная оценка — ожидаемое число убытков × средний убыток — дает правильное среднее, но никакого диапазона: она не может сказать, насколько вероятен убыток от страховой деятельности.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</si>
  <si>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</si>
  <si>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</si>
  <si>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</si>
  <si>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</si>
  <si>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Claims_MC</t>
  </si>
  <si>
    <t>Claims_FFT</t>
  </si>
  <si>
    <t>Claims_Wrong</t>
  </si>
  <si>
    <t xml:space="preserve">Процентили: Claims_MC</t>
  </si>
  <si>
    <t xml:space="preserve">Гистограмма: Claims_MC</t>
  </si>
  <si>
    <t xml:space="preserve">Граница</t>
  </si>
  <si>
    <t xml:space="preserve">Индекс</t>
  </si>
  <si>
    <t xml:space="preserve">Середина</t>
  </si>
  <si>
    <t xml:space="preserve">Вероятность</t>
  </si>
  <si>
    <t xml:space="preserve">Ниже границы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</si>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</sst>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_);\(#,##0\);&quot;–&quot;_)"/>
    <numFmt numFmtId="165" formatCode="#,##0.0_);\(#,##0.0\);&quot;–&quot;_)"/>
    <numFmt numFmtId="166" formatCode="#,##0.00_);\(#,##0.00\);&quot;–&quot;_)"/>
    <numFmt numFmtId="167" formatCode="0.0000"/>
    <numFmt numFmtId="168" formatCode="0.000"/>
    <numFmt numFmtId="169" formatCode="#,##0.00_);\(#,##0.00\);&quot;–&quot;_);&quot;–&quot;"/>
    <numFmt numFmtId="170" formatCode="0.0%;\-0.0%;0.0%;&quot;–&quot;"/>
    <numFmt numFmtId="171" formatCode="0.0%"/>
  </numFmts>
  <fonts count="24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b/>
      <sz val="10"/>
      <color rgb="FF15803D"/>
      <name val="Calibri"/>
    </font>
    <font>
      <sz val="8"/>
      <color rgb="FF55585F"/>
      <name val="Calibri"/>
    </font>
    <font>
      <sz val="10"/>
      <color rgb="FF55585F"/>
      <name val="Calibri"/>
    </font>
    <font>
      <sz val="9"/>
      <color rgb="FF8B8E95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1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64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9" fontId="1" fillId="2" borderId="7" xfId="1" applyNumberFormat="1" applyBorder="1">
      <alignment horizontal="right" vertical="center"/>
    </xf>
    <xf numFmtId="165" fontId="1" fillId="2" borderId="7" xfId="1" applyNumberFormat="1" applyBorder="1">
      <alignment horizontal="right" vertical="center"/>
    </xf>
    <xf numFmtId="166" fontId="1" fillId="2" borderId="7" xfId="1" applyNumberFormat="1" applyBorder="1">
      <alignment horizontal="right" vertical="center"/>
    </xf>
    <xf numFmtId="1" fontId="1" fillId="2" borderId="7" xfId="1" applyNumberFormat="1" applyBorder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2" fontId="3" fillId="0" borderId="8" xfId="3" applyNumberFormat="1" applyBorder="1">
      <alignment horizontal="right" vertical="center"/>
    </xf>
    <xf numFmtId="0" fontId="3" fillId="0" borderId="8" xfId="3" applyBorder="1" applyAlignment="1">
      <alignment horizontal="left" vertical="center" indent="1"/>
    </xf>
    <xf numFmtId="167" fontId="3" fillId="0" borderId="8" xfId="3" applyNumberFormat="1" applyBorder="1">
      <alignment horizontal="right" vertical="center"/>
    </xf>
    <xf numFmtId="168" fontId="3" fillId="0" borderId="8" xfId="3" applyNumberFormat="1" applyBorder="1">
      <alignment horizontal="right" vertical="center"/>
    </xf>
    <xf numFmtId="166" fontId="4" fillId="4" borderId="9" xfId="4" applyNumberFormat="1" applyBorder="1">
      <alignment horizontal="right" vertical="center"/>
    </xf>
    <xf numFmtId="166" fontId="3" fillId="0" borderId="8" xfId="3" applyNumberFormat="1" applyBorder="1">
      <alignment horizontal="right" vertical="center"/>
    </xf>
    <xf numFmtId="0" fontId="19" fillId="0" borderId="6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left" vertical="center" indent="1"/>
    </xf>
    <xf numFmtId="0" fontId="0" fillId="5" borderId="10" xfId="0" applyFill="1" applyBorder="1"/>
    <xf numFmtId="0" fontId="18" fillId="0" borderId="0" xfId="0" applyFont="1" applyAlignment="1">
      <alignment horizontal="left" vertical="center" indent="1"/>
    </xf>
    <xf numFmtId="0" fontId="23" fillId="0" borderId="5" xfId="0" applyFont="1" applyBorder="1"/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0" fontId="20" fillId="7" borderId="4" xfId="0" applyFont="1" applyFill="1" applyBorder="1" applyAlignment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169" fontId="1" fillId="5" borderId="7" xfId="5" applyNumberFormat="1" applyBorder="1">
      <alignment horizontal="right" vertical="center"/>
    </xf>
    <xf numFmtId="170" fontId="1" fillId="5" borderId="7" xfId="5" applyNumberFormat="1" applyBorder="1">
      <alignment horizontal="right" vertical="center"/>
    </xf>
    <xf numFmtId="0" fontId="21" fillId="0" borderId="6" xfId="0" applyFont="1" applyBorder="1" applyAlignment="1">
      <alignment horizontal="left" vertical="center" indent="1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171" fontId="3" fillId="0" borderId="2" xfId="3" applyNumberFormat="1">
      <alignment horizontal="right" vertical="center"/>
    </xf>
    <xf numFmtId="0" fontId="22" fillId="0" borderId="0" xfId="0" applyFont="1"/>
    <xf numFmtId="1" fontId="3" fillId="0" borderId="2" xfId="3" applyNumberFormat="1">
      <alignment horizontal="right" vertical="center"/>
    </xf>
    <xf numFmtId="0" fontId="16" fillId="0" borderId="0" xfId="0" applyFont="1"/>
    <xf numFmtId="0" fontId="0" fillId="0" borderId="0" xfId="0"/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5"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Сумма всех убытков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1"/>
          <c:cat>
            <c:numRef>
              <c:f>'Результаты'!$E$210:$E$233</c:f>
              <c:numCache>
                <c:formatCode>#,##0.00</c:formatCode>
                <c:ptCount val="24"/>
                <c:pt idx="0">
                  <c:v>4.3551293680933902</c:v>
                </c:pt>
                <c:pt idx="1">
                  <c:v>4.5168858422924307</c:v>
                </c:pt>
                <c:pt idx="2">
                  <c:v>4.6786423164914712</c:v>
                </c:pt>
                <c:pt idx="3">
                  <c:v>4.8403987906905108</c:v>
                </c:pt>
                <c:pt idx="4">
                  <c:v>5.0021552648895513</c:v>
                </c:pt>
                <c:pt idx="5">
                  <c:v>5.1639117390885918</c:v>
                </c:pt>
                <c:pt idx="6">
                  <c:v>5.3256682132876314</c:v>
                </c:pt>
                <c:pt idx="7">
                  <c:v>5.487424687486671</c:v>
                </c:pt>
                <c:pt idx="8">
                  <c:v>5.6491811616857124</c:v>
                </c:pt>
                <c:pt idx="9">
                  <c:v>5.810937635884752</c:v>
                </c:pt>
                <c:pt idx="10">
                  <c:v>5.9726941100837916</c:v>
                </c:pt>
                <c:pt idx="11">
                  <c:v>6.1344505842828321</c:v>
                </c:pt>
                <c:pt idx="12">
                  <c:v>6.2962070584818726</c:v>
                </c:pt>
                <c:pt idx="13">
                  <c:v>6.4579635326809122</c:v>
                </c:pt>
                <c:pt idx="14">
                  <c:v>6.6197200068799527</c:v>
                </c:pt>
                <c:pt idx="15">
                  <c:v>6.7814764810789931</c:v>
                </c:pt>
                <c:pt idx="16">
                  <c:v>6.9432329552780327</c:v>
                </c:pt>
                <c:pt idx="17">
                  <c:v>7.1049894294770732</c:v>
                </c:pt>
                <c:pt idx="18">
                  <c:v>7.2667459036761137</c:v>
                </c:pt>
                <c:pt idx="19">
                  <c:v>7.4285023778751533</c:v>
                </c:pt>
                <c:pt idx="20">
                  <c:v>7.5902588520741938</c:v>
                </c:pt>
                <c:pt idx="21">
                  <c:v>7.7520153262732343</c:v>
                </c:pt>
                <c:pt idx="22">
                  <c:v>7.9137718004722739</c:v>
                </c:pt>
                <c:pt idx="23">
                  <c:v>8.0755282746713135</c:v>
                </c:pt>
              </c:numCache>
            </c:numRef>
          </c:cat>
          <c:val>
            <c:numRef>
              <c:f>'Результаты'!$F$210:$F$233</c:f>
              <c:numCache>
                <c:formatCode>0.0%</c:formatCode>
                <c:ptCount val="24"/>
                <c:pt idx="0">
                  <c:v>7.3333366632277438E-3</c:v>
                </c:pt>
                <c:pt idx="1">
                  <c:v>1.0678719164424345E-2</c:v>
                </c:pt>
                <c:pt idx="2">
                  <c:v>1.9819602382920382E-2</c:v>
                </c:pt>
                <c:pt idx="3">
                  <c:v>2.7475947214399124E-2</c:v>
                </c:pt>
                <c:pt idx="4">
                  <c:v>3.9427559102501605E-2</c:v>
                </c:pt>
                <c:pt idx="5">
                  <c:v>4.8856883280043034E-2</c:v>
                </c:pt>
                <c:pt idx="6">
                  <c:v>6.2063110065113336E-2</c:v>
                </c:pt>
                <c:pt idx="7">
                  <c:v>7.6623006326780652E-2</c:v>
                </c:pt>
                <c:pt idx="8">
                  <c:v>8.144234417982732E-2</c:v>
                </c:pt>
                <c:pt idx="9">
                  <c:v>8.7518288999802962E-2</c:v>
                </c:pt>
                <c:pt idx="10">
                  <c:v>8.1627300422953741E-2</c:v>
                </c:pt>
                <c:pt idx="11">
                  <c:v>8.1980205951383667E-2</c:v>
                </c:pt>
                <c:pt idx="12">
                  <c:v>8.0229872663400537E-2</c:v>
                </c:pt>
                <c:pt idx="13">
                  <c:v>6.6312045225943472E-2</c:v>
                </c:pt>
                <c:pt idx="14">
                  <c:v>5.2729785018635233E-2</c:v>
                </c:pt>
                <c:pt idx="15">
                  <c:v>4.5513258547456914E-2</c:v>
                </c:pt>
                <c:pt idx="16">
                  <c:v>3.3911574940737266E-2</c:v>
                </c:pt>
                <c:pt idx="17">
                  <c:v>2.7162470701714847E-2</c:v>
                </c:pt>
                <c:pt idx="18">
                  <c:v>2.0667888476610052E-2</c:v>
                </c:pt>
                <c:pt idx="19">
                  <c:v>1.4437817677004361E-2</c:v>
                </c:pt>
                <c:pt idx="20">
                  <c:v>9.6497473402035183E-3</c:v>
                </c:pt>
                <c:pt idx="21">
                  <c:v>6.1548945277569711E-3</c:v>
                </c:pt>
                <c:pt idx="22">
                  <c:v>4.9363939892882458E-3</c:v>
                </c:pt>
                <c:pt idx="23">
                  <c:v>3.4479471378706661E-3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4D8-4C9B-8DCD-2AFBA074EA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млн долл.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between"/>
      </c:valAx>
    </c:plotArea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Сумма всех убытков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'Результаты'!$D$55:$D$102</c:f>
              <c:numCache>
                <c:formatCode>#,##0.00</c:formatCode>
                <c:ptCount val="48"/>
                <c:pt idx="0">
                  <c:v>4.3953117828635042</c:v>
                </c:pt>
                <c:pt idx="1">
                  <c:v>4.6628210010701379</c:v>
                </c:pt>
                <c:pt idx="2">
                  <c:v>4.8037177795604871</c:v>
                </c:pt>
                <c:pt idx="3">
                  <c:v>4.9196363362381783</c:v>
                </c:pt>
                <c:pt idx="4">
                  <c:v>5.0108872264743889</c:v>
                </c:pt>
                <c:pt idx="5">
                  <c:v>5.084021692300686</c:v>
                </c:pt>
                <c:pt idx="6">
                  <c:v>5.156456105493584</c:v>
                </c:pt>
                <c:pt idx="7">
                  <c:v>5.2153165117462263</c:v>
                </c:pt>
                <c:pt idx="8">
                  <c:v>5.2797305715358593</c:v>
                </c:pt>
                <c:pt idx="9">
                  <c:v>5.330588564509279</c:v>
                </c:pt>
                <c:pt idx="10">
                  <c:v>5.3796063246135066</c:v>
                </c:pt>
                <c:pt idx="11">
                  <c:v>5.4290056572023264</c:v>
                </c:pt>
                <c:pt idx="12">
                  <c:v>5.4695134848614186</c:v>
                </c:pt>
                <c:pt idx="13">
                  <c:v>5.5112667508603188</c:v>
                </c:pt>
                <c:pt idx="14">
                  <c:v>5.5522672696568272</c:v>
                </c:pt>
                <c:pt idx="15">
                  <c:v>5.5930977558454833</c:v>
                </c:pt>
                <c:pt idx="16">
                  <c:v>5.6374420723940002</c:v>
                </c:pt>
                <c:pt idx="17">
                  <c:v>5.6781949884319447</c:v>
                </c:pt>
                <c:pt idx="18">
                  <c:v>5.7139880133335872</c:v>
                </c:pt>
                <c:pt idx="19">
                  <c:v>5.7496316888013554</c:v>
                </c:pt>
                <c:pt idx="20">
                  <c:v>5.7871569651984744</c:v>
                </c:pt>
                <c:pt idx="21">
                  <c:v>5.8243147283526193</c:v>
                </c:pt>
                <c:pt idx="22">
                  <c:v>5.8603091528238025</c:v>
                </c:pt>
                <c:pt idx="23">
                  <c:v>5.8998066765871409</c:v>
                </c:pt>
                <c:pt idx="24">
                  <c:v>5.9391960871623137</c:v>
                </c:pt>
                <c:pt idx="25">
                  <c:v>5.9783099543673259</c:v>
                </c:pt>
                <c:pt idx="26">
                  <c:v>6.0185500629709834</c:v>
                </c:pt>
                <c:pt idx="27">
                  <c:v>6.0571117024504426</c:v>
                </c:pt>
                <c:pt idx="28">
                  <c:v>6.0908618812165836</c:v>
                </c:pt>
                <c:pt idx="29">
                  <c:v>6.1332087765401928</c:v>
                </c:pt>
                <c:pt idx="30">
                  <c:v>6.1769875493860553</c:v>
                </c:pt>
                <c:pt idx="31">
                  <c:v>6.2155961104243795</c:v>
                </c:pt>
                <c:pt idx="32">
                  <c:v>6.2531407819776259</c:v>
                </c:pt>
                <c:pt idx="33">
                  <c:v>6.2910175967101978</c:v>
                </c:pt>
                <c:pt idx="34">
                  <c:v>6.3325922309151137</c:v>
                </c:pt>
                <c:pt idx="35">
                  <c:v>6.3768944810517283</c:v>
                </c:pt>
                <c:pt idx="36">
                  <c:v>6.4260077050921023</c:v>
                </c:pt>
                <c:pt idx="37">
                  <c:v>6.4734307428761477</c:v>
                </c:pt>
                <c:pt idx="38">
                  <c:v>6.5225181116703039</c:v>
                </c:pt>
                <c:pt idx="39">
                  <c:v>6.5760724186866044</c:v>
                </c:pt>
                <c:pt idx="40">
                  <c:v>6.6368629997592334</c:v>
                </c:pt>
                <c:pt idx="41">
                  <c:v>6.7036446351085646</c:v>
                </c:pt>
                <c:pt idx="42">
                  <c:v>6.7713087738293707</c:v>
                </c:pt>
                <c:pt idx="43">
                  <c:v>6.8443088269710826</c:v>
                </c:pt>
                <c:pt idx="44">
                  <c:v>6.928288461850264</c:v>
                </c:pt>
                <c:pt idx="45">
                  <c:v>7.0333830544865297</c:v>
                </c:pt>
                <c:pt idx="46">
                  <c:v>7.1463086880323194</c:v>
                </c:pt>
                <c:pt idx="47">
                  <c:v>7.2979646682007537</c:v>
                </c:pt>
              </c:numCache>
            </c:numRef>
          </c:xVal>
          <c:yVal>
            <c:numRef>
              <c:f>'Результаты'!$B$55:$B$102</c:f>
              <c:numCache>
                <c:formatCode>0%</c:formatCode>
                <c:ptCount val="48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0E3-490E-A40C-86AC631F6CB4}"/>
            </c:ext>
          </c:extLst>
        </c:ser>
        <c:ser>
          <c:idx val="1"/>
          <c:order val="1"/>
          <c:tx>
            <c:v>FFT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none"/>
          </c:marker>
          <c:xVal>
            <c:numRef>
              <c:f>'Результаты'!$E$55:$E$102</c:f>
              <c:numCache>
                <c:formatCode>#,##0.00</c:formatCode>
                <c:ptCount val="48"/>
                <c:pt idx="0">
                  <c:v>4.4160798940908759</c:v>
                </c:pt>
                <c:pt idx="1">
                  <c:v>4.707829765063269</c:v>
                </c:pt>
                <c:pt idx="2">
                  <c:v>4.8636414809774529</c:v>
                </c:pt>
                <c:pt idx="3">
                  <c:v>4.9722421519646121</c:v>
                </c:pt>
                <c:pt idx="4">
                  <c:v>5.0593772392106793</c:v>
                </c:pt>
                <c:pt idx="5">
                  <c:v>5.1371457920366099</c:v>
                </c:pt>
                <c:pt idx="6">
                  <c:v>5.1981584340861575</c:v>
                </c:pt>
                <c:pt idx="7">
                  <c:v>5.2550703892285027</c:v>
                </c:pt>
                <c:pt idx="8">
                  <c:v>5.3184004282106239</c:v>
                </c:pt>
                <c:pt idx="9">
                  <c:v>5.3656448673484105</c:v>
                </c:pt>
                <c:pt idx="10">
                  <c:v>5.4142771672414174</c:v>
                </c:pt>
                <c:pt idx="11">
                  <c:v>5.4605587665876971</c:v>
                </c:pt>
                <c:pt idx="12">
                  <c:v>5.5060307425008919</c:v>
                </c:pt>
                <c:pt idx="13">
                  <c:v>5.5491529815405514</c:v>
                </c:pt>
                <c:pt idx="14">
                  <c:v>5.5897709591821956</c:v>
                </c:pt>
                <c:pt idx="15">
                  <c:v>5.6306667659195337</c:v>
                </c:pt>
                <c:pt idx="16">
                  <c:v>5.667386392068078</c:v>
                </c:pt>
                <c:pt idx="17">
                  <c:v>5.7053060109814417</c:v>
                </c:pt>
                <c:pt idx="18">
                  <c:v>5.744832409499443</c:v>
                </c:pt>
                <c:pt idx="19">
                  <c:v>5.7828736159053848</c:v>
                </c:pt>
                <c:pt idx="20">
                  <c:v>5.8212686499095856</c:v>
                </c:pt>
                <c:pt idx="21">
                  <c:v>5.8588570143755856</c:v>
                </c:pt>
                <c:pt idx="22">
                  <c:v>5.8940439546073167</c:v>
                </c:pt>
                <c:pt idx="23">
                  <c:v>5.9330491638189562</c:v>
                </c:pt>
                <c:pt idx="24">
                  <c:v>5.9697432249421132</c:v>
                </c:pt>
                <c:pt idx="25">
                  <c:v>6.0061908578885834</c:v>
                </c:pt>
                <c:pt idx="26">
                  <c:v>6.043781456262554</c:v>
                </c:pt>
                <c:pt idx="27">
                  <c:v>6.0814339278536265</c:v>
                </c:pt>
                <c:pt idx="28">
                  <c:v>6.1200688921246913</c:v>
                </c:pt>
                <c:pt idx="29">
                  <c:v>6.1604695173132962</c:v>
                </c:pt>
                <c:pt idx="30">
                  <c:v>6.1975897747573034</c:v>
                </c:pt>
                <c:pt idx="31">
                  <c:v>6.2380710655270537</c:v>
                </c:pt>
                <c:pt idx="32">
                  <c:v>6.2822010642901684</c:v>
                </c:pt>
                <c:pt idx="33">
                  <c:v>6.3226576589075449</c:v>
                </c:pt>
                <c:pt idx="34">
                  <c:v>6.3662494603853625</c:v>
                </c:pt>
                <c:pt idx="35">
                  <c:v>6.4073992783982403</c:v>
                </c:pt>
                <c:pt idx="36">
                  <c:v>6.449934314791081</c:v>
                </c:pt>
                <c:pt idx="37">
                  <c:v>6.4944962698127426</c:v>
                </c:pt>
                <c:pt idx="38">
                  <c:v>6.5484945230144254</c:v>
                </c:pt>
                <c:pt idx="39">
                  <c:v>6.6131553296077659</c:v>
                </c:pt>
                <c:pt idx="40">
                  <c:v>6.6670974292205303</c:v>
                </c:pt>
                <c:pt idx="41">
                  <c:v>6.7333356244607794</c:v>
                </c:pt>
                <c:pt idx="42">
                  <c:v>6.805988602429391</c:v>
                </c:pt>
                <c:pt idx="43">
                  <c:v>6.8791792695054701</c:v>
                </c:pt>
                <c:pt idx="44">
                  <c:v>6.9569730513068118</c:v>
                </c:pt>
                <c:pt idx="45">
                  <c:v>7.0493918756931109</c:v>
                </c:pt>
                <c:pt idx="46">
                  <c:v>7.1637658870724863</c:v>
                </c:pt>
                <c:pt idx="47">
                  <c:v>7.3046383724847193</c:v>
                </c:pt>
              </c:numCache>
            </c:numRef>
          </c:xVal>
          <c:yVal>
            <c:numRef>
              <c:f>'Результаты'!$B$55:$B$102</c:f>
              <c:numCache>
                <c:formatCode>0%</c:formatCode>
                <c:ptCount val="48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0E3-490E-A40C-86AC631F6CB4}"/>
            </c:ext>
          </c:extLst>
        </c:ser>
        <c:ser>
          <c:idx val="2"/>
          <c:order val="2"/>
          <c:tx>
            <c:v>Число × один размер</c:v>
          </c:tx>
          <c:spPr>
            <a:ln w="25400">
              <a:solidFill>
                <a:srgbClr val="15803D"/>
              </a:solidFill>
              <a:prstDash val="solid"/>
            </a:ln>
          </c:spPr>
          <c:marker>
            <c:symbol val="none"/>
          </c:marker>
          <c:xVal>
            <c:numRef>
              <c:f>'Результаты'!$F$55:$F$102</c:f>
              <c:numCache>
                <c:formatCode>#,##0.00</c:formatCode>
                <c:ptCount val="48"/>
                <c:pt idx="0">
                  <c:v>9.0068949951333604E-2</c:v>
                </c:pt>
                <c:pt idx="1">
                  <c:v>0.16932860316304188</c:v>
                </c:pt>
                <c:pt idx="2">
                  <c:v>0.23808103953848861</c:v>
                </c:pt>
                <c:pt idx="3">
                  <c:v>0.30606373858055336</c:v>
                </c:pt>
                <c:pt idx="4">
                  <c:v>0.36613744502882206</c:v>
                </c:pt>
                <c:pt idx="5">
                  <c:v>0.42037276557490832</c:v>
                </c:pt>
                <c:pt idx="6">
                  <c:v>0.4836347686040674</c:v>
                </c:pt>
                <c:pt idx="7">
                  <c:v>0.54532682154536549</c:v>
                </c:pt>
                <c:pt idx="8">
                  <c:v>0.61914217246969694</c:v>
                </c:pt>
                <c:pt idx="9">
                  <c:v>0.69302527482456444</c:v>
                </c:pt>
                <c:pt idx="10">
                  <c:v>0.76759388119201011</c:v>
                </c:pt>
                <c:pt idx="11">
                  <c:v>0.83436847524287538</c:v>
                </c:pt>
                <c:pt idx="12">
                  <c:v>0.91093633820389763</c:v>
                </c:pt>
                <c:pt idx="13">
                  <c:v>0.99053544889119083</c:v>
                </c:pt>
                <c:pt idx="14">
                  <c:v>1.075617921669016</c:v>
                </c:pt>
                <c:pt idx="15">
                  <c:v>1.1591262844747519</c:v>
                </c:pt>
                <c:pt idx="16">
                  <c:v>1.2581330645952429</c:v>
                </c:pt>
                <c:pt idx="17">
                  <c:v>1.346400308320806</c:v>
                </c:pt>
                <c:pt idx="18">
                  <c:v>1.4502659670046598</c:v>
                </c:pt>
                <c:pt idx="19">
                  <c:v>1.5586470235075365</c:v>
                </c:pt>
                <c:pt idx="20">
                  <c:v>1.6745446586394213</c:v>
                </c:pt>
                <c:pt idx="21">
                  <c:v>1.799934467400687</c:v>
                </c:pt>
                <c:pt idx="22">
                  <c:v>1.9308111669078123</c:v>
                </c:pt>
                <c:pt idx="23">
                  <c:v>2.0569413434561628</c:v>
                </c:pt>
                <c:pt idx="24">
                  <c:v>2.2089646192547097</c:v>
                </c:pt>
                <c:pt idx="25">
                  <c:v>2.3584002272234423</c:v>
                </c:pt>
                <c:pt idx="26">
                  <c:v>2.5366172035801706</c:v>
                </c:pt>
                <c:pt idx="27">
                  <c:v>2.74135689031288</c:v>
                </c:pt>
                <c:pt idx="28">
                  <c:v>2.9471883149935572</c:v>
                </c:pt>
                <c:pt idx="29">
                  <c:v>3.1615619812839024</c:v>
                </c:pt>
                <c:pt idx="30">
                  <c:v>3.3803367668233464</c:v>
                </c:pt>
                <c:pt idx="31">
                  <c:v>3.665459504282738</c:v>
                </c:pt>
                <c:pt idx="32">
                  <c:v>3.9427626040267456</c:v>
                </c:pt>
                <c:pt idx="33">
                  <c:v>4.2545763046703957</c:v>
                </c:pt>
                <c:pt idx="34">
                  <c:v>4.588961772095935</c:v>
                </c:pt>
                <c:pt idx="35">
                  <c:v>4.9681907301055537</c:v>
                </c:pt>
                <c:pt idx="36">
                  <c:v>5.3847718141981211</c:v>
                </c:pt>
                <c:pt idx="37">
                  <c:v>5.9072513180726567</c:v>
                </c:pt>
                <c:pt idx="38">
                  <c:v>6.4131041608445845</c:v>
                </c:pt>
                <c:pt idx="39">
                  <c:v>6.9866609142146645</c:v>
                </c:pt>
                <c:pt idx="40">
                  <c:v>7.626049419981717</c:v>
                </c:pt>
                <c:pt idx="41">
                  <c:v>8.4983676931401426</c:v>
                </c:pt>
                <c:pt idx="42">
                  <c:v>9.5206157650766805</c:v>
                </c:pt>
                <c:pt idx="43">
                  <c:v>10.702402729267062</c:v>
                </c:pt>
                <c:pt idx="44">
                  <c:v>12.145076386564515</c:v>
                </c:pt>
                <c:pt idx="45">
                  <c:v>14.337630569278204</c:v>
                </c:pt>
                <c:pt idx="46">
                  <c:v>17.244444611007093</c:v>
                </c:pt>
                <c:pt idx="47">
                  <c:v>21.797002366942767</c:v>
                </c:pt>
              </c:numCache>
            </c:numRef>
          </c:xVal>
          <c:yVal>
            <c:numRef>
              <c:f>'Результаты'!$B$55:$B$102</c:f>
              <c:numCache>
                <c:formatCode>0%</c:formatCode>
                <c:ptCount val="48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90E3-490E-A40C-86AC631F6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млн долл.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37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29</xdr:row>
      <xdr:rowOff>0</xdr:rowOff>
    </xdr:from>
    <xdr:ext cx="6263999" cy="2664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2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39.4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57" customHeight="1" x14ac:dyDescent="0.45">
      <c r="B16" s="61" t="s">
        <v>20</v>
      </c>
      <c r="C16" s="60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ht="12" customHeight="1" x14ac:dyDescent="0.45"/>
    <row r="56" spans="2:3" ht="22.05" customHeight="1" x14ac:dyDescent="0.5">
      <c r="B56" s="7" t="s">
        <v>65</v>
      </c>
      <c r="C56" s="8"/>
    </row>
    <row r="57" spans="2:3" x14ac:dyDescent="0.45">
      <c r="B57" s="9" t="s">
        <v>41</v>
      </c>
      <c r="C57" s="10" t="s">
        <v>66</v>
      </c>
    </row>
    <row r="58" spans="2:3" ht="26.25" x14ac:dyDescent="0.45">
      <c r="B58" s="9" t="s">
        <v>59</v>
      </c>
      <c r="C58" s="10" t="s">
        <v>67</v>
      </c>
    </row>
    <row r="59" spans="2:3" x14ac:dyDescent="0.45">
      <c r="B59" s="9" t="s">
        <v>68</v>
      </c>
      <c r="C59" s="10" t="s">
        <v>69</v>
      </c>
    </row>
    <row r="60" spans="2:3" ht="12" customHeight="1" x14ac:dyDescent="0.45"/>
    <row r="61" spans="2:3" ht="22.05" customHeight="1" x14ac:dyDescent="0.5">
      <c r="B61" s="7" t="s">
        <v>70</v>
      </c>
      <c r="C61" s="8"/>
    </row>
    <row r="62" spans="2:3" ht="26.25" x14ac:dyDescent="0.45">
      <c r="B62" s="20" t="s">
        <v>71</v>
      </c>
      <c r="C62" s="10" t="s">
        <v>72</v>
      </c>
    </row>
    <row r="63" spans="2:3" x14ac:dyDescent="0.45">
      <c r="B63" s="20" t="s">
        <v>73</v>
      </c>
      <c r="C63" s="10" t="s">
        <v>74</v>
      </c>
    </row>
    <row r="64" spans="2:3" x14ac:dyDescent="0.45">
      <c r="B64" s="20" t="s">
        <v>75</v>
      </c>
      <c r="C64" s="10" t="s">
        <v>76</v>
      </c>
    </row>
    <row r="65" spans="2:3" x14ac:dyDescent="0.45">
      <c r="B65" s="20" t="s">
        <v>77</v>
      </c>
      <c r="C65" s="10" t="s">
        <v>78</v>
      </c>
    </row>
    <row r="66" spans="2:3" ht="26.25" x14ac:dyDescent="0.45">
      <c r="B66" s="20" t="s">
        <v>79</v>
      </c>
      <c r="C66" s="10" t="s">
        <v>80</v>
      </c>
    </row>
    <row r="67" spans="2:3" ht="12" customHeight="1" x14ac:dyDescent="0.45"/>
    <row r="68" spans="2:3" ht="22.05" customHeight="1" x14ac:dyDescent="0.5">
      <c r="B68" s="7" t="s">
        <v>81</v>
      </c>
      <c r="C68" s="8"/>
    </row>
    <row r="69" spans="2:3" x14ac:dyDescent="0.45">
      <c r="B69" s="9" t="s">
        <v>82</v>
      </c>
      <c r="C69" s="10" t="s">
        <v>83</v>
      </c>
    </row>
    <row r="70" spans="2:3" x14ac:dyDescent="0.45">
      <c r="B70" s="9" t="s">
        <v>84</v>
      </c>
      <c r="C70" s="10" t="s">
        <v>85</v>
      </c>
    </row>
    <row r="71" spans="2:3" ht="16.05" customHeight="1" x14ac:dyDescent="0.45"/>
    <row r="72" spans="2:3" x14ac:dyDescent="0.45">
      <c r="B72" s="59" t="s">
        <v>86</v>
      </c>
      <c r="C72" s="60"/>
    </row>
  </sheetData>
  <mergeCells count="2">
    <mergeCell ref="B72:C72"/>
    <mergeCell ref="B16:C16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Убытки'!A1" display="Убытки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24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87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88</v>
      </c>
      <c r="C4" s="5"/>
      <c r="D4" s="5"/>
      <c r="E4" s="5"/>
      <c r="F4" s="5"/>
      <c r="G4" s="5"/>
      <c r="H4" s="5"/>
      <c r="I4" s="5"/>
      <c r="J4" s="6" t="s">
        <v>89</v>
      </c>
    </row>
    <row r="5" spans="1:10" ht="8" customHeight="1" x14ac:dyDescent="0.45"/>
    <row r="6" spans="1:10" ht="20" customHeight="1" x14ac:dyDescent="0.45">
      <c r="B6" s="62" t="s">
        <v>90</v>
      </c>
      <c r="C6" s="60"/>
      <c r="D6" s="60"/>
      <c r="E6" s="60"/>
      <c r="F6" s="60"/>
      <c r="G6" s="60"/>
      <c r="H6" s="60"/>
      <c r="I6" s="60"/>
      <c r="J6" s="60"/>
    </row>
    <row r="7" spans="1:10" ht="6" customHeight="1" x14ac:dyDescent="0.45"/>
    <row r="8" spans="1:10" ht="22.05" customHeight="1" x14ac:dyDescent="0.5">
      <c r="B8" s="7" t="s">
        <v>91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92</v>
      </c>
    </row>
    <row r="10" spans="1:10" ht="18" customHeight="1" x14ac:dyDescent="0.45">
      <c r="B10" s="23" t="s">
        <v>93</v>
      </c>
      <c r="C10" s="23" t="s">
        <v>94</v>
      </c>
      <c r="D10" s="24" t="s">
        <v>95</v>
      </c>
      <c r="E10" s="23" t="s">
        <v>96</v>
      </c>
      <c r="F10" s="5"/>
      <c r="G10" s="5"/>
      <c r="H10" s="5"/>
      <c r="I10" s="5"/>
      <c r="J10" s="23" t="s">
        <v>97</v>
      </c>
    </row>
    <row r="11" spans="1:10" x14ac:dyDescent="0.45">
      <c r="B11" s="25" t="s">
        <v>98</v>
      </c>
      <c r="C11" s="26" t="s">
        <v>99</v>
      </c>
      <c r="D11" s="27">
        <v>1200</v>
      </c>
      <c r="E11" s="26" t="s">
        <v>100</v>
      </c>
      <c r="F11" s="28"/>
      <c r="G11" s="28"/>
      <c r="H11" s="28"/>
      <c r="I11" s="28"/>
      <c r="J11" s="29" t="s">
        <v>101</v>
      </c>
    </row>
    <row r="12" spans="1:10" ht="23.25" x14ac:dyDescent="0.45">
      <c r="B12" s="25" t="s">
        <v>102</v>
      </c>
      <c r="C12" s="26" t="s">
        <v>103</v>
      </c>
      <c r="D12" s="30">
        <v>0.1</v>
      </c>
      <c r="E12" s="26" t="s">
        <v>100</v>
      </c>
      <c r="F12" s="28"/>
      <c r="G12" s="28"/>
      <c r="H12" s="28"/>
      <c r="I12" s="28"/>
      <c r="J12" s="29" t="s">
        <v>104</v>
      </c>
    </row>
    <row r="13" spans="1:10" ht="8" customHeight="1" x14ac:dyDescent="0.45"/>
    <row r="14" spans="1:10" ht="22.05" customHeight="1" x14ac:dyDescent="0.5">
      <c r="B14" s="7" t="s">
        <v>105</v>
      </c>
      <c r="C14" s="8"/>
      <c r="D14" s="8"/>
      <c r="E14" s="8"/>
      <c r="F14" s="8"/>
      <c r="G14" s="8"/>
      <c r="H14" s="8"/>
      <c r="I14" s="8"/>
      <c r="J14" s="8"/>
    </row>
    <row r="15" spans="1:10" ht="18" customHeight="1" x14ac:dyDescent="0.45">
      <c r="B15" s="13" t="s">
        <v>106</v>
      </c>
    </row>
    <row r="16" spans="1:10" ht="18" customHeight="1" x14ac:dyDescent="0.45">
      <c r="B16" s="23" t="s">
        <v>93</v>
      </c>
      <c r="C16" s="23" t="s">
        <v>94</v>
      </c>
      <c r="D16" s="24" t="s">
        <v>95</v>
      </c>
      <c r="E16" s="23" t="s">
        <v>96</v>
      </c>
      <c r="F16" s="5"/>
      <c r="G16" s="5"/>
      <c r="H16" s="5"/>
      <c r="I16" s="5"/>
      <c r="J16" s="23" t="s">
        <v>97</v>
      </c>
    </row>
    <row r="17" spans="2:10" x14ac:dyDescent="0.45">
      <c r="B17" s="25" t="s">
        <v>107</v>
      </c>
      <c r="C17" s="26" t="s">
        <v>108</v>
      </c>
      <c r="D17" s="31">
        <v>5</v>
      </c>
      <c r="E17" s="26" t="s">
        <v>100</v>
      </c>
      <c r="F17" s="28"/>
      <c r="G17" s="28"/>
      <c r="H17" s="28"/>
      <c r="I17" s="28"/>
      <c r="J17" s="29" t="s">
        <v>109</v>
      </c>
    </row>
    <row r="18" spans="2:10" x14ac:dyDescent="0.45">
      <c r="B18" s="25" t="s">
        <v>110</v>
      </c>
      <c r="C18" s="26" t="s">
        <v>108</v>
      </c>
      <c r="D18" s="31">
        <v>12</v>
      </c>
      <c r="E18" s="26" t="s">
        <v>100</v>
      </c>
      <c r="F18" s="28"/>
      <c r="G18" s="28"/>
      <c r="H18" s="28"/>
      <c r="I18" s="28"/>
      <c r="J18" s="29" t="s">
        <v>111</v>
      </c>
    </row>
    <row r="19" spans="2:10" ht="8" customHeight="1" x14ac:dyDescent="0.45"/>
    <row r="20" spans="2:10" ht="22.05" customHeight="1" x14ac:dyDescent="0.5">
      <c r="B20" s="7" t="s">
        <v>112</v>
      </c>
      <c r="C20" s="8"/>
      <c r="D20" s="8"/>
      <c r="E20" s="8"/>
      <c r="F20" s="8"/>
      <c r="G20" s="8"/>
      <c r="H20" s="8"/>
      <c r="I20" s="8"/>
      <c r="J20" s="8"/>
    </row>
    <row r="21" spans="2:10" ht="18" customHeight="1" x14ac:dyDescent="0.45">
      <c r="B21" s="23" t="s">
        <v>93</v>
      </c>
      <c r="C21" s="23" t="s">
        <v>94</v>
      </c>
      <c r="D21" s="24" t="s">
        <v>95</v>
      </c>
      <c r="E21" s="23" t="s">
        <v>96</v>
      </c>
      <c r="F21" s="5"/>
      <c r="G21" s="5"/>
      <c r="H21" s="5"/>
      <c r="I21" s="5"/>
      <c r="J21" s="23" t="s">
        <v>97</v>
      </c>
    </row>
    <row r="22" spans="2:10" x14ac:dyDescent="0.45">
      <c r="B22" s="25" t="s">
        <v>113</v>
      </c>
      <c r="C22" s="26" t="s">
        <v>114</v>
      </c>
      <c r="D22" s="32">
        <v>7.5</v>
      </c>
      <c r="E22" s="26" t="s">
        <v>100</v>
      </c>
      <c r="F22" s="28"/>
      <c r="G22" s="28"/>
      <c r="H22" s="28"/>
      <c r="I22" s="28"/>
      <c r="J22" s="29" t="s">
        <v>115</v>
      </c>
    </row>
    <row r="23" spans="2:10" x14ac:dyDescent="0.45">
      <c r="B23" s="25" t="s">
        <v>116</v>
      </c>
      <c r="C23" s="26" t="s">
        <v>117</v>
      </c>
      <c r="D23" s="33">
        <v>18</v>
      </c>
      <c r="E23" s="26" t="s">
        <v>100</v>
      </c>
      <c r="F23" s="28"/>
      <c r="G23" s="28"/>
      <c r="H23" s="28"/>
      <c r="I23" s="28"/>
      <c r="J23" s="29" t="s">
        <v>118</v>
      </c>
    </row>
    <row r="24" spans="2:10" ht="8" customHeight="1" x14ac:dyDescent="0.45"/>
  </sheetData>
  <mergeCells count="1">
    <mergeCell ref="B6:J6"/>
  </mergeCells>
  <dataValidations count="2">
    <dataValidation type="decimal" operator="greaterThan" showErrorMessage="1" errorTitle="Положительное значение" error="Введите значение больше нуля." sqref="D22 D17:D18 D11:D12" xr:uid="{00000000-0002-0000-0100-000000000000}">
      <formula1>0</formula1>
    </dataValidation>
    <dataValidation type="whole" showErrorMessage="1" errorTitle="Целое число" error="Введите целое число от 8 до 22." sqref="D23" xr:uid="{00000000-0002-0000-0100-000005000000}">
      <formula1>8</formula1>
      <formula2>22</formula2>
    </dataValidation>
  </dataValidations>
  <hyperlinks>
    <hyperlink ref="B4" location="'Описание'!A1" display="◂  Описание" xr:uid="{00000000-0004-0000-0100-000000000000}"/>
    <hyperlink ref="J4" location="'Убытки'!A1" display="Далее:  Убытки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F39"/>
  <sheetViews>
    <sheetView showGridLines="0" workbookViewId="0"/>
  </sheetViews>
  <sheetFormatPr defaultRowHeight="14.25" x14ac:dyDescent="0.45"/>
  <cols>
    <col min="1" max="1" width="2" customWidth="1"/>
    <col min="2" max="2" width="50" customWidth="1"/>
    <col min="3" max="3" width="12" customWidth="1"/>
    <col min="4" max="4" width="14" customWidth="1"/>
    <col min="5" max="5" width="3" customWidth="1"/>
    <col min="6" max="6" width="60" customWidth="1"/>
  </cols>
  <sheetData>
    <row r="1" spans="1:6" ht="6" customHeight="1" x14ac:dyDescent="0.45"/>
    <row r="2" spans="1:6" ht="30" customHeight="1" x14ac:dyDescent="0.45">
      <c r="A2" s="1"/>
      <c r="B2" s="21" t="s">
        <v>0</v>
      </c>
      <c r="C2" s="1"/>
      <c r="D2" s="1"/>
      <c r="E2" s="1"/>
      <c r="F2" s="3" t="s">
        <v>1</v>
      </c>
    </row>
    <row r="3" spans="1:6" ht="20" customHeight="1" x14ac:dyDescent="0.45">
      <c r="A3" s="1"/>
      <c r="B3" s="4" t="s">
        <v>119</v>
      </c>
      <c r="C3" s="1"/>
      <c r="D3" s="1"/>
      <c r="E3" s="1"/>
      <c r="F3" s="1"/>
    </row>
    <row r="4" spans="1:6" ht="20" customHeight="1" x14ac:dyDescent="0.45">
      <c r="A4" s="5"/>
      <c r="B4" s="22" t="s">
        <v>120</v>
      </c>
      <c r="C4" s="5"/>
      <c r="D4" s="5"/>
      <c r="E4" s="5"/>
      <c r="F4" s="6" t="s">
        <v>121</v>
      </c>
    </row>
    <row r="5" spans="1:6" ht="8" customHeight="1" x14ac:dyDescent="0.45"/>
    <row r="6" spans="1:6" ht="22.05" customHeight="1" x14ac:dyDescent="0.5">
      <c r="B6" s="7" t="s">
        <v>122</v>
      </c>
      <c r="C6" s="8"/>
      <c r="D6" s="8"/>
      <c r="E6" s="8"/>
      <c r="F6" s="8"/>
    </row>
    <row r="7" spans="1:6" ht="18" customHeight="1" x14ac:dyDescent="0.45">
      <c r="B7" s="13" t="s">
        <v>123</v>
      </c>
    </row>
    <row r="8" spans="1:6" ht="18" customHeight="1" x14ac:dyDescent="0.45">
      <c r="B8" s="34" t="s">
        <v>124</v>
      </c>
      <c r="C8" s="34" t="s">
        <v>94</v>
      </c>
      <c r="D8" s="35" t="s">
        <v>125</v>
      </c>
      <c r="E8" s="5"/>
      <c r="F8" s="34" t="s">
        <v>126</v>
      </c>
    </row>
    <row r="9" spans="1:6" x14ac:dyDescent="0.45">
      <c r="B9" s="25" t="s">
        <v>127</v>
      </c>
      <c r="C9" s="26"/>
      <c r="D9" s="36">
        <f>1/FreqCV^2</f>
        <v>99.999999999999986</v>
      </c>
      <c r="E9" s="28"/>
      <c r="F9" s="26" t="s">
        <v>128</v>
      </c>
    </row>
    <row r="10" spans="1:6" x14ac:dyDescent="0.45">
      <c r="B10" s="25" t="s">
        <v>129</v>
      </c>
      <c r="C10" s="26"/>
      <c r="D10" s="36">
        <f>FreqMean*FreqCV^2</f>
        <v>12.000000000000002</v>
      </c>
      <c r="E10" s="28"/>
      <c r="F10" s="26" t="s">
        <v>130</v>
      </c>
    </row>
    <row r="11" spans="1:6" x14ac:dyDescent="0.45">
      <c r="B11" s="25" t="s">
        <v>131</v>
      </c>
      <c r="C11" s="26" t="s">
        <v>132</v>
      </c>
      <c r="D11" s="37" t="str" cm="1">
        <f t="array" ref="D11">_xll.VosePolyaObject(PolyaA,PolyaB)</f>
        <v>VosePolya(100,12)</v>
      </c>
      <c r="E11" s="28"/>
      <c r="F11" s="26" t="s">
        <v>133</v>
      </c>
    </row>
    <row r="12" spans="1:6" x14ac:dyDescent="0.45">
      <c r="B12" s="25" t="s">
        <v>107</v>
      </c>
      <c r="C12" s="26" t="s">
        <v>114</v>
      </c>
      <c r="D12" s="38">
        <f>SevMean/1000</f>
        <v>5.0000000000000001E-3</v>
      </c>
      <c r="E12" s="28"/>
      <c r="F12" s="26" t="s">
        <v>134</v>
      </c>
    </row>
    <row r="13" spans="1:6" x14ac:dyDescent="0.45">
      <c r="B13" s="25" t="s">
        <v>110</v>
      </c>
      <c r="C13" s="26" t="s">
        <v>114</v>
      </c>
      <c r="D13" s="38">
        <f>SevSD/1000</f>
        <v>1.2E-2</v>
      </c>
      <c r="E13" s="28"/>
      <c r="F13" s="28"/>
    </row>
    <row r="14" spans="1:6" x14ac:dyDescent="0.45">
      <c r="B14" s="25" t="s">
        <v>135</v>
      </c>
      <c r="C14" s="26" t="s">
        <v>132</v>
      </c>
      <c r="D14" s="37" t="str" cm="1">
        <f t="array" ref="D14">_xll.VoseLognormalObject(SevMeanM,SevSDM)</f>
        <v>VoseLognormal(0.005,0.012)</v>
      </c>
      <c r="E14" s="28"/>
      <c r="F14" s="26" t="s">
        <v>136</v>
      </c>
    </row>
    <row r="15" spans="1:6" ht="8" customHeight="1" x14ac:dyDescent="0.45"/>
    <row r="16" spans="1:6" ht="22.05" customHeight="1" x14ac:dyDescent="0.5">
      <c r="B16" s="7" t="s">
        <v>137</v>
      </c>
      <c r="C16" s="8"/>
      <c r="D16" s="8"/>
      <c r="E16" s="8"/>
      <c r="F16" s="8"/>
    </row>
    <row r="17" spans="2:6" ht="18" customHeight="1" x14ac:dyDescent="0.45">
      <c r="B17" s="13" t="s">
        <v>138</v>
      </c>
    </row>
    <row r="18" spans="2:6" ht="18" customHeight="1" x14ac:dyDescent="0.45">
      <c r="B18" s="34" t="s">
        <v>124</v>
      </c>
      <c r="C18" s="34" t="s">
        <v>94</v>
      </c>
      <c r="D18" s="35" t="s">
        <v>125</v>
      </c>
      <c r="E18" s="5"/>
      <c r="F18" s="34" t="s">
        <v>126</v>
      </c>
    </row>
    <row r="19" spans="2:6" x14ac:dyDescent="0.45">
      <c r="B19" s="25" t="s">
        <v>139</v>
      </c>
      <c r="C19" s="26" t="s">
        <v>114</v>
      </c>
      <c r="D19" s="39">
        <f t="array" ref="D19:D22">_xll.VoseAggregateMoments(Freq,Sev)</f>
        <v>6</v>
      </c>
      <c r="E19" s="28"/>
      <c r="F19" s="26" t="s">
        <v>140</v>
      </c>
    </row>
    <row r="20" spans="2:6" x14ac:dyDescent="0.45">
      <c r="B20" s="25" t="s">
        <v>141</v>
      </c>
      <c r="C20" s="26" t="s">
        <v>142</v>
      </c>
      <c r="D20" s="39">
        <v>0.56279999999999997</v>
      </c>
      <c r="E20" s="28"/>
      <c r="F20" s="28"/>
    </row>
    <row r="21" spans="2:6" x14ac:dyDescent="0.45">
      <c r="B21" s="25" t="s">
        <v>143</v>
      </c>
      <c r="C21" s="26"/>
      <c r="D21" s="39">
        <v>0.2985258678213692</v>
      </c>
      <c r="E21" s="28"/>
      <c r="F21" s="28"/>
    </row>
    <row r="22" spans="2:6" x14ac:dyDescent="0.45">
      <c r="B22" s="25" t="s">
        <v>144</v>
      </c>
      <c r="C22" s="26"/>
      <c r="D22" s="39">
        <v>3.3171757993210038</v>
      </c>
      <c r="E22" s="28"/>
      <c r="F22" s="28"/>
    </row>
    <row r="23" spans="2:6" x14ac:dyDescent="0.45">
      <c r="B23" s="25" t="s">
        <v>139</v>
      </c>
      <c r="C23" s="26" t="s">
        <v>114</v>
      </c>
      <c r="D23" s="39">
        <f>D19</f>
        <v>6</v>
      </c>
      <c r="E23" s="28"/>
      <c r="F23" s="26" t="s">
        <v>145</v>
      </c>
    </row>
    <row r="24" spans="2:6" x14ac:dyDescent="0.45">
      <c r="B24" s="25" t="s">
        <v>146</v>
      </c>
      <c r="C24" s="26" t="s">
        <v>114</v>
      </c>
      <c r="D24" s="39">
        <f>SQRT(D20)</f>
        <v>0.75019997334044208</v>
      </c>
      <c r="E24" s="28"/>
      <c r="F24" s="26" t="s">
        <v>147</v>
      </c>
    </row>
    <row r="25" spans="2:6" x14ac:dyDescent="0.45">
      <c r="B25" s="25" t="s">
        <v>148</v>
      </c>
      <c r="C25" s="26" t="s">
        <v>114</v>
      </c>
      <c r="D25" s="39" cm="1">
        <f t="array" ref="D25">_xll.VoseMean(_xll.VoseAggregateFFTObject(Freq,Sev,FFTDensity))</f>
        <v>6.0283229372753482</v>
      </c>
      <c r="E25" s="28"/>
      <c r="F25" s="26" t="s">
        <v>149</v>
      </c>
    </row>
    <row r="26" spans="2:6" ht="8" customHeight="1" x14ac:dyDescent="0.45"/>
    <row r="27" spans="2:6" ht="22.05" customHeight="1" x14ac:dyDescent="0.5">
      <c r="B27" s="7" t="s">
        <v>150</v>
      </c>
      <c r="C27" s="8"/>
      <c r="D27" s="8"/>
      <c r="E27" s="8"/>
      <c r="F27" s="8"/>
    </row>
    <row r="28" spans="2:6" ht="18" customHeight="1" x14ac:dyDescent="0.45">
      <c r="B28" s="13" t="s">
        <v>151</v>
      </c>
    </row>
    <row r="29" spans="2:6" ht="18" customHeight="1" x14ac:dyDescent="0.45">
      <c r="B29" s="34" t="s">
        <v>152</v>
      </c>
      <c r="C29" s="34" t="s">
        <v>94</v>
      </c>
      <c r="D29" s="35" t="s">
        <v>125</v>
      </c>
      <c r="E29" s="5"/>
      <c r="F29" s="34" t="s">
        <v>126</v>
      </c>
    </row>
    <row r="30" spans="2:6" x14ac:dyDescent="0.45">
      <c r="B30" s="25" t="s">
        <v>153</v>
      </c>
      <c r="C30" s="26" t="s">
        <v>114</v>
      </c>
      <c r="D30" s="40" cm="1">
        <f t="array" aca="1" ref="D30" ca="1">_xll.VoseOutput("Убытки, МК","млн долл.")+_xll.VoseAggregateMC(Freq,Sev)</f>
        <v>5.6501457155158024</v>
      </c>
      <c r="E30" s="28"/>
      <c r="F30" s="26" t="s">
        <v>154</v>
      </c>
    </row>
    <row r="31" spans="2:6" x14ac:dyDescent="0.45">
      <c r="B31" s="25" t="s">
        <v>155</v>
      </c>
      <c r="C31" s="26" t="s">
        <v>114</v>
      </c>
      <c r="D31" s="40" cm="1">
        <f t="array" aca="1" ref="D31" ca="1">_xll.VoseOutput("Убытки, FFT","млн долл.")+_xll.VoseAggregateFFT(Freq,Sev,FFTDensity)</f>
        <v>5.6424452088860111</v>
      </c>
      <c r="E31" s="28"/>
      <c r="F31" s="26" t="s">
        <v>156</v>
      </c>
    </row>
    <row r="32" spans="2:6" x14ac:dyDescent="0.45">
      <c r="B32" s="25" t="s">
        <v>157</v>
      </c>
      <c r="C32" s="26" t="s">
        <v>114</v>
      </c>
      <c r="D32" s="40" cm="1">
        <f t="array" aca="1" ref="D32" ca="1">_xll.VoseOutput("Убытки, ошибка","млн долл.")+_xll.VosePolya(PolyaA,PolyaB)*_xll.VoseLognormal(SevMeanM,SevSDM)</f>
        <v>1.4288885099273896</v>
      </c>
      <c r="E32" s="28"/>
      <c r="F32" s="26" t="s">
        <v>158</v>
      </c>
    </row>
    <row r="33" spans="2:6" x14ac:dyDescent="0.45">
      <c r="B33" s="25" t="s">
        <v>159</v>
      </c>
      <c r="C33" s="26" t="s">
        <v>114</v>
      </c>
      <c r="D33" s="41">
        <f>FreqMean*SevMeanM</f>
        <v>6</v>
      </c>
      <c r="E33" s="28"/>
      <c r="F33" s="26" t="s">
        <v>160</v>
      </c>
    </row>
    <row r="34" spans="2:6" ht="8" customHeight="1" x14ac:dyDescent="0.45"/>
    <row r="35" spans="2:6" ht="22.05" customHeight="1" x14ac:dyDescent="0.5">
      <c r="B35" s="7" t="s">
        <v>161</v>
      </c>
      <c r="C35" s="8"/>
      <c r="D35" s="8"/>
      <c r="E35" s="8"/>
      <c r="F35" s="8"/>
    </row>
    <row r="36" spans="2:6" ht="18" customHeight="1" x14ac:dyDescent="0.45">
      <c r="B36" s="13" t="s">
        <v>162</v>
      </c>
    </row>
    <row r="37" spans="2:6" x14ac:dyDescent="0.45">
      <c r="B37" s="25" t="s">
        <v>163</v>
      </c>
      <c r="C37" s="28"/>
      <c r="D37" s="42" t="str">
        <f>IF(FreqCV&gt;0,"ОК","ПРОВЕРИТЬ")</f>
        <v>ОК</v>
      </c>
      <c r="E37" s="28"/>
      <c r="F37" s="28"/>
    </row>
    <row r="38" spans="2:6" x14ac:dyDescent="0.45">
      <c r="B38" s="25" t="s">
        <v>164</v>
      </c>
      <c r="C38" s="28"/>
      <c r="D38" s="42" t="str">
        <f>IF(ABS(FFTMean/ExactMean-1)&lt;0.02,"ОК","ПРОВЕРИТЬ")</f>
        <v>ОК</v>
      </c>
      <c r="E38" s="28"/>
      <c r="F38" s="28"/>
    </row>
    <row r="39" spans="2:6" ht="14" customHeight="1" x14ac:dyDescent="0.45"/>
  </sheetData>
  <conditionalFormatting sqref="D37:D38">
    <cfRule type="expression" dxfId="4" priority="1">
      <formula>D37="CHECK"</formula>
    </cfRule>
  </conditionalFormatting>
  <hyperlinks>
    <hyperlink ref="B4" location="'Исходные данные'!A1" display="◂  Исходные данные" xr:uid="{00000000-0004-0000-0200-000000000000}"/>
    <hyperlink ref="F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98" fitToHeight="0" orientation="landscape" r:id="rId1"/>
  <headerFooter>
    <oddFooter>&amp;L&amp;K3F5876&amp;8&amp;F · &amp;A&amp;R&amp;K3F5876&amp;8Page &amp;P of &amp;N</oddFooter>
  </headerFooter>
  <rowBreaks count="1" manualBreakCount="1">
    <brk id="3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234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166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43" t="str" cm="1">
        <f t="array" aca="1" ref="B6" ca="1">IF(ISNUMBER(_xll.VoseSimMean(Claims_MC)),"✔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44"/>
      <c r="D6" s="44"/>
      <c r="E6" s="44"/>
      <c r="F6" s="44"/>
      <c r="G6" s="44"/>
    </row>
    <row r="7" spans="1:18" x14ac:dyDescent="0.45">
      <c r="B7" s="45" t="str">
        <f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167</v>
      </c>
      <c r="C9" s="8"/>
      <c r="D9" s="8"/>
      <c r="E9" s="8"/>
      <c r="F9" s="8"/>
      <c r="G9" s="8"/>
      <c r="I9" s="46" t="s">
        <v>168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169</v>
      </c>
    </row>
    <row r="11" spans="1:18" ht="18" customHeight="1" x14ac:dyDescent="0.45">
      <c r="B11" s="47" t="s">
        <v>152</v>
      </c>
      <c r="C11" s="48" t="s">
        <v>170</v>
      </c>
      <c r="D11" s="48" t="s">
        <v>171</v>
      </c>
      <c r="E11" s="48" t="s">
        <v>172</v>
      </c>
      <c r="F11" s="48" t="s">
        <v>173</v>
      </c>
      <c r="G11" s="48" t="s">
        <v>174</v>
      </c>
    </row>
    <row r="12" spans="1:18" x14ac:dyDescent="0.45">
      <c r="B12" s="49"/>
      <c r="C12" s="49"/>
      <c r="D12" s="49"/>
      <c r="E12" s="49"/>
      <c r="F12" s="49" t="s">
        <v>175</v>
      </c>
      <c r="G12" s="49" t="s">
        <v>176</v>
      </c>
    </row>
    <row r="13" spans="1:18" x14ac:dyDescent="0.45">
      <c r="B13" s="50" t="s">
        <v>153</v>
      </c>
      <c r="C13" s="51" cm="1">
        <f t="array" aca="1" ref="C13" ca="1">_xll.VoseSimMean(Claims_MC)</f>
        <v>5.9927270607380381</v>
      </c>
      <c r="D13" s="51" cm="1">
        <f t="array" aca="1" ref="D13" ca="1">_xll.VoseSimStdev(Claims_MC)</f>
        <v>0.75429454341766289</v>
      </c>
      <c r="E13" s="51" cm="1">
        <f t="array" aca="1" ref="E13" ca="1">_xll.VoseSimPercentile(Claims_MC,0.95)</f>
        <v>7.2979646682007537</v>
      </c>
      <c r="F13" s="51" cm="1">
        <f t="array" aca="1" ref="F13" ca="1">_xll.VoseSimPercentile(Claims_MC,0.995)</f>
        <v>8.1564065117708342</v>
      </c>
      <c r="G13" s="52" cm="1">
        <f t="array" aca="1" ref="G13" ca="1">IFERROR(1-_xll.VoseSimProbability(Claims_MC,Premium),"–")</f>
        <v>2.9797020297970156E-2</v>
      </c>
    </row>
    <row r="14" spans="1:18" x14ac:dyDescent="0.45">
      <c r="B14" s="25" t="s">
        <v>155</v>
      </c>
      <c r="C14" s="51" cm="1">
        <f t="array" aca="1" ref="C14" ca="1">_xll.VoseSimMean(Claims_FFT)</f>
        <v>6.0240949277886289</v>
      </c>
      <c r="D14" s="51" cm="1">
        <f t="array" aca="1" ref="D14" ca="1">_xll.VoseSimStdev(Claims_FFT)</f>
        <v>0.74711074761769025</v>
      </c>
      <c r="E14" s="51" cm="1">
        <f t="array" aca="1" ref="E14" ca="1">_xll.VoseSimPercentile(Claims_FFT,0.95)</f>
        <v>7.3046383724847193</v>
      </c>
      <c r="F14" s="51" cm="1">
        <f t="array" aca="1" ref="F14" ca="1">_xll.VoseSimPercentile(Claims_FFT,0.995)</f>
        <v>8.1335436008639164</v>
      </c>
      <c r="G14" s="52" cm="1">
        <f t="array" aca="1" ref="G14" ca="1">IFERROR(1-_xll.VoseSimProbability(Claims_FFT,Premium),"–")</f>
        <v>2.9097090290970851E-2</v>
      </c>
    </row>
    <row r="15" spans="1:18" x14ac:dyDescent="0.45">
      <c r="B15" s="25" t="s">
        <v>157</v>
      </c>
      <c r="C15" s="51" cm="1">
        <f t="array" aca="1" ref="C15" ca="1">_xll.VoseSimMean(Claims_Wrong)</f>
        <v>5.7923396283298905</v>
      </c>
      <c r="D15" s="51" cm="1">
        <f t="array" aca="1" ref="D15" ca="1">_xll.VoseSimStdev(Claims_Wrong)</f>
        <v>12.403939928131072</v>
      </c>
      <c r="E15" s="51" cm="1">
        <f t="array" aca="1" ref="E15" ca="1">_xll.VoseSimPercentile(Claims_Wrong,0.95)</f>
        <v>21.797002366942767</v>
      </c>
      <c r="F15" s="51" cm="1">
        <f t="array" aca="1" ref="F15" ca="1">_xll.VoseSimPercentile(Claims_Wrong,0.995)</f>
        <v>72.359354194807565</v>
      </c>
      <c r="G15" s="52" cm="1">
        <f t="array" aca="1" ref="G15" ca="1">IFERROR(1-_xll.VoseSimProbability(Claims_Wrong,Premium),"–")</f>
        <v>0.19298070192980699</v>
      </c>
    </row>
    <row r="16" spans="1:18" x14ac:dyDescent="0.45">
      <c r="B16" s="25" t="s">
        <v>159</v>
      </c>
      <c r="C16" s="41">
        <f>Claims_Flat</f>
        <v>6</v>
      </c>
      <c r="D16" s="28"/>
      <c r="E16" s="28"/>
      <c r="F16" s="28"/>
      <c r="G16" s="28"/>
    </row>
    <row r="17" spans="2:18" ht="18" customHeight="1" x14ac:dyDescent="0.45">
      <c r="B17" s="23" t="s">
        <v>177</v>
      </c>
      <c r="C17" s="23" t="s">
        <v>94</v>
      </c>
      <c r="D17" s="24" t="s">
        <v>125</v>
      </c>
      <c r="E17" s="5"/>
      <c r="F17" s="5"/>
      <c r="G17" s="5"/>
    </row>
    <row r="18" spans="2:18" x14ac:dyDescent="0.45">
      <c r="B18" s="53" t="s">
        <v>178</v>
      </c>
      <c r="C18" s="26" t="s">
        <v>114</v>
      </c>
      <c r="D18" s="39">
        <f>ExactMean</f>
        <v>6</v>
      </c>
      <c r="E18" s="28"/>
      <c r="F18" s="28"/>
      <c r="G18" s="28"/>
    </row>
    <row r="19" spans="2:18" x14ac:dyDescent="0.45">
      <c r="B19" s="53" t="s">
        <v>179</v>
      </c>
      <c r="C19" s="26" t="s">
        <v>114</v>
      </c>
      <c r="D19" s="39">
        <f>ExactSD</f>
        <v>0.75019997334044208</v>
      </c>
      <c r="E19" s="28"/>
      <c r="F19" s="28"/>
      <c r="G19" s="28"/>
    </row>
    <row r="20" spans="2:18" x14ac:dyDescent="0.45">
      <c r="B20" s="53" t="s">
        <v>180</v>
      </c>
      <c r="C20" s="26" t="s">
        <v>114</v>
      </c>
      <c r="D20" s="41">
        <f>Premium</f>
        <v>7.5</v>
      </c>
      <c r="E20" s="28"/>
      <c r="F20" s="28"/>
      <c r="G20" s="28"/>
    </row>
    <row r="21" spans="2:18" x14ac:dyDescent="0.45">
      <c r="B21" s="50" t="s">
        <v>181</v>
      </c>
      <c r="C21" s="26" t="s">
        <v>114</v>
      </c>
      <c r="D21" s="51">
        <f ca="1">IFERROR(F13-Premium,"–")</f>
        <v>0.6564065117708342</v>
      </c>
      <c r="E21" s="28"/>
      <c r="F21" s="28"/>
      <c r="G21" s="28"/>
    </row>
    <row r="22" spans="2:18" ht="8" customHeight="1" x14ac:dyDescent="0.45"/>
    <row r="23" spans="2:18" ht="22.05" customHeight="1" x14ac:dyDescent="0.5">
      <c r="B23" s="7" t="s">
        <v>182</v>
      </c>
      <c r="C23" s="8"/>
      <c r="D23" s="8"/>
      <c r="E23" s="8"/>
      <c r="F23" s="8"/>
      <c r="G23" s="8"/>
    </row>
    <row r="24" spans="2:18" ht="18" customHeight="1" x14ac:dyDescent="0.45">
      <c r="B24" s="13" t="s">
        <v>183</v>
      </c>
    </row>
    <row r="25" spans="2:18" ht="18" customHeight="1" x14ac:dyDescent="0.45">
      <c r="B25" s="23" t="s">
        <v>177</v>
      </c>
      <c r="C25" s="23" t="s">
        <v>94</v>
      </c>
      <c r="D25" s="24" t="s">
        <v>184</v>
      </c>
      <c r="E25" s="24" t="s">
        <v>185</v>
      </c>
      <c r="F25" s="24" t="s">
        <v>186</v>
      </c>
      <c r="G25" s="24" t="s">
        <v>170</v>
      </c>
    </row>
    <row r="26" spans="2:18" x14ac:dyDescent="0.45">
      <c r="B26" s="25" t="s">
        <v>153</v>
      </c>
      <c r="C26" s="26" t="s">
        <v>114</v>
      </c>
      <c r="D26" s="51" cm="1">
        <f t="array" aca="1" ref="D26" ca="1">_xll.VoseSimPercentile(Claims_MC,0.1)</f>
        <v>5.0467083255455991</v>
      </c>
      <c r="E26" s="51" cm="1">
        <f t="array" aca="1" ref="E26" ca="1">_xll.VoseSimPercentile(Claims_MC,0.5)</f>
        <v>5.9560254720205537</v>
      </c>
      <c r="F26" s="51" cm="1">
        <f t="array" aca="1" ref="F26" ca="1">_xll.VoseSimPercentile(Claims_MC,0.9)</f>
        <v>6.9697533703024552</v>
      </c>
      <c r="G26" s="51" cm="1">
        <f t="array" aca="1" ref="G26" ca="1">_xll.VoseSimMean(Claims_MC)</f>
        <v>5.9927270607380381</v>
      </c>
    </row>
    <row r="27" spans="2:18" x14ac:dyDescent="0.45">
      <c r="B27" s="25" t="s">
        <v>157</v>
      </c>
      <c r="C27" s="26" t="s">
        <v>114</v>
      </c>
      <c r="D27" s="51" cm="1">
        <f t="array" aca="1" ref="D27" ca="1">_xll.VoseSimPercentile(Claims_Wrong,0.1)</f>
        <v>0.39150233468308049</v>
      </c>
      <c r="E27" s="51" cm="1">
        <f t="array" aca="1" ref="E27" ca="1">_xll.VoseSimPercentile(Claims_Wrong,0.5)</f>
        <v>2.2775513171031241</v>
      </c>
      <c r="F27" s="51" cm="1">
        <f t="array" aca="1" ref="F27" ca="1">_xll.VoseSimPercentile(Claims_Wrong,0.9)</f>
        <v>13.113106999987554</v>
      </c>
      <c r="G27" s="51" cm="1">
        <f t="array" aca="1" ref="G27" ca="1">_xll.VoseSimMean(Claims_Wrong)</f>
        <v>5.7923396283298905</v>
      </c>
    </row>
    <row r="28" spans="2:18" ht="8" customHeight="1" x14ac:dyDescent="0.45"/>
    <row r="29" spans="2:18" x14ac:dyDescent="0.45">
      <c r="I29" s="46" t="s">
        <v>187</v>
      </c>
      <c r="J29" s="8"/>
      <c r="K29" s="8"/>
      <c r="L29" s="8"/>
      <c r="M29" s="8"/>
      <c r="N29" s="8"/>
      <c r="O29" s="8"/>
      <c r="P29" s="8"/>
      <c r="Q29" s="8"/>
      <c r="R29" s="8"/>
    </row>
    <row r="45" spans="2:7" ht="22.05" customHeight="1" x14ac:dyDescent="0.5">
      <c r="B45" s="7" t="s">
        <v>188</v>
      </c>
      <c r="C45" s="8"/>
      <c r="D45" s="8"/>
      <c r="E45" s="8"/>
      <c r="F45" s="8"/>
      <c r="G45" s="8"/>
    </row>
    <row r="46" spans="2:7" ht="32" customHeight="1" x14ac:dyDescent="0.45">
      <c r="B46" s="61" t="s">
        <v>189</v>
      </c>
      <c r="C46" s="60"/>
      <c r="D46" s="60"/>
      <c r="E46" s="60"/>
      <c r="F46" s="60"/>
      <c r="G46" s="60"/>
    </row>
    <row r="47" spans="2:7" ht="45" customHeight="1" x14ac:dyDescent="0.45">
      <c r="B47" s="61" t="s">
        <v>190</v>
      </c>
      <c r="C47" s="60"/>
      <c r="D47" s="60"/>
      <c r="E47" s="60"/>
      <c r="F47" s="60"/>
      <c r="G47" s="60"/>
    </row>
    <row r="48" spans="2:7" ht="45" customHeight="1" x14ac:dyDescent="0.45">
      <c r="B48" s="61" t="s">
        <v>191</v>
      </c>
      <c r="C48" s="60"/>
      <c r="D48" s="60"/>
      <c r="E48" s="60"/>
      <c r="F48" s="60"/>
      <c r="G48" s="60"/>
    </row>
    <row r="49" spans="2:7" ht="32" customHeight="1" x14ac:dyDescent="0.45">
      <c r="B49" s="61" t="s">
        <v>192</v>
      </c>
      <c r="C49" s="60"/>
      <c r="D49" s="60"/>
      <c r="E49" s="60"/>
      <c r="F49" s="60"/>
      <c r="G49" s="60"/>
    </row>
    <row r="50" spans="2:7" ht="14" customHeight="1" x14ac:dyDescent="0.45"/>
    <row r="51" spans="2:7" ht="14" customHeight="1" x14ac:dyDescent="0.45"/>
    <row r="52" spans="2:7" ht="22.05" customHeight="1" x14ac:dyDescent="0.5">
      <c r="B52" s="7" t="s">
        <v>193</v>
      </c>
      <c r="C52" s="8"/>
      <c r="D52" s="8"/>
      <c r="E52" s="8"/>
      <c r="F52" s="8"/>
      <c r="G52" s="8"/>
    </row>
    <row r="53" spans="2:7" ht="18" customHeight="1" x14ac:dyDescent="0.45">
      <c r="B53" s="13" t="s">
        <v>194</v>
      </c>
    </row>
    <row r="54" spans="2:7" ht="28.05" hidden="1" customHeight="1" outlineLevel="1" x14ac:dyDescent="0.45">
      <c r="B54" s="24" t="s">
        <v>195</v>
      </c>
      <c r="C54" s="24" t="s">
        <v>196</v>
      </c>
      <c r="D54" s="24" t="s">
        <v>197</v>
      </c>
      <c r="E54" s="24" t="s">
        <v>198</v>
      </c>
      <c r="F54" s="24" t="s">
        <v>199</v>
      </c>
      <c r="G54" s="5"/>
    </row>
    <row r="55" spans="2:7" hidden="1" outlineLevel="1" x14ac:dyDescent="0.45">
      <c r="B55" s="54">
        <v>0.01</v>
      </c>
      <c r="C55" s="54">
        <f t="shared" ref="C55:C86" si="0">1-B55</f>
        <v>0.99</v>
      </c>
      <c r="D55" s="55" cm="1">
        <f t="array" aca="1" ref="D55" ca="1">IF(ISNUMBER(_xll.VoseSimPercentile(Claims_MC,$B55)),_xll.VoseSimPercentile(Claims_MC,$B55),NA())</f>
        <v>4.3953117828635042</v>
      </c>
      <c r="E55" s="55" cm="1">
        <f t="array" aca="1" ref="E55" ca="1">IF(ISNUMBER(_xll.VoseSimPercentile(Claims_FFT,$B55)),_xll.VoseSimPercentile(Claims_FFT,$B55),NA())</f>
        <v>4.4160798940908759</v>
      </c>
      <c r="F55" s="55" cm="1">
        <f t="array" aca="1" ref="F55" ca="1">IF(ISNUMBER(_xll.VoseSimPercentile(Claims_Wrong,$B55)),_xll.VoseSimPercentile(Claims_Wrong,$B55),NA())</f>
        <v>9.0068949951333604E-2</v>
      </c>
    </row>
    <row r="56" spans="2:7" hidden="1" outlineLevel="1" x14ac:dyDescent="0.45">
      <c r="B56" s="54">
        <v>0.03</v>
      </c>
      <c r="C56" s="54">
        <f t="shared" si="0"/>
        <v>0.97</v>
      </c>
      <c r="D56" s="55" cm="1">
        <f t="array" aca="1" ref="D56" ca="1">IF(ISNUMBER(_xll.VoseSimPercentile(Claims_MC,$B56)),_xll.VoseSimPercentile(Claims_MC,$B56),NA())</f>
        <v>4.6628210010701379</v>
      </c>
      <c r="E56" s="55" cm="1">
        <f t="array" aca="1" ref="E56" ca="1">IF(ISNUMBER(_xll.VoseSimPercentile(Claims_FFT,$B56)),_xll.VoseSimPercentile(Claims_FFT,$B56),NA())</f>
        <v>4.707829765063269</v>
      </c>
      <c r="F56" s="55" cm="1">
        <f t="array" aca="1" ref="F56" ca="1">IF(ISNUMBER(_xll.VoseSimPercentile(Claims_Wrong,$B56)),_xll.VoseSimPercentile(Claims_Wrong,$B56),NA())</f>
        <v>0.16932860316304188</v>
      </c>
    </row>
    <row r="57" spans="2:7" hidden="1" outlineLevel="1" x14ac:dyDescent="0.45">
      <c r="B57" s="54">
        <v>0.05</v>
      </c>
      <c r="C57" s="54">
        <f t="shared" si="0"/>
        <v>0.95</v>
      </c>
      <c r="D57" s="55" cm="1">
        <f t="array" aca="1" ref="D57" ca="1">IF(ISNUMBER(_xll.VoseSimPercentile(Claims_MC,$B57)),_xll.VoseSimPercentile(Claims_MC,$B57),NA())</f>
        <v>4.8037177795604871</v>
      </c>
      <c r="E57" s="55" cm="1">
        <f t="array" aca="1" ref="E57" ca="1">IF(ISNUMBER(_xll.VoseSimPercentile(Claims_FFT,$B57)),_xll.VoseSimPercentile(Claims_FFT,$B57),NA())</f>
        <v>4.8636414809774529</v>
      </c>
      <c r="F57" s="55" cm="1">
        <f t="array" aca="1" ref="F57" ca="1">IF(ISNUMBER(_xll.VoseSimPercentile(Claims_Wrong,$B57)),_xll.VoseSimPercentile(Claims_Wrong,$B57),NA())</f>
        <v>0.23808103953848861</v>
      </c>
    </row>
    <row r="58" spans="2:7" hidden="1" outlineLevel="1" x14ac:dyDescent="0.45">
      <c r="B58" s="54">
        <v>7.0000000000000007E-2</v>
      </c>
      <c r="C58" s="54">
        <f t="shared" si="0"/>
        <v>0.92999999999999994</v>
      </c>
      <c r="D58" s="55" cm="1">
        <f t="array" aca="1" ref="D58" ca="1">IF(ISNUMBER(_xll.VoseSimPercentile(Claims_MC,$B58)),_xll.VoseSimPercentile(Claims_MC,$B58),NA())</f>
        <v>4.9196363362381783</v>
      </c>
      <c r="E58" s="55" cm="1">
        <f t="array" aca="1" ref="E58" ca="1">IF(ISNUMBER(_xll.VoseSimPercentile(Claims_FFT,$B58)),_xll.VoseSimPercentile(Claims_FFT,$B58),NA())</f>
        <v>4.9722421519646121</v>
      </c>
      <c r="F58" s="55" cm="1">
        <f t="array" aca="1" ref="F58" ca="1">IF(ISNUMBER(_xll.VoseSimPercentile(Claims_Wrong,$B58)),_xll.VoseSimPercentile(Claims_Wrong,$B58),NA())</f>
        <v>0.30606373858055336</v>
      </c>
    </row>
    <row r="59" spans="2:7" hidden="1" outlineLevel="1" x14ac:dyDescent="0.45">
      <c r="B59" s="54">
        <v>0.09</v>
      </c>
      <c r="C59" s="54">
        <f t="shared" si="0"/>
        <v>0.91</v>
      </c>
      <c r="D59" s="55" cm="1">
        <f t="array" aca="1" ref="D59" ca="1">IF(ISNUMBER(_xll.VoseSimPercentile(Claims_MC,$B59)),_xll.VoseSimPercentile(Claims_MC,$B59),NA())</f>
        <v>5.0108872264743889</v>
      </c>
      <c r="E59" s="55" cm="1">
        <f t="array" aca="1" ref="E59" ca="1">IF(ISNUMBER(_xll.VoseSimPercentile(Claims_FFT,$B59)),_xll.VoseSimPercentile(Claims_FFT,$B59),NA())</f>
        <v>5.0593772392106793</v>
      </c>
      <c r="F59" s="55" cm="1">
        <f t="array" aca="1" ref="F59" ca="1">IF(ISNUMBER(_xll.VoseSimPercentile(Claims_Wrong,$B59)),_xll.VoseSimPercentile(Claims_Wrong,$B59),NA())</f>
        <v>0.36613744502882206</v>
      </c>
    </row>
    <row r="60" spans="2:7" hidden="1" outlineLevel="1" x14ac:dyDescent="0.45">
      <c r="B60" s="54">
        <v>0.11</v>
      </c>
      <c r="C60" s="54">
        <f t="shared" si="0"/>
        <v>0.89</v>
      </c>
      <c r="D60" s="55" cm="1">
        <f t="array" aca="1" ref="D60" ca="1">IF(ISNUMBER(_xll.VoseSimPercentile(Claims_MC,$B60)),_xll.VoseSimPercentile(Claims_MC,$B60),NA())</f>
        <v>5.084021692300686</v>
      </c>
      <c r="E60" s="55" cm="1">
        <f t="array" aca="1" ref="E60" ca="1">IF(ISNUMBER(_xll.VoseSimPercentile(Claims_FFT,$B60)),_xll.VoseSimPercentile(Claims_FFT,$B60),NA())</f>
        <v>5.1371457920366099</v>
      </c>
      <c r="F60" s="55" cm="1">
        <f t="array" aca="1" ref="F60" ca="1">IF(ISNUMBER(_xll.VoseSimPercentile(Claims_Wrong,$B60)),_xll.VoseSimPercentile(Claims_Wrong,$B60),NA())</f>
        <v>0.42037276557490832</v>
      </c>
    </row>
    <row r="61" spans="2:7" hidden="1" outlineLevel="1" x14ac:dyDescent="0.45">
      <c r="B61" s="54">
        <v>0.13</v>
      </c>
      <c r="C61" s="54">
        <f t="shared" si="0"/>
        <v>0.87</v>
      </c>
      <c r="D61" s="55" cm="1">
        <f t="array" aca="1" ref="D61" ca="1">IF(ISNUMBER(_xll.VoseSimPercentile(Claims_MC,$B61)),_xll.VoseSimPercentile(Claims_MC,$B61),NA())</f>
        <v>5.156456105493584</v>
      </c>
      <c r="E61" s="55" cm="1">
        <f t="array" aca="1" ref="E61" ca="1">IF(ISNUMBER(_xll.VoseSimPercentile(Claims_FFT,$B61)),_xll.VoseSimPercentile(Claims_FFT,$B61),NA())</f>
        <v>5.1981584340861575</v>
      </c>
      <c r="F61" s="55" cm="1">
        <f t="array" aca="1" ref="F61" ca="1">IF(ISNUMBER(_xll.VoseSimPercentile(Claims_Wrong,$B61)),_xll.VoseSimPercentile(Claims_Wrong,$B61),NA())</f>
        <v>0.4836347686040674</v>
      </c>
    </row>
    <row r="62" spans="2:7" hidden="1" outlineLevel="1" x14ac:dyDescent="0.45">
      <c r="B62" s="54">
        <v>0.15</v>
      </c>
      <c r="C62" s="54">
        <f t="shared" si="0"/>
        <v>0.85</v>
      </c>
      <c r="D62" s="55" cm="1">
        <f t="array" aca="1" ref="D62" ca="1">IF(ISNUMBER(_xll.VoseSimPercentile(Claims_MC,$B62)),_xll.VoseSimPercentile(Claims_MC,$B62),NA())</f>
        <v>5.2153165117462263</v>
      </c>
      <c r="E62" s="55" cm="1">
        <f t="array" aca="1" ref="E62" ca="1">IF(ISNUMBER(_xll.VoseSimPercentile(Claims_FFT,$B62)),_xll.VoseSimPercentile(Claims_FFT,$B62),NA())</f>
        <v>5.2550703892285027</v>
      </c>
      <c r="F62" s="55" cm="1">
        <f t="array" aca="1" ref="F62" ca="1">IF(ISNUMBER(_xll.VoseSimPercentile(Claims_Wrong,$B62)),_xll.VoseSimPercentile(Claims_Wrong,$B62),NA())</f>
        <v>0.54532682154536549</v>
      </c>
    </row>
    <row r="63" spans="2:7" hidden="1" outlineLevel="1" x14ac:dyDescent="0.45">
      <c r="B63" s="54">
        <v>0.17</v>
      </c>
      <c r="C63" s="54">
        <f t="shared" si="0"/>
        <v>0.83</v>
      </c>
      <c r="D63" s="55" cm="1">
        <f t="array" aca="1" ref="D63" ca="1">IF(ISNUMBER(_xll.VoseSimPercentile(Claims_MC,$B63)),_xll.VoseSimPercentile(Claims_MC,$B63),NA())</f>
        <v>5.2797305715358593</v>
      </c>
      <c r="E63" s="55" cm="1">
        <f t="array" aca="1" ref="E63" ca="1">IF(ISNUMBER(_xll.VoseSimPercentile(Claims_FFT,$B63)),_xll.VoseSimPercentile(Claims_FFT,$B63),NA())</f>
        <v>5.3184004282106239</v>
      </c>
      <c r="F63" s="55" cm="1">
        <f t="array" aca="1" ref="F63" ca="1">IF(ISNUMBER(_xll.VoseSimPercentile(Claims_Wrong,$B63)),_xll.VoseSimPercentile(Claims_Wrong,$B63),NA())</f>
        <v>0.61914217246969694</v>
      </c>
    </row>
    <row r="64" spans="2:7" hidden="1" outlineLevel="1" x14ac:dyDescent="0.45">
      <c r="B64" s="54">
        <v>0.19</v>
      </c>
      <c r="C64" s="54">
        <f t="shared" si="0"/>
        <v>0.81</v>
      </c>
      <c r="D64" s="55" cm="1">
        <f t="array" aca="1" ref="D64" ca="1">IF(ISNUMBER(_xll.VoseSimPercentile(Claims_MC,$B64)),_xll.VoseSimPercentile(Claims_MC,$B64),NA())</f>
        <v>5.330588564509279</v>
      </c>
      <c r="E64" s="55" cm="1">
        <f t="array" aca="1" ref="E64" ca="1">IF(ISNUMBER(_xll.VoseSimPercentile(Claims_FFT,$B64)),_xll.VoseSimPercentile(Claims_FFT,$B64),NA())</f>
        <v>5.3656448673484105</v>
      </c>
      <c r="F64" s="55" cm="1">
        <f t="array" aca="1" ref="F64" ca="1">IF(ISNUMBER(_xll.VoseSimPercentile(Claims_Wrong,$B64)),_xll.VoseSimPercentile(Claims_Wrong,$B64),NA())</f>
        <v>0.69302527482456444</v>
      </c>
    </row>
    <row r="65" spans="2:6" hidden="1" outlineLevel="1" x14ac:dyDescent="0.45">
      <c r="B65" s="54">
        <v>0.21</v>
      </c>
      <c r="C65" s="54">
        <f t="shared" si="0"/>
        <v>0.79</v>
      </c>
      <c r="D65" s="55" cm="1">
        <f t="array" aca="1" ref="D65" ca="1">IF(ISNUMBER(_xll.VoseSimPercentile(Claims_MC,$B65)),_xll.VoseSimPercentile(Claims_MC,$B65),NA())</f>
        <v>5.3796063246135066</v>
      </c>
      <c r="E65" s="55" cm="1">
        <f t="array" aca="1" ref="E65" ca="1">IF(ISNUMBER(_xll.VoseSimPercentile(Claims_FFT,$B65)),_xll.VoseSimPercentile(Claims_FFT,$B65),NA())</f>
        <v>5.4142771672414174</v>
      </c>
      <c r="F65" s="55" cm="1">
        <f t="array" aca="1" ref="F65" ca="1">IF(ISNUMBER(_xll.VoseSimPercentile(Claims_Wrong,$B65)),_xll.VoseSimPercentile(Claims_Wrong,$B65),NA())</f>
        <v>0.76759388119201011</v>
      </c>
    </row>
    <row r="66" spans="2:6" hidden="1" outlineLevel="1" x14ac:dyDescent="0.45">
      <c r="B66" s="54">
        <v>0.23</v>
      </c>
      <c r="C66" s="54">
        <f t="shared" si="0"/>
        <v>0.77</v>
      </c>
      <c r="D66" s="55" cm="1">
        <f t="array" aca="1" ref="D66" ca="1">IF(ISNUMBER(_xll.VoseSimPercentile(Claims_MC,$B66)),_xll.VoseSimPercentile(Claims_MC,$B66),NA())</f>
        <v>5.4290056572023264</v>
      </c>
      <c r="E66" s="55" cm="1">
        <f t="array" aca="1" ref="E66" ca="1">IF(ISNUMBER(_xll.VoseSimPercentile(Claims_FFT,$B66)),_xll.VoseSimPercentile(Claims_FFT,$B66),NA())</f>
        <v>5.4605587665876971</v>
      </c>
      <c r="F66" s="55" cm="1">
        <f t="array" aca="1" ref="F66" ca="1">IF(ISNUMBER(_xll.VoseSimPercentile(Claims_Wrong,$B66)),_xll.VoseSimPercentile(Claims_Wrong,$B66),NA())</f>
        <v>0.83436847524287538</v>
      </c>
    </row>
    <row r="67" spans="2:6" hidden="1" outlineLevel="1" x14ac:dyDescent="0.45">
      <c r="B67" s="54">
        <v>0.25</v>
      </c>
      <c r="C67" s="54">
        <f t="shared" si="0"/>
        <v>0.75</v>
      </c>
      <c r="D67" s="55" cm="1">
        <f t="array" aca="1" ref="D67" ca="1">IF(ISNUMBER(_xll.VoseSimPercentile(Claims_MC,$B67)),_xll.VoseSimPercentile(Claims_MC,$B67),NA())</f>
        <v>5.4695134848614186</v>
      </c>
      <c r="E67" s="55" cm="1">
        <f t="array" aca="1" ref="E67" ca="1">IF(ISNUMBER(_xll.VoseSimPercentile(Claims_FFT,$B67)),_xll.VoseSimPercentile(Claims_FFT,$B67),NA())</f>
        <v>5.5060307425008919</v>
      </c>
      <c r="F67" s="55" cm="1">
        <f t="array" aca="1" ref="F67" ca="1">IF(ISNUMBER(_xll.VoseSimPercentile(Claims_Wrong,$B67)),_xll.VoseSimPercentile(Claims_Wrong,$B67),NA())</f>
        <v>0.91093633820389763</v>
      </c>
    </row>
    <row r="68" spans="2:6" hidden="1" outlineLevel="1" x14ac:dyDescent="0.45">
      <c r="B68" s="54">
        <v>0.27</v>
      </c>
      <c r="C68" s="54">
        <f t="shared" si="0"/>
        <v>0.73</v>
      </c>
      <c r="D68" s="55" cm="1">
        <f t="array" aca="1" ref="D68" ca="1">IF(ISNUMBER(_xll.VoseSimPercentile(Claims_MC,$B68)),_xll.VoseSimPercentile(Claims_MC,$B68),NA())</f>
        <v>5.5112667508603188</v>
      </c>
      <c r="E68" s="55" cm="1">
        <f t="array" aca="1" ref="E68" ca="1">IF(ISNUMBER(_xll.VoseSimPercentile(Claims_FFT,$B68)),_xll.VoseSimPercentile(Claims_FFT,$B68),NA())</f>
        <v>5.5491529815405514</v>
      </c>
      <c r="F68" s="55" cm="1">
        <f t="array" aca="1" ref="F68" ca="1">IF(ISNUMBER(_xll.VoseSimPercentile(Claims_Wrong,$B68)),_xll.VoseSimPercentile(Claims_Wrong,$B68),NA())</f>
        <v>0.99053544889119083</v>
      </c>
    </row>
    <row r="69" spans="2:6" hidden="1" outlineLevel="1" x14ac:dyDescent="0.45">
      <c r="B69" s="54">
        <v>0.28999999999999998</v>
      </c>
      <c r="C69" s="54">
        <f t="shared" si="0"/>
        <v>0.71</v>
      </c>
      <c r="D69" s="55" cm="1">
        <f t="array" aca="1" ref="D69" ca="1">IF(ISNUMBER(_xll.VoseSimPercentile(Claims_MC,$B69)),_xll.VoseSimPercentile(Claims_MC,$B69),NA())</f>
        <v>5.5522672696568272</v>
      </c>
      <c r="E69" s="55" cm="1">
        <f t="array" aca="1" ref="E69" ca="1">IF(ISNUMBER(_xll.VoseSimPercentile(Claims_FFT,$B69)),_xll.VoseSimPercentile(Claims_FFT,$B69),NA())</f>
        <v>5.5897709591821956</v>
      </c>
      <c r="F69" s="55" cm="1">
        <f t="array" aca="1" ref="F69" ca="1">IF(ISNUMBER(_xll.VoseSimPercentile(Claims_Wrong,$B69)),_xll.VoseSimPercentile(Claims_Wrong,$B69),NA())</f>
        <v>1.075617921669016</v>
      </c>
    </row>
    <row r="70" spans="2:6" hidden="1" outlineLevel="1" x14ac:dyDescent="0.45">
      <c r="B70" s="54">
        <v>0.31</v>
      </c>
      <c r="C70" s="54">
        <f t="shared" si="0"/>
        <v>0.69</v>
      </c>
      <c r="D70" s="55" cm="1">
        <f t="array" aca="1" ref="D70" ca="1">IF(ISNUMBER(_xll.VoseSimPercentile(Claims_MC,$B70)),_xll.VoseSimPercentile(Claims_MC,$B70),NA())</f>
        <v>5.5930977558454833</v>
      </c>
      <c r="E70" s="55" cm="1">
        <f t="array" aca="1" ref="E70" ca="1">IF(ISNUMBER(_xll.VoseSimPercentile(Claims_FFT,$B70)),_xll.VoseSimPercentile(Claims_FFT,$B70),NA())</f>
        <v>5.6306667659195337</v>
      </c>
      <c r="F70" s="55" cm="1">
        <f t="array" aca="1" ref="F70" ca="1">IF(ISNUMBER(_xll.VoseSimPercentile(Claims_Wrong,$B70)),_xll.VoseSimPercentile(Claims_Wrong,$B70),NA())</f>
        <v>1.1591262844747519</v>
      </c>
    </row>
    <row r="71" spans="2:6" hidden="1" outlineLevel="1" x14ac:dyDescent="0.45">
      <c r="B71" s="54">
        <v>0.33</v>
      </c>
      <c r="C71" s="54">
        <f t="shared" si="0"/>
        <v>0.66999999999999993</v>
      </c>
      <c r="D71" s="55" cm="1">
        <f t="array" aca="1" ref="D71" ca="1">IF(ISNUMBER(_xll.VoseSimPercentile(Claims_MC,$B71)),_xll.VoseSimPercentile(Claims_MC,$B71),NA())</f>
        <v>5.6374420723940002</v>
      </c>
      <c r="E71" s="55" cm="1">
        <f t="array" aca="1" ref="E71" ca="1">IF(ISNUMBER(_xll.VoseSimPercentile(Claims_FFT,$B71)),_xll.VoseSimPercentile(Claims_FFT,$B71),NA())</f>
        <v>5.667386392068078</v>
      </c>
      <c r="F71" s="55" cm="1">
        <f t="array" aca="1" ref="F71" ca="1">IF(ISNUMBER(_xll.VoseSimPercentile(Claims_Wrong,$B71)),_xll.VoseSimPercentile(Claims_Wrong,$B71),NA())</f>
        <v>1.2581330645952429</v>
      </c>
    </row>
    <row r="72" spans="2:6" hidden="1" outlineLevel="1" x14ac:dyDescent="0.45">
      <c r="B72" s="54">
        <v>0.35</v>
      </c>
      <c r="C72" s="54">
        <f t="shared" si="0"/>
        <v>0.65</v>
      </c>
      <c r="D72" s="55" cm="1">
        <f t="array" aca="1" ref="D72" ca="1">IF(ISNUMBER(_xll.VoseSimPercentile(Claims_MC,$B72)),_xll.VoseSimPercentile(Claims_MC,$B72),NA())</f>
        <v>5.6781949884319447</v>
      </c>
      <c r="E72" s="55" cm="1">
        <f t="array" aca="1" ref="E72" ca="1">IF(ISNUMBER(_xll.VoseSimPercentile(Claims_FFT,$B72)),_xll.VoseSimPercentile(Claims_FFT,$B72),NA())</f>
        <v>5.7053060109814417</v>
      </c>
      <c r="F72" s="55" cm="1">
        <f t="array" aca="1" ref="F72" ca="1">IF(ISNUMBER(_xll.VoseSimPercentile(Claims_Wrong,$B72)),_xll.VoseSimPercentile(Claims_Wrong,$B72),NA())</f>
        <v>1.346400308320806</v>
      </c>
    </row>
    <row r="73" spans="2:6" hidden="1" outlineLevel="1" x14ac:dyDescent="0.45">
      <c r="B73" s="54">
        <v>0.37</v>
      </c>
      <c r="C73" s="54">
        <f t="shared" si="0"/>
        <v>0.63</v>
      </c>
      <c r="D73" s="55" cm="1">
        <f t="array" aca="1" ref="D73" ca="1">IF(ISNUMBER(_xll.VoseSimPercentile(Claims_MC,$B73)),_xll.VoseSimPercentile(Claims_MC,$B73),NA())</f>
        <v>5.7139880133335872</v>
      </c>
      <c r="E73" s="55" cm="1">
        <f t="array" aca="1" ref="E73" ca="1">IF(ISNUMBER(_xll.VoseSimPercentile(Claims_FFT,$B73)),_xll.VoseSimPercentile(Claims_FFT,$B73),NA())</f>
        <v>5.744832409499443</v>
      </c>
      <c r="F73" s="55" cm="1">
        <f t="array" aca="1" ref="F73" ca="1">IF(ISNUMBER(_xll.VoseSimPercentile(Claims_Wrong,$B73)),_xll.VoseSimPercentile(Claims_Wrong,$B73),NA())</f>
        <v>1.4502659670046598</v>
      </c>
    </row>
    <row r="74" spans="2:6" hidden="1" outlineLevel="1" x14ac:dyDescent="0.45">
      <c r="B74" s="54">
        <v>0.39</v>
      </c>
      <c r="C74" s="54">
        <f t="shared" si="0"/>
        <v>0.61</v>
      </c>
      <c r="D74" s="55" cm="1">
        <f t="array" aca="1" ref="D74" ca="1">IF(ISNUMBER(_xll.VoseSimPercentile(Claims_MC,$B74)),_xll.VoseSimPercentile(Claims_MC,$B74),NA())</f>
        <v>5.7496316888013554</v>
      </c>
      <c r="E74" s="55" cm="1">
        <f t="array" aca="1" ref="E74" ca="1">IF(ISNUMBER(_xll.VoseSimPercentile(Claims_FFT,$B74)),_xll.VoseSimPercentile(Claims_FFT,$B74),NA())</f>
        <v>5.7828736159053848</v>
      </c>
      <c r="F74" s="55" cm="1">
        <f t="array" aca="1" ref="F74" ca="1">IF(ISNUMBER(_xll.VoseSimPercentile(Claims_Wrong,$B74)),_xll.VoseSimPercentile(Claims_Wrong,$B74),NA())</f>
        <v>1.5586470235075365</v>
      </c>
    </row>
    <row r="75" spans="2:6" hidden="1" outlineLevel="1" x14ac:dyDescent="0.45">
      <c r="B75" s="54">
        <v>0.41</v>
      </c>
      <c r="C75" s="54">
        <f t="shared" si="0"/>
        <v>0.59000000000000008</v>
      </c>
      <c r="D75" s="55" cm="1">
        <f t="array" aca="1" ref="D75" ca="1">IF(ISNUMBER(_xll.VoseSimPercentile(Claims_MC,$B75)),_xll.VoseSimPercentile(Claims_MC,$B75),NA())</f>
        <v>5.7871569651984744</v>
      </c>
      <c r="E75" s="55" cm="1">
        <f t="array" aca="1" ref="E75" ca="1">IF(ISNUMBER(_xll.VoseSimPercentile(Claims_FFT,$B75)),_xll.VoseSimPercentile(Claims_FFT,$B75),NA())</f>
        <v>5.8212686499095856</v>
      </c>
      <c r="F75" s="55" cm="1">
        <f t="array" aca="1" ref="F75" ca="1">IF(ISNUMBER(_xll.VoseSimPercentile(Claims_Wrong,$B75)),_xll.VoseSimPercentile(Claims_Wrong,$B75),NA())</f>
        <v>1.6745446586394213</v>
      </c>
    </row>
    <row r="76" spans="2:6" hidden="1" outlineLevel="1" x14ac:dyDescent="0.45">
      <c r="B76" s="54">
        <v>0.43</v>
      </c>
      <c r="C76" s="54">
        <f t="shared" si="0"/>
        <v>0.57000000000000006</v>
      </c>
      <c r="D76" s="55" cm="1">
        <f t="array" aca="1" ref="D76" ca="1">IF(ISNUMBER(_xll.VoseSimPercentile(Claims_MC,$B76)),_xll.VoseSimPercentile(Claims_MC,$B76),NA())</f>
        <v>5.8243147283526193</v>
      </c>
      <c r="E76" s="55" cm="1">
        <f t="array" aca="1" ref="E76" ca="1">IF(ISNUMBER(_xll.VoseSimPercentile(Claims_FFT,$B76)),_xll.VoseSimPercentile(Claims_FFT,$B76),NA())</f>
        <v>5.8588570143755856</v>
      </c>
      <c r="F76" s="55" cm="1">
        <f t="array" aca="1" ref="F76" ca="1">IF(ISNUMBER(_xll.VoseSimPercentile(Claims_Wrong,$B76)),_xll.VoseSimPercentile(Claims_Wrong,$B76),NA())</f>
        <v>1.799934467400687</v>
      </c>
    </row>
    <row r="77" spans="2:6" hidden="1" outlineLevel="1" x14ac:dyDescent="0.45">
      <c r="B77" s="54">
        <v>0.45</v>
      </c>
      <c r="C77" s="54">
        <f t="shared" si="0"/>
        <v>0.55000000000000004</v>
      </c>
      <c r="D77" s="55" cm="1">
        <f t="array" aca="1" ref="D77" ca="1">IF(ISNUMBER(_xll.VoseSimPercentile(Claims_MC,$B77)),_xll.VoseSimPercentile(Claims_MC,$B77),NA())</f>
        <v>5.8603091528238025</v>
      </c>
      <c r="E77" s="55" cm="1">
        <f t="array" aca="1" ref="E77" ca="1">IF(ISNUMBER(_xll.VoseSimPercentile(Claims_FFT,$B77)),_xll.VoseSimPercentile(Claims_FFT,$B77),NA())</f>
        <v>5.8940439546073167</v>
      </c>
      <c r="F77" s="55" cm="1">
        <f t="array" aca="1" ref="F77" ca="1">IF(ISNUMBER(_xll.VoseSimPercentile(Claims_Wrong,$B77)),_xll.VoseSimPercentile(Claims_Wrong,$B77),NA())</f>
        <v>1.9308111669078123</v>
      </c>
    </row>
    <row r="78" spans="2:6" hidden="1" outlineLevel="1" x14ac:dyDescent="0.45">
      <c r="B78" s="54">
        <v>0.47</v>
      </c>
      <c r="C78" s="54">
        <f t="shared" si="0"/>
        <v>0.53</v>
      </c>
      <c r="D78" s="55" cm="1">
        <f t="array" aca="1" ref="D78" ca="1">IF(ISNUMBER(_xll.VoseSimPercentile(Claims_MC,$B78)),_xll.VoseSimPercentile(Claims_MC,$B78),NA())</f>
        <v>5.8998066765871409</v>
      </c>
      <c r="E78" s="55" cm="1">
        <f t="array" aca="1" ref="E78" ca="1">IF(ISNUMBER(_xll.VoseSimPercentile(Claims_FFT,$B78)),_xll.VoseSimPercentile(Claims_FFT,$B78),NA())</f>
        <v>5.9330491638189562</v>
      </c>
      <c r="F78" s="55" cm="1">
        <f t="array" aca="1" ref="F78" ca="1">IF(ISNUMBER(_xll.VoseSimPercentile(Claims_Wrong,$B78)),_xll.VoseSimPercentile(Claims_Wrong,$B78),NA())</f>
        <v>2.0569413434561628</v>
      </c>
    </row>
    <row r="79" spans="2:6" hidden="1" outlineLevel="1" x14ac:dyDescent="0.45">
      <c r="B79" s="54">
        <v>0.49</v>
      </c>
      <c r="C79" s="54">
        <f t="shared" si="0"/>
        <v>0.51</v>
      </c>
      <c r="D79" s="55" cm="1">
        <f t="array" aca="1" ref="D79" ca="1">IF(ISNUMBER(_xll.VoseSimPercentile(Claims_MC,$B79)),_xll.VoseSimPercentile(Claims_MC,$B79),NA())</f>
        <v>5.9391960871623137</v>
      </c>
      <c r="E79" s="55" cm="1">
        <f t="array" aca="1" ref="E79" ca="1">IF(ISNUMBER(_xll.VoseSimPercentile(Claims_FFT,$B79)),_xll.VoseSimPercentile(Claims_FFT,$B79),NA())</f>
        <v>5.9697432249421132</v>
      </c>
      <c r="F79" s="55" cm="1">
        <f t="array" aca="1" ref="F79" ca="1">IF(ISNUMBER(_xll.VoseSimPercentile(Claims_Wrong,$B79)),_xll.VoseSimPercentile(Claims_Wrong,$B79),NA())</f>
        <v>2.2089646192547097</v>
      </c>
    </row>
    <row r="80" spans="2:6" hidden="1" outlineLevel="1" x14ac:dyDescent="0.45">
      <c r="B80" s="54">
        <v>0.51</v>
      </c>
      <c r="C80" s="54">
        <f t="shared" si="0"/>
        <v>0.49</v>
      </c>
      <c r="D80" s="55" cm="1">
        <f t="array" aca="1" ref="D80" ca="1">IF(ISNUMBER(_xll.VoseSimPercentile(Claims_MC,$B80)),_xll.VoseSimPercentile(Claims_MC,$B80),NA())</f>
        <v>5.9783099543673259</v>
      </c>
      <c r="E80" s="55" cm="1">
        <f t="array" aca="1" ref="E80" ca="1">IF(ISNUMBER(_xll.VoseSimPercentile(Claims_FFT,$B80)),_xll.VoseSimPercentile(Claims_FFT,$B80),NA())</f>
        <v>6.0061908578885834</v>
      </c>
      <c r="F80" s="55" cm="1">
        <f t="array" aca="1" ref="F80" ca="1">IF(ISNUMBER(_xll.VoseSimPercentile(Claims_Wrong,$B80)),_xll.VoseSimPercentile(Claims_Wrong,$B80),NA())</f>
        <v>2.3584002272234423</v>
      </c>
    </row>
    <row r="81" spans="2:6" hidden="1" outlineLevel="1" x14ac:dyDescent="0.45">
      <c r="B81" s="54">
        <v>0.53</v>
      </c>
      <c r="C81" s="54">
        <f t="shared" si="0"/>
        <v>0.47</v>
      </c>
      <c r="D81" s="55" cm="1">
        <f t="array" aca="1" ref="D81" ca="1">IF(ISNUMBER(_xll.VoseSimPercentile(Claims_MC,$B81)),_xll.VoseSimPercentile(Claims_MC,$B81),NA())</f>
        <v>6.0185500629709834</v>
      </c>
      <c r="E81" s="55" cm="1">
        <f t="array" aca="1" ref="E81" ca="1">IF(ISNUMBER(_xll.VoseSimPercentile(Claims_FFT,$B81)),_xll.VoseSimPercentile(Claims_FFT,$B81),NA())</f>
        <v>6.043781456262554</v>
      </c>
      <c r="F81" s="55" cm="1">
        <f t="array" aca="1" ref="F81" ca="1">IF(ISNUMBER(_xll.VoseSimPercentile(Claims_Wrong,$B81)),_xll.VoseSimPercentile(Claims_Wrong,$B81),NA())</f>
        <v>2.5366172035801706</v>
      </c>
    </row>
    <row r="82" spans="2:6" hidden="1" outlineLevel="1" x14ac:dyDescent="0.45">
      <c r="B82" s="54">
        <v>0.55000000000000004</v>
      </c>
      <c r="C82" s="54">
        <f t="shared" si="0"/>
        <v>0.44999999999999996</v>
      </c>
      <c r="D82" s="55" cm="1">
        <f t="array" aca="1" ref="D82" ca="1">IF(ISNUMBER(_xll.VoseSimPercentile(Claims_MC,$B82)),_xll.VoseSimPercentile(Claims_MC,$B82),NA())</f>
        <v>6.0571117024504426</v>
      </c>
      <c r="E82" s="55" cm="1">
        <f t="array" aca="1" ref="E82" ca="1">IF(ISNUMBER(_xll.VoseSimPercentile(Claims_FFT,$B82)),_xll.VoseSimPercentile(Claims_FFT,$B82),NA())</f>
        <v>6.0814339278536265</v>
      </c>
      <c r="F82" s="55" cm="1">
        <f t="array" aca="1" ref="F82" ca="1">IF(ISNUMBER(_xll.VoseSimPercentile(Claims_Wrong,$B82)),_xll.VoseSimPercentile(Claims_Wrong,$B82),NA())</f>
        <v>2.74135689031288</v>
      </c>
    </row>
    <row r="83" spans="2:6" hidden="1" outlineLevel="1" x14ac:dyDescent="0.45">
      <c r="B83" s="54">
        <v>0.56999999999999995</v>
      </c>
      <c r="C83" s="54">
        <f t="shared" si="0"/>
        <v>0.43000000000000005</v>
      </c>
      <c r="D83" s="55" cm="1">
        <f t="array" aca="1" ref="D83" ca="1">IF(ISNUMBER(_xll.VoseSimPercentile(Claims_MC,$B83)),_xll.VoseSimPercentile(Claims_MC,$B83),NA())</f>
        <v>6.0908618812165836</v>
      </c>
      <c r="E83" s="55" cm="1">
        <f t="array" aca="1" ref="E83" ca="1">IF(ISNUMBER(_xll.VoseSimPercentile(Claims_FFT,$B83)),_xll.VoseSimPercentile(Claims_FFT,$B83),NA())</f>
        <v>6.1200688921246913</v>
      </c>
      <c r="F83" s="55" cm="1">
        <f t="array" aca="1" ref="F83" ca="1">IF(ISNUMBER(_xll.VoseSimPercentile(Claims_Wrong,$B83)),_xll.VoseSimPercentile(Claims_Wrong,$B83),NA())</f>
        <v>2.9471883149935572</v>
      </c>
    </row>
    <row r="84" spans="2:6" hidden="1" outlineLevel="1" x14ac:dyDescent="0.45">
      <c r="B84" s="54">
        <v>0.59</v>
      </c>
      <c r="C84" s="54">
        <f t="shared" si="0"/>
        <v>0.41000000000000003</v>
      </c>
      <c r="D84" s="55" cm="1">
        <f t="array" aca="1" ref="D84" ca="1">IF(ISNUMBER(_xll.VoseSimPercentile(Claims_MC,$B84)),_xll.VoseSimPercentile(Claims_MC,$B84),NA())</f>
        <v>6.1332087765401928</v>
      </c>
      <c r="E84" s="55" cm="1">
        <f t="array" aca="1" ref="E84" ca="1">IF(ISNUMBER(_xll.VoseSimPercentile(Claims_FFT,$B84)),_xll.VoseSimPercentile(Claims_FFT,$B84),NA())</f>
        <v>6.1604695173132962</v>
      </c>
      <c r="F84" s="55" cm="1">
        <f t="array" aca="1" ref="F84" ca="1">IF(ISNUMBER(_xll.VoseSimPercentile(Claims_Wrong,$B84)),_xll.VoseSimPercentile(Claims_Wrong,$B84),NA())</f>
        <v>3.1615619812839024</v>
      </c>
    </row>
    <row r="85" spans="2:6" hidden="1" outlineLevel="1" x14ac:dyDescent="0.45">
      <c r="B85" s="54">
        <v>0.61</v>
      </c>
      <c r="C85" s="54">
        <f t="shared" si="0"/>
        <v>0.39</v>
      </c>
      <c r="D85" s="55" cm="1">
        <f t="array" aca="1" ref="D85" ca="1">IF(ISNUMBER(_xll.VoseSimPercentile(Claims_MC,$B85)),_xll.VoseSimPercentile(Claims_MC,$B85),NA())</f>
        <v>6.1769875493860553</v>
      </c>
      <c r="E85" s="55" cm="1">
        <f t="array" aca="1" ref="E85" ca="1">IF(ISNUMBER(_xll.VoseSimPercentile(Claims_FFT,$B85)),_xll.VoseSimPercentile(Claims_FFT,$B85),NA())</f>
        <v>6.1975897747573034</v>
      </c>
      <c r="F85" s="55" cm="1">
        <f t="array" aca="1" ref="F85" ca="1">IF(ISNUMBER(_xll.VoseSimPercentile(Claims_Wrong,$B85)),_xll.VoseSimPercentile(Claims_Wrong,$B85),NA())</f>
        <v>3.3803367668233464</v>
      </c>
    </row>
    <row r="86" spans="2:6" hidden="1" outlineLevel="1" x14ac:dyDescent="0.45">
      <c r="B86" s="54">
        <v>0.63</v>
      </c>
      <c r="C86" s="54">
        <f t="shared" si="0"/>
        <v>0.37</v>
      </c>
      <c r="D86" s="55" cm="1">
        <f t="array" aca="1" ref="D86" ca="1">IF(ISNUMBER(_xll.VoseSimPercentile(Claims_MC,$B86)),_xll.VoseSimPercentile(Claims_MC,$B86),NA())</f>
        <v>6.2155961104243795</v>
      </c>
      <c r="E86" s="55" cm="1">
        <f t="array" aca="1" ref="E86" ca="1">IF(ISNUMBER(_xll.VoseSimPercentile(Claims_FFT,$B86)),_xll.VoseSimPercentile(Claims_FFT,$B86),NA())</f>
        <v>6.2380710655270537</v>
      </c>
      <c r="F86" s="55" cm="1">
        <f t="array" aca="1" ref="F86" ca="1">IF(ISNUMBER(_xll.VoseSimPercentile(Claims_Wrong,$B86)),_xll.VoseSimPercentile(Claims_Wrong,$B86),NA())</f>
        <v>3.665459504282738</v>
      </c>
    </row>
    <row r="87" spans="2:6" hidden="1" outlineLevel="1" x14ac:dyDescent="0.45">
      <c r="B87" s="54">
        <v>0.65</v>
      </c>
      <c r="C87" s="54">
        <f t="shared" ref="C87:C118" si="1">1-B87</f>
        <v>0.35</v>
      </c>
      <c r="D87" s="55" cm="1">
        <f t="array" aca="1" ref="D87" ca="1">IF(ISNUMBER(_xll.VoseSimPercentile(Claims_MC,$B87)),_xll.VoseSimPercentile(Claims_MC,$B87),NA())</f>
        <v>6.2531407819776259</v>
      </c>
      <c r="E87" s="55" cm="1">
        <f t="array" aca="1" ref="E87" ca="1">IF(ISNUMBER(_xll.VoseSimPercentile(Claims_FFT,$B87)),_xll.VoseSimPercentile(Claims_FFT,$B87),NA())</f>
        <v>6.2822010642901684</v>
      </c>
      <c r="F87" s="55" cm="1">
        <f t="array" aca="1" ref="F87" ca="1">IF(ISNUMBER(_xll.VoseSimPercentile(Claims_Wrong,$B87)),_xll.VoseSimPercentile(Claims_Wrong,$B87),NA())</f>
        <v>3.9427626040267456</v>
      </c>
    </row>
    <row r="88" spans="2:6" hidden="1" outlineLevel="1" x14ac:dyDescent="0.45">
      <c r="B88" s="54">
        <v>0.67</v>
      </c>
      <c r="C88" s="54">
        <f t="shared" si="1"/>
        <v>0.32999999999999996</v>
      </c>
      <c r="D88" s="55" cm="1">
        <f t="array" aca="1" ref="D88" ca="1">IF(ISNUMBER(_xll.VoseSimPercentile(Claims_MC,$B88)),_xll.VoseSimPercentile(Claims_MC,$B88),NA())</f>
        <v>6.2910175967101978</v>
      </c>
      <c r="E88" s="55" cm="1">
        <f t="array" aca="1" ref="E88" ca="1">IF(ISNUMBER(_xll.VoseSimPercentile(Claims_FFT,$B88)),_xll.VoseSimPercentile(Claims_FFT,$B88),NA())</f>
        <v>6.3226576589075449</v>
      </c>
      <c r="F88" s="55" cm="1">
        <f t="array" aca="1" ref="F88" ca="1">IF(ISNUMBER(_xll.VoseSimPercentile(Claims_Wrong,$B88)),_xll.VoseSimPercentile(Claims_Wrong,$B88),NA())</f>
        <v>4.2545763046703957</v>
      </c>
    </row>
    <row r="89" spans="2:6" hidden="1" outlineLevel="1" x14ac:dyDescent="0.45">
      <c r="B89" s="54">
        <v>0.69</v>
      </c>
      <c r="C89" s="54">
        <f t="shared" si="1"/>
        <v>0.31000000000000005</v>
      </c>
      <c r="D89" s="55" cm="1">
        <f t="array" aca="1" ref="D89" ca="1">IF(ISNUMBER(_xll.VoseSimPercentile(Claims_MC,$B89)),_xll.VoseSimPercentile(Claims_MC,$B89),NA())</f>
        <v>6.3325922309151137</v>
      </c>
      <c r="E89" s="55" cm="1">
        <f t="array" aca="1" ref="E89" ca="1">IF(ISNUMBER(_xll.VoseSimPercentile(Claims_FFT,$B89)),_xll.VoseSimPercentile(Claims_FFT,$B89),NA())</f>
        <v>6.3662494603853625</v>
      </c>
      <c r="F89" s="55" cm="1">
        <f t="array" aca="1" ref="F89" ca="1">IF(ISNUMBER(_xll.VoseSimPercentile(Claims_Wrong,$B89)),_xll.VoseSimPercentile(Claims_Wrong,$B89),NA())</f>
        <v>4.588961772095935</v>
      </c>
    </row>
    <row r="90" spans="2:6" hidden="1" outlineLevel="1" x14ac:dyDescent="0.45">
      <c r="B90" s="54">
        <v>0.71</v>
      </c>
      <c r="C90" s="54">
        <f t="shared" si="1"/>
        <v>0.29000000000000004</v>
      </c>
      <c r="D90" s="55" cm="1">
        <f t="array" aca="1" ref="D90" ca="1">IF(ISNUMBER(_xll.VoseSimPercentile(Claims_MC,$B90)),_xll.VoseSimPercentile(Claims_MC,$B90),NA())</f>
        <v>6.3768944810517283</v>
      </c>
      <c r="E90" s="55" cm="1">
        <f t="array" aca="1" ref="E90" ca="1">IF(ISNUMBER(_xll.VoseSimPercentile(Claims_FFT,$B90)),_xll.VoseSimPercentile(Claims_FFT,$B90),NA())</f>
        <v>6.4073992783982403</v>
      </c>
      <c r="F90" s="55" cm="1">
        <f t="array" aca="1" ref="F90" ca="1">IF(ISNUMBER(_xll.VoseSimPercentile(Claims_Wrong,$B90)),_xll.VoseSimPercentile(Claims_Wrong,$B90),NA())</f>
        <v>4.9681907301055537</v>
      </c>
    </row>
    <row r="91" spans="2:6" hidden="1" outlineLevel="1" x14ac:dyDescent="0.45">
      <c r="B91" s="54">
        <v>0.73</v>
      </c>
      <c r="C91" s="54">
        <f t="shared" si="1"/>
        <v>0.27</v>
      </c>
      <c r="D91" s="55" cm="1">
        <f t="array" aca="1" ref="D91" ca="1">IF(ISNUMBER(_xll.VoseSimPercentile(Claims_MC,$B91)),_xll.VoseSimPercentile(Claims_MC,$B91),NA())</f>
        <v>6.4260077050921023</v>
      </c>
      <c r="E91" s="55" cm="1">
        <f t="array" aca="1" ref="E91" ca="1">IF(ISNUMBER(_xll.VoseSimPercentile(Claims_FFT,$B91)),_xll.VoseSimPercentile(Claims_FFT,$B91),NA())</f>
        <v>6.449934314791081</v>
      </c>
      <c r="F91" s="55" cm="1">
        <f t="array" aca="1" ref="F91" ca="1">IF(ISNUMBER(_xll.VoseSimPercentile(Claims_Wrong,$B91)),_xll.VoseSimPercentile(Claims_Wrong,$B91),NA())</f>
        <v>5.3847718141981211</v>
      </c>
    </row>
    <row r="92" spans="2:6" hidden="1" outlineLevel="1" x14ac:dyDescent="0.45">
      <c r="B92" s="54">
        <v>0.75</v>
      </c>
      <c r="C92" s="54">
        <f t="shared" si="1"/>
        <v>0.25</v>
      </c>
      <c r="D92" s="55" cm="1">
        <f t="array" aca="1" ref="D92" ca="1">IF(ISNUMBER(_xll.VoseSimPercentile(Claims_MC,$B92)),_xll.VoseSimPercentile(Claims_MC,$B92),NA())</f>
        <v>6.4734307428761477</v>
      </c>
      <c r="E92" s="55" cm="1">
        <f t="array" aca="1" ref="E92" ca="1">IF(ISNUMBER(_xll.VoseSimPercentile(Claims_FFT,$B92)),_xll.VoseSimPercentile(Claims_FFT,$B92),NA())</f>
        <v>6.4944962698127426</v>
      </c>
      <c r="F92" s="55" cm="1">
        <f t="array" aca="1" ref="F92" ca="1">IF(ISNUMBER(_xll.VoseSimPercentile(Claims_Wrong,$B92)),_xll.VoseSimPercentile(Claims_Wrong,$B92),NA())</f>
        <v>5.9072513180726567</v>
      </c>
    </row>
    <row r="93" spans="2:6" hidden="1" outlineLevel="1" x14ac:dyDescent="0.45">
      <c r="B93" s="54">
        <v>0.77</v>
      </c>
      <c r="C93" s="54">
        <f t="shared" si="1"/>
        <v>0.22999999999999998</v>
      </c>
      <c r="D93" s="55" cm="1">
        <f t="array" aca="1" ref="D93" ca="1">IF(ISNUMBER(_xll.VoseSimPercentile(Claims_MC,$B93)),_xll.VoseSimPercentile(Claims_MC,$B93),NA())</f>
        <v>6.5225181116703039</v>
      </c>
      <c r="E93" s="55" cm="1">
        <f t="array" aca="1" ref="E93" ca="1">IF(ISNUMBER(_xll.VoseSimPercentile(Claims_FFT,$B93)),_xll.VoseSimPercentile(Claims_FFT,$B93),NA())</f>
        <v>6.5484945230144254</v>
      </c>
      <c r="F93" s="55" cm="1">
        <f t="array" aca="1" ref="F93" ca="1">IF(ISNUMBER(_xll.VoseSimPercentile(Claims_Wrong,$B93)),_xll.VoseSimPercentile(Claims_Wrong,$B93),NA())</f>
        <v>6.4131041608445845</v>
      </c>
    </row>
    <row r="94" spans="2:6" hidden="1" outlineLevel="1" x14ac:dyDescent="0.45">
      <c r="B94" s="54">
        <v>0.79</v>
      </c>
      <c r="C94" s="54">
        <f t="shared" si="1"/>
        <v>0.20999999999999996</v>
      </c>
      <c r="D94" s="55" cm="1">
        <f t="array" aca="1" ref="D94" ca="1">IF(ISNUMBER(_xll.VoseSimPercentile(Claims_MC,$B94)),_xll.VoseSimPercentile(Claims_MC,$B94),NA())</f>
        <v>6.5760724186866044</v>
      </c>
      <c r="E94" s="55" cm="1">
        <f t="array" aca="1" ref="E94" ca="1">IF(ISNUMBER(_xll.VoseSimPercentile(Claims_FFT,$B94)),_xll.VoseSimPercentile(Claims_FFT,$B94),NA())</f>
        <v>6.6131553296077659</v>
      </c>
      <c r="F94" s="55" cm="1">
        <f t="array" aca="1" ref="F94" ca="1">IF(ISNUMBER(_xll.VoseSimPercentile(Claims_Wrong,$B94)),_xll.VoseSimPercentile(Claims_Wrong,$B94),NA())</f>
        <v>6.9866609142146645</v>
      </c>
    </row>
    <row r="95" spans="2:6" hidden="1" outlineLevel="1" x14ac:dyDescent="0.45">
      <c r="B95" s="54">
        <v>0.81</v>
      </c>
      <c r="C95" s="54">
        <f t="shared" si="1"/>
        <v>0.18999999999999995</v>
      </c>
      <c r="D95" s="55" cm="1">
        <f t="array" aca="1" ref="D95" ca="1">IF(ISNUMBER(_xll.VoseSimPercentile(Claims_MC,$B95)),_xll.VoseSimPercentile(Claims_MC,$B95),NA())</f>
        <v>6.6368629997592334</v>
      </c>
      <c r="E95" s="55" cm="1">
        <f t="array" aca="1" ref="E95" ca="1">IF(ISNUMBER(_xll.VoseSimPercentile(Claims_FFT,$B95)),_xll.VoseSimPercentile(Claims_FFT,$B95),NA())</f>
        <v>6.6670974292205303</v>
      </c>
      <c r="F95" s="55" cm="1">
        <f t="array" aca="1" ref="F95" ca="1">IF(ISNUMBER(_xll.VoseSimPercentile(Claims_Wrong,$B95)),_xll.VoseSimPercentile(Claims_Wrong,$B95),NA())</f>
        <v>7.626049419981717</v>
      </c>
    </row>
    <row r="96" spans="2:6" hidden="1" outlineLevel="1" x14ac:dyDescent="0.45">
      <c r="B96" s="54">
        <v>0.83</v>
      </c>
      <c r="C96" s="54">
        <f t="shared" si="1"/>
        <v>0.17000000000000004</v>
      </c>
      <c r="D96" s="55" cm="1">
        <f t="array" aca="1" ref="D96" ca="1">IF(ISNUMBER(_xll.VoseSimPercentile(Claims_MC,$B96)),_xll.VoseSimPercentile(Claims_MC,$B96),NA())</f>
        <v>6.7036446351085646</v>
      </c>
      <c r="E96" s="55" cm="1">
        <f t="array" aca="1" ref="E96" ca="1">IF(ISNUMBER(_xll.VoseSimPercentile(Claims_FFT,$B96)),_xll.VoseSimPercentile(Claims_FFT,$B96),NA())</f>
        <v>6.7333356244607794</v>
      </c>
      <c r="F96" s="55" cm="1">
        <f t="array" aca="1" ref="F96" ca="1">IF(ISNUMBER(_xll.VoseSimPercentile(Claims_Wrong,$B96)),_xll.VoseSimPercentile(Claims_Wrong,$B96),NA())</f>
        <v>8.4983676931401426</v>
      </c>
    </row>
    <row r="97" spans="2:7" hidden="1" outlineLevel="1" x14ac:dyDescent="0.45">
      <c r="B97" s="54">
        <v>0.85</v>
      </c>
      <c r="C97" s="54">
        <f t="shared" si="1"/>
        <v>0.15000000000000002</v>
      </c>
      <c r="D97" s="55" cm="1">
        <f t="array" aca="1" ref="D97" ca="1">IF(ISNUMBER(_xll.VoseSimPercentile(Claims_MC,$B97)),_xll.VoseSimPercentile(Claims_MC,$B97),NA())</f>
        <v>6.7713087738293707</v>
      </c>
      <c r="E97" s="55" cm="1">
        <f t="array" aca="1" ref="E97" ca="1">IF(ISNUMBER(_xll.VoseSimPercentile(Claims_FFT,$B97)),_xll.VoseSimPercentile(Claims_FFT,$B97),NA())</f>
        <v>6.805988602429391</v>
      </c>
      <c r="F97" s="55" cm="1">
        <f t="array" aca="1" ref="F97" ca="1">IF(ISNUMBER(_xll.VoseSimPercentile(Claims_Wrong,$B97)),_xll.VoseSimPercentile(Claims_Wrong,$B97),NA())</f>
        <v>9.5206157650766805</v>
      </c>
    </row>
    <row r="98" spans="2:7" hidden="1" outlineLevel="1" x14ac:dyDescent="0.45">
      <c r="B98" s="54">
        <v>0.87</v>
      </c>
      <c r="C98" s="54">
        <f t="shared" si="1"/>
        <v>0.13</v>
      </c>
      <c r="D98" s="55" cm="1">
        <f t="array" aca="1" ref="D98" ca="1">IF(ISNUMBER(_xll.VoseSimPercentile(Claims_MC,$B98)),_xll.VoseSimPercentile(Claims_MC,$B98),NA())</f>
        <v>6.8443088269710826</v>
      </c>
      <c r="E98" s="55" cm="1">
        <f t="array" aca="1" ref="E98" ca="1">IF(ISNUMBER(_xll.VoseSimPercentile(Claims_FFT,$B98)),_xll.VoseSimPercentile(Claims_FFT,$B98),NA())</f>
        <v>6.8791792695054701</v>
      </c>
      <c r="F98" s="55" cm="1">
        <f t="array" aca="1" ref="F98" ca="1">IF(ISNUMBER(_xll.VoseSimPercentile(Claims_Wrong,$B98)),_xll.VoseSimPercentile(Claims_Wrong,$B98),NA())</f>
        <v>10.702402729267062</v>
      </c>
    </row>
    <row r="99" spans="2:7" hidden="1" outlineLevel="1" x14ac:dyDescent="0.45">
      <c r="B99" s="54">
        <v>0.89</v>
      </c>
      <c r="C99" s="54">
        <f t="shared" si="1"/>
        <v>0.10999999999999999</v>
      </c>
      <c r="D99" s="55" cm="1">
        <f t="array" aca="1" ref="D99" ca="1">IF(ISNUMBER(_xll.VoseSimPercentile(Claims_MC,$B99)),_xll.VoseSimPercentile(Claims_MC,$B99),NA())</f>
        <v>6.928288461850264</v>
      </c>
      <c r="E99" s="55" cm="1">
        <f t="array" aca="1" ref="E99" ca="1">IF(ISNUMBER(_xll.VoseSimPercentile(Claims_FFT,$B99)),_xll.VoseSimPercentile(Claims_FFT,$B99),NA())</f>
        <v>6.9569730513068118</v>
      </c>
      <c r="F99" s="55" cm="1">
        <f t="array" aca="1" ref="F99" ca="1">IF(ISNUMBER(_xll.VoseSimPercentile(Claims_Wrong,$B99)),_xll.VoseSimPercentile(Claims_Wrong,$B99),NA())</f>
        <v>12.145076386564515</v>
      </c>
    </row>
    <row r="100" spans="2:7" hidden="1" outlineLevel="1" x14ac:dyDescent="0.45">
      <c r="B100" s="54">
        <v>0.91</v>
      </c>
      <c r="C100" s="54">
        <f t="shared" si="1"/>
        <v>8.9999999999999969E-2</v>
      </c>
      <c r="D100" s="55" cm="1">
        <f t="array" aca="1" ref="D100" ca="1">IF(ISNUMBER(_xll.VoseSimPercentile(Claims_MC,$B100)),_xll.VoseSimPercentile(Claims_MC,$B100),NA())</f>
        <v>7.0333830544865297</v>
      </c>
      <c r="E100" s="55" cm="1">
        <f t="array" aca="1" ref="E100" ca="1">IF(ISNUMBER(_xll.VoseSimPercentile(Claims_FFT,$B100)),_xll.VoseSimPercentile(Claims_FFT,$B100),NA())</f>
        <v>7.0493918756931109</v>
      </c>
      <c r="F100" s="55" cm="1">
        <f t="array" aca="1" ref="F100" ca="1">IF(ISNUMBER(_xll.VoseSimPercentile(Claims_Wrong,$B100)),_xll.VoseSimPercentile(Claims_Wrong,$B100),NA())</f>
        <v>14.337630569278204</v>
      </c>
    </row>
    <row r="101" spans="2:7" hidden="1" outlineLevel="1" x14ac:dyDescent="0.45">
      <c r="B101" s="54">
        <v>0.93</v>
      </c>
      <c r="C101" s="54">
        <f t="shared" si="1"/>
        <v>6.9999999999999951E-2</v>
      </c>
      <c r="D101" s="55" cm="1">
        <f t="array" aca="1" ref="D101" ca="1">IF(ISNUMBER(_xll.VoseSimPercentile(Claims_MC,$B101)),_xll.VoseSimPercentile(Claims_MC,$B101),NA())</f>
        <v>7.1463086880323194</v>
      </c>
      <c r="E101" s="55" cm="1">
        <f t="array" aca="1" ref="E101" ca="1">IF(ISNUMBER(_xll.VoseSimPercentile(Claims_FFT,$B101)),_xll.VoseSimPercentile(Claims_FFT,$B101),NA())</f>
        <v>7.1637658870724863</v>
      </c>
      <c r="F101" s="55" cm="1">
        <f t="array" aca="1" ref="F101" ca="1">IF(ISNUMBER(_xll.VoseSimPercentile(Claims_Wrong,$B101)),_xll.VoseSimPercentile(Claims_Wrong,$B101),NA())</f>
        <v>17.244444611007093</v>
      </c>
    </row>
    <row r="102" spans="2:7" hidden="1" outlineLevel="1" x14ac:dyDescent="0.45">
      <c r="B102" s="54">
        <v>0.95</v>
      </c>
      <c r="C102" s="54">
        <f t="shared" si="1"/>
        <v>5.0000000000000044E-2</v>
      </c>
      <c r="D102" s="55" cm="1">
        <f t="array" aca="1" ref="D102" ca="1">IF(ISNUMBER(_xll.VoseSimPercentile(Claims_MC,$B102)),_xll.VoseSimPercentile(Claims_MC,$B102),NA())</f>
        <v>7.2979646682007537</v>
      </c>
      <c r="E102" s="55" cm="1">
        <f t="array" aca="1" ref="E102" ca="1">IF(ISNUMBER(_xll.VoseSimPercentile(Claims_FFT,$B102)),_xll.VoseSimPercentile(Claims_FFT,$B102),NA())</f>
        <v>7.3046383724847193</v>
      </c>
      <c r="F102" s="55" cm="1">
        <f t="array" aca="1" ref="F102" ca="1">IF(ISNUMBER(_xll.VoseSimPercentile(Claims_Wrong,$B102)),_xll.VoseSimPercentile(Claims_Wrong,$B102),NA())</f>
        <v>21.797002366942767</v>
      </c>
    </row>
    <row r="103" spans="2:7" hidden="1" outlineLevel="1" x14ac:dyDescent="0.45">
      <c r="B103" s="54">
        <v>0.97</v>
      </c>
      <c r="C103" s="54">
        <f t="shared" si="1"/>
        <v>3.0000000000000027E-2</v>
      </c>
      <c r="D103" s="55" cm="1">
        <f t="array" aca="1" ref="D103" ca="1">IF(ISNUMBER(_xll.VoseSimPercentile(Claims_MC,$B103)),_xll.VoseSimPercentile(Claims_MC,$B103),NA())</f>
        <v>7.4961728004540458</v>
      </c>
      <c r="E103" s="55" cm="1">
        <f t="array" aca="1" ref="E103" ca="1">IF(ISNUMBER(_xll.VoseSimPercentile(Claims_FFT,$B103)),_xll.VoseSimPercentile(Claims_FFT,$B103),NA())</f>
        <v>7.491837640305711</v>
      </c>
      <c r="F103" s="55" cm="1">
        <f t="array" aca="1" ref="F103" ca="1">IF(ISNUMBER(_xll.VoseSimPercentile(Claims_Wrong,$B103)),_xll.VoseSimPercentile(Claims_Wrong,$B103),NA())</f>
        <v>29.208977295199578</v>
      </c>
    </row>
    <row r="104" spans="2:7" hidden="1" outlineLevel="1" x14ac:dyDescent="0.45">
      <c r="B104" s="54">
        <v>0.99</v>
      </c>
      <c r="C104" s="54">
        <f t="shared" si="1"/>
        <v>1.0000000000000009E-2</v>
      </c>
      <c r="D104" s="55" cm="1">
        <f t="array" aca="1" ref="D104" ca="1">IF(ISNUMBER(_xll.VoseSimPercentile(Claims_MC,$B104)),_xll.VoseSimPercentile(Claims_MC,$B104),NA())</f>
        <v>7.9218372626916027</v>
      </c>
      <c r="E104" s="55" cm="1">
        <f t="array" aca="1" ref="E104" ca="1">IF(ISNUMBER(_xll.VoseSimPercentile(Claims_FFT,$B104)),_xll.VoseSimPercentile(Claims_FFT,$B104),NA())</f>
        <v>7.9078217108473572</v>
      </c>
      <c r="F104" s="55" cm="1">
        <f t="array" aca="1" ref="F104" ca="1">IF(ISNUMBER(_xll.VoseSimPercentile(Claims_Wrong,$B104)),_xll.VoseSimPercentile(Claims_Wrong,$B104),NA())</f>
        <v>53.189808027854404</v>
      </c>
    </row>
    <row r="105" spans="2:7" hidden="1" outlineLevel="1" x14ac:dyDescent="0.45"/>
    <row r="106" spans="2:7" ht="18" hidden="1" customHeight="1" outlineLevel="1" x14ac:dyDescent="0.45">
      <c r="B106" s="23" t="s">
        <v>200</v>
      </c>
      <c r="C106" s="24" t="s">
        <v>125</v>
      </c>
      <c r="D106" s="5"/>
      <c r="E106" s="5"/>
      <c r="F106" s="5"/>
      <c r="G106" s="5"/>
    </row>
    <row r="107" spans="2:7" hidden="1" outlineLevel="1" x14ac:dyDescent="0.45">
      <c r="B107" s="56">
        <v>5.0000000000000001E-3</v>
      </c>
      <c r="C107" s="55" cm="1">
        <f t="array" aca="1" ref="C107" ca="1">IF(ISNUMBER(_xll.VoseSimPercentile(Claims_MC,0.005)),_xll.VoseSimPercentile(Claims_MC,0.005),NA())</f>
        <v>4.2742511309938704</v>
      </c>
    </row>
    <row r="108" spans="2:7" hidden="1" outlineLevel="1" x14ac:dyDescent="0.45">
      <c r="B108" s="56">
        <v>0.01</v>
      </c>
      <c r="C108" s="55" cm="1">
        <f t="array" aca="1" ref="C108" ca="1">IF(ISNUMBER(_xll.VoseSimPercentile(Claims_MC,0.01)),_xll.VoseSimPercentile(Claims_MC,0.01),NA())</f>
        <v>4.3953117828635042</v>
      </c>
    </row>
    <row r="109" spans="2:7" hidden="1" outlineLevel="1" x14ac:dyDescent="0.45">
      <c r="B109" s="56">
        <v>0.02</v>
      </c>
      <c r="C109" s="55" cm="1">
        <f t="array" aca="1" ref="C109" ca="1">IF(ISNUMBER(_xll.VoseSimPercentile(Claims_MC,0.02)),_xll.VoseSimPercentile(Claims_MC,0.02),NA())</f>
        <v>4.569722201088843</v>
      </c>
    </row>
    <row r="110" spans="2:7" hidden="1" outlineLevel="1" x14ac:dyDescent="0.45">
      <c r="B110" s="56">
        <v>0.03</v>
      </c>
      <c r="C110" s="55" cm="1">
        <f t="array" aca="1" ref="C110" ca="1">IF(ISNUMBER(_xll.VoseSimPercentile(Claims_MC,0.03)),_xll.VoseSimPercentile(Claims_MC,0.03),NA())</f>
        <v>4.6628210010701379</v>
      </c>
    </row>
    <row r="111" spans="2:7" hidden="1" outlineLevel="1" x14ac:dyDescent="0.45">
      <c r="B111" s="56">
        <v>0.04</v>
      </c>
      <c r="C111" s="55" cm="1">
        <f t="array" aca="1" ref="C111" ca="1">IF(ISNUMBER(_xll.VoseSimPercentile(Claims_MC,0.04)),_xll.VoseSimPercentile(Claims_MC,0.04),NA())</f>
        <v>4.7420616430817804</v>
      </c>
    </row>
    <row r="112" spans="2:7" hidden="1" outlineLevel="1" x14ac:dyDescent="0.45">
      <c r="B112" s="56">
        <v>0.05</v>
      </c>
      <c r="C112" s="55" cm="1">
        <f t="array" aca="1" ref="C112" ca="1">IF(ISNUMBER(_xll.VoseSimPercentile(Claims_MC,0.05)),_xll.VoseSimPercentile(Claims_MC,0.05),NA())</f>
        <v>4.8037177795604871</v>
      </c>
    </row>
    <row r="113" spans="2:3" hidden="1" outlineLevel="1" x14ac:dyDescent="0.45">
      <c r="B113" s="56">
        <v>0.06</v>
      </c>
      <c r="C113" s="55" cm="1">
        <f t="array" aca="1" ref="C113" ca="1">IF(ISNUMBER(_xll.VoseSimPercentile(Claims_MC,0.06)),_xll.VoseSimPercentile(Claims_MC,0.06),NA())</f>
        <v>4.868636863044185</v>
      </c>
    </row>
    <row r="114" spans="2:3" hidden="1" outlineLevel="1" x14ac:dyDescent="0.45">
      <c r="B114" s="56">
        <v>7.0000000000000007E-2</v>
      </c>
      <c r="C114" s="55" cm="1">
        <f t="array" aca="1" ref="C114" ca="1">IF(ISNUMBER(_xll.VoseSimPercentile(Claims_MC,0.07)),_xll.VoseSimPercentile(Claims_MC,0.07),NA())</f>
        <v>4.9196363362381783</v>
      </c>
    </row>
    <row r="115" spans="2:3" hidden="1" outlineLevel="1" x14ac:dyDescent="0.45">
      <c r="B115" s="56">
        <v>0.08</v>
      </c>
      <c r="C115" s="55" cm="1">
        <f t="array" aca="1" ref="C115" ca="1">IF(ISNUMBER(_xll.VoseSimPercentile(Claims_MC,0.08)),_xll.VoseSimPercentile(Claims_MC,0.08),NA())</f>
        <v>4.9729738725317834</v>
      </c>
    </row>
    <row r="116" spans="2:3" hidden="1" outlineLevel="1" x14ac:dyDescent="0.45">
      <c r="B116" s="56">
        <v>0.09</v>
      </c>
      <c r="C116" s="55" cm="1">
        <f t="array" aca="1" ref="C116" ca="1">IF(ISNUMBER(_xll.VoseSimPercentile(Claims_MC,0.09)),_xll.VoseSimPercentile(Claims_MC,0.09),NA())</f>
        <v>5.0108872264743889</v>
      </c>
    </row>
    <row r="117" spans="2:3" hidden="1" outlineLevel="1" x14ac:dyDescent="0.45">
      <c r="B117" s="56">
        <v>0.1</v>
      </c>
      <c r="C117" s="55" cm="1">
        <f t="array" aca="1" ref="C117" ca="1">IF(ISNUMBER(_xll.VoseSimPercentile(Claims_MC,0.1)),_xll.VoseSimPercentile(Claims_MC,0.1),NA())</f>
        <v>5.0467083255455991</v>
      </c>
    </row>
    <row r="118" spans="2:3" hidden="1" outlineLevel="1" x14ac:dyDescent="0.45">
      <c r="B118" s="56">
        <v>0.11</v>
      </c>
      <c r="C118" s="55" cm="1">
        <f t="array" aca="1" ref="C118" ca="1">IF(ISNUMBER(_xll.VoseSimPercentile(Claims_MC,0.11)),_xll.VoseSimPercentile(Claims_MC,0.11),NA())</f>
        <v>5.084021692300686</v>
      </c>
    </row>
    <row r="119" spans="2:3" hidden="1" outlineLevel="1" x14ac:dyDescent="0.45">
      <c r="B119" s="56">
        <v>0.12</v>
      </c>
      <c r="C119" s="55" cm="1">
        <f t="array" aca="1" ref="C119" ca="1">IF(ISNUMBER(_xll.VoseSimPercentile(Claims_MC,0.12)),_xll.VoseSimPercentile(Claims_MC,0.12),NA())</f>
        <v>5.1249935860921552</v>
      </c>
    </row>
    <row r="120" spans="2:3" hidden="1" outlineLevel="1" x14ac:dyDescent="0.45">
      <c r="B120" s="56">
        <v>0.13</v>
      </c>
      <c r="C120" s="55" cm="1">
        <f t="array" aca="1" ref="C120" ca="1">IF(ISNUMBER(_xll.VoseSimPercentile(Claims_MC,0.13)),_xll.VoseSimPercentile(Claims_MC,0.13),NA())</f>
        <v>5.156456105493584</v>
      </c>
    </row>
    <row r="121" spans="2:3" hidden="1" outlineLevel="1" x14ac:dyDescent="0.45">
      <c r="B121" s="56">
        <v>0.14000000000000001</v>
      </c>
      <c r="C121" s="55" cm="1">
        <f t="array" aca="1" ref="C121" ca="1">IF(ISNUMBER(_xll.VoseSimPercentile(Claims_MC,0.14)),_xll.VoseSimPercentile(Claims_MC,0.14),NA())</f>
        <v>5.1868114685063462</v>
      </c>
    </row>
    <row r="122" spans="2:3" hidden="1" outlineLevel="1" x14ac:dyDescent="0.45">
      <c r="B122" s="56">
        <v>0.15</v>
      </c>
      <c r="C122" s="55" cm="1">
        <f t="array" aca="1" ref="C122" ca="1">IF(ISNUMBER(_xll.VoseSimPercentile(Claims_MC,0.15)),_xll.VoseSimPercentile(Claims_MC,0.15),NA())</f>
        <v>5.2153165117462263</v>
      </c>
    </row>
    <row r="123" spans="2:3" hidden="1" outlineLevel="1" x14ac:dyDescent="0.45">
      <c r="B123" s="56">
        <v>0.16</v>
      </c>
      <c r="C123" s="55" cm="1">
        <f t="array" aca="1" ref="C123" ca="1">IF(ISNUMBER(_xll.VoseSimPercentile(Claims_MC,0.16)),_xll.VoseSimPercentile(Claims_MC,0.16),NA())</f>
        <v>5.2496197012793457</v>
      </c>
    </row>
    <row r="124" spans="2:3" hidden="1" outlineLevel="1" x14ac:dyDescent="0.45">
      <c r="B124" s="56">
        <v>0.17</v>
      </c>
      <c r="C124" s="55" cm="1">
        <f t="array" aca="1" ref="C124" ca="1">IF(ISNUMBER(_xll.VoseSimPercentile(Claims_MC,0.17)),_xll.VoseSimPercentile(Claims_MC,0.17),NA())</f>
        <v>5.2797305715358593</v>
      </c>
    </row>
    <row r="125" spans="2:3" hidden="1" outlineLevel="1" x14ac:dyDescent="0.45">
      <c r="B125" s="56">
        <v>0.18</v>
      </c>
      <c r="C125" s="55" cm="1">
        <f t="array" aca="1" ref="C125" ca="1">IF(ISNUMBER(_xll.VoseSimPercentile(Claims_MC,0.18)),_xll.VoseSimPercentile(Claims_MC,0.18),NA())</f>
        <v>5.3068376129223056</v>
      </c>
    </row>
    <row r="126" spans="2:3" hidden="1" outlineLevel="1" x14ac:dyDescent="0.45">
      <c r="B126" s="56">
        <v>0.19</v>
      </c>
      <c r="C126" s="55" cm="1">
        <f t="array" aca="1" ref="C126" ca="1">IF(ISNUMBER(_xll.VoseSimPercentile(Claims_MC,0.19)),_xll.VoseSimPercentile(Claims_MC,0.19),NA())</f>
        <v>5.330588564509279</v>
      </c>
    </row>
    <row r="127" spans="2:3" hidden="1" outlineLevel="1" x14ac:dyDescent="0.45">
      <c r="B127" s="56">
        <v>0.2</v>
      </c>
      <c r="C127" s="55" cm="1">
        <f t="array" aca="1" ref="C127" ca="1">IF(ISNUMBER(_xll.VoseSimPercentile(Claims_MC,0.2)),_xll.VoseSimPercentile(Claims_MC,0.2),NA())</f>
        <v>5.3541870095362629</v>
      </c>
    </row>
    <row r="128" spans="2:3" hidden="1" outlineLevel="1" x14ac:dyDescent="0.45">
      <c r="B128" s="56">
        <v>0.21</v>
      </c>
      <c r="C128" s="55" cm="1">
        <f t="array" aca="1" ref="C128" ca="1">IF(ISNUMBER(_xll.VoseSimPercentile(Claims_MC,0.21)),_xll.VoseSimPercentile(Claims_MC,0.21),NA())</f>
        <v>5.3796063246135066</v>
      </c>
    </row>
    <row r="129" spans="2:3" hidden="1" outlineLevel="1" x14ac:dyDescent="0.45">
      <c r="B129" s="56">
        <v>0.22</v>
      </c>
      <c r="C129" s="55" cm="1">
        <f t="array" aca="1" ref="C129" ca="1">IF(ISNUMBER(_xll.VoseSimPercentile(Claims_MC,0.22)),_xll.VoseSimPercentile(Claims_MC,0.22),NA())</f>
        <v>5.4049718570491985</v>
      </c>
    </row>
    <row r="130" spans="2:3" hidden="1" outlineLevel="1" x14ac:dyDescent="0.45">
      <c r="B130" s="56">
        <v>0.23</v>
      </c>
      <c r="C130" s="55" cm="1">
        <f t="array" aca="1" ref="C130" ca="1">IF(ISNUMBER(_xll.VoseSimPercentile(Claims_MC,0.23)),_xll.VoseSimPercentile(Claims_MC,0.23),NA())</f>
        <v>5.4290056572023264</v>
      </c>
    </row>
    <row r="131" spans="2:3" hidden="1" outlineLevel="1" x14ac:dyDescent="0.45">
      <c r="B131" s="56">
        <v>0.24</v>
      </c>
      <c r="C131" s="55" cm="1">
        <f t="array" aca="1" ref="C131" ca="1">IF(ISNUMBER(_xll.VoseSimPercentile(Claims_MC,0.24)),_xll.VoseSimPercentile(Claims_MC,0.24),NA())</f>
        <v>5.4487590599400582</v>
      </c>
    </row>
    <row r="132" spans="2:3" hidden="1" outlineLevel="1" x14ac:dyDescent="0.45">
      <c r="B132" s="56">
        <v>0.25</v>
      </c>
      <c r="C132" s="55" cm="1">
        <f t="array" aca="1" ref="C132" ca="1">IF(ISNUMBER(_xll.VoseSimPercentile(Claims_MC,0.25)),_xll.VoseSimPercentile(Claims_MC,0.25),NA())</f>
        <v>5.4695134848614186</v>
      </c>
    </row>
    <row r="133" spans="2:3" hidden="1" outlineLevel="1" x14ac:dyDescent="0.45">
      <c r="B133" s="56">
        <v>0.26</v>
      </c>
      <c r="C133" s="55" cm="1">
        <f t="array" aca="1" ref="C133" ca="1">IF(ISNUMBER(_xll.VoseSimPercentile(Claims_MC,0.26)),_xll.VoseSimPercentile(Claims_MC,0.26),NA())</f>
        <v>5.489179129500326</v>
      </c>
    </row>
    <row r="134" spans="2:3" hidden="1" outlineLevel="1" x14ac:dyDescent="0.45">
      <c r="B134" s="56">
        <v>0.27</v>
      </c>
      <c r="C134" s="55" cm="1">
        <f t="array" aca="1" ref="C134" ca="1">IF(ISNUMBER(_xll.VoseSimPercentile(Claims_MC,0.27)),_xll.VoseSimPercentile(Claims_MC,0.27),NA())</f>
        <v>5.5112667508603188</v>
      </c>
    </row>
    <row r="135" spans="2:3" hidden="1" outlineLevel="1" x14ac:dyDescent="0.45">
      <c r="B135" s="56">
        <v>0.28000000000000003</v>
      </c>
      <c r="C135" s="55" cm="1">
        <f t="array" aca="1" ref="C135" ca="1">IF(ISNUMBER(_xll.VoseSimPercentile(Claims_MC,0.28)),_xll.VoseSimPercentile(Claims_MC,0.28),NA())</f>
        <v>5.5304473860582339</v>
      </c>
    </row>
    <row r="136" spans="2:3" hidden="1" outlineLevel="1" x14ac:dyDescent="0.45">
      <c r="B136" s="56">
        <v>0.28999999999999998</v>
      </c>
      <c r="C136" s="55" cm="1">
        <f t="array" aca="1" ref="C136" ca="1">IF(ISNUMBER(_xll.VoseSimPercentile(Claims_MC,0.29)),_xll.VoseSimPercentile(Claims_MC,0.29),NA())</f>
        <v>5.5522672696568272</v>
      </c>
    </row>
    <row r="137" spans="2:3" hidden="1" outlineLevel="1" x14ac:dyDescent="0.45">
      <c r="B137" s="56">
        <v>0.3</v>
      </c>
      <c r="C137" s="55" cm="1">
        <f t="array" aca="1" ref="C137" ca="1">IF(ISNUMBER(_xll.VoseSimPercentile(Claims_MC,0.3)),_xll.VoseSimPercentile(Claims_MC,0.3),NA())</f>
        <v>5.5742998241444877</v>
      </c>
    </row>
    <row r="138" spans="2:3" hidden="1" outlineLevel="1" x14ac:dyDescent="0.45">
      <c r="B138" s="56">
        <v>0.31</v>
      </c>
      <c r="C138" s="55" cm="1">
        <f t="array" aca="1" ref="C138" ca="1">IF(ISNUMBER(_xll.VoseSimPercentile(Claims_MC,0.31)),_xll.VoseSimPercentile(Claims_MC,0.31),NA())</f>
        <v>5.5930977558454833</v>
      </c>
    </row>
    <row r="139" spans="2:3" hidden="1" outlineLevel="1" x14ac:dyDescent="0.45">
      <c r="B139" s="56">
        <v>0.32</v>
      </c>
      <c r="C139" s="55" cm="1">
        <f t="array" aca="1" ref="C139" ca="1">IF(ISNUMBER(_xll.VoseSimPercentile(Claims_MC,0.32)),_xll.VoseSimPercentile(Claims_MC,0.32),NA())</f>
        <v>5.616404521895535</v>
      </c>
    </row>
    <row r="140" spans="2:3" hidden="1" outlineLevel="1" x14ac:dyDescent="0.45">
      <c r="B140" s="56">
        <v>0.33</v>
      </c>
      <c r="C140" s="55" cm="1">
        <f t="array" aca="1" ref="C140" ca="1">IF(ISNUMBER(_xll.VoseSimPercentile(Claims_MC,0.33)),_xll.VoseSimPercentile(Claims_MC,0.33),NA())</f>
        <v>5.6374420723940002</v>
      </c>
    </row>
    <row r="141" spans="2:3" hidden="1" outlineLevel="1" x14ac:dyDescent="0.45">
      <c r="B141" s="56">
        <v>0.34</v>
      </c>
      <c r="C141" s="55" cm="1">
        <f t="array" aca="1" ref="C141" ca="1">IF(ISNUMBER(_xll.VoseSimPercentile(Claims_MC,0.34)),_xll.VoseSimPercentile(Claims_MC,0.34),NA())</f>
        <v>5.6585900463315548</v>
      </c>
    </row>
    <row r="142" spans="2:3" hidden="1" outlineLevel="1" x14ac:dyDescent="0.45">
      <c r="B142" s="56">
        <v>0.35</v>
      </c>
      <c r="C142" s="55" cm="1">
        <f t="array" aca="1" ref="C142" ca="1">IF(ISNUMBER(_xll.VoseSimPercentile(Claims_MC,0.35)),_xll.VoseSimPercentile(Claims_MC,0.35),NA())</f>
        <v>5.6781949884319447</v>
      </c>
    </row>
    <row r="143" spans="2:3" hidden="1" outlineLevel="1" x14ac:dyDescent="0.45">
      <c r="B143" s="56">
        <v>0.36</v>
      </c>
      <c r="C143" s="55" cm="1">
        <f t="array" aca="1" ref="C143" ca="1">IF(ISNUMBER(_xll.VoseSimPercentile(Claims_MC,0.36)),_xll.VoseSimPercentile(Claims_MC,0.36),NA())</f>
        <v>5.6955123506423533</v>
      </c>
    </row>
    <row r="144" spans="2:3" hidden="1" outlineLevel="1" x14ac:dyDescent="0.45">
      <c r="B144" s="56">
        <v>0.37</v>
      </c>
      <c r="C144" s="55" cm="1">
        <f t="array" aca="1" ref="C144" ca="1">IF(ISNUMBER(_xll.VoseSimPercentile(Claims_MC,0.37)),_xll.VoseSimPercentile(Claims_MC,0.37),NA())</f>
        <v>5.7139880133335872</v>
      </c>
    </row>
    <row r="145" spans="2:3" hidden="1" outlineLevel="1" x14ac:dyDescent="0.45">
      <c r="B145" s="56">
        <v>0.38</v>
      </c>
      <c r="C145" s="55" cm="1">
        <f t="array" aca="1" ref="C145" ca="1">IF(ISNUMBER(_xll.VoseSimPercentile(Claims_MC,0.38)),_xll.VoseSimPercentile(Claims_MC,0.38),NA())</f>
        <v>5.7324174267952026</v>
      </c>
    </row>
    <row r="146" spans="2:3" hidden="1" outlineLevel="1" x14ac:dyDescent="0.45">
      <c r="B146" s="56">
        <v>0.39</v>
      </c>
      <c r="C146" s="55" cm="1">
        <f t="array" aca="1" ref="C146" ca="1">IF(ISNUMBER(_xll.VoseSimPercentile(Claims_MC,0.39)),_xll.VoseSimPercentile(Claims_MC,0.39),NA())</f>
        <v>5.7496316888013554</v>
      </c>
    </row>
    <row r="147" spans="2:3" hidden="1" outlineLevel="1" x14ac:dyDescent="0.45">
      <c r="B147" s="56">
        <v>0.4</v>
      </c>
      <c r="C147" s="55" cm="1">
        <f t="array" aca="1" ref="C147" ca="1">IF(ISNUMBER(_xll.VoseSimPercentile(Claims_MC,0.4)),_xll.VoseSimPercentile(Claims_MC,0.4),NA())</f>
        <v>5.7684019739032051</v>
      </c>
    </row>
    <row r="148" spans="2:3" hidden="1" outlineLevel="1" x14ac:dyDescent="0.45">
      <c r="B148" s="56">
        <v>0.41</v>
      </c>
      <c r="C148" s="55" cm="1">
        <f t="array" aca="1" ref="C148" ca="1">IF(ISNUMBER(_xll.VoseSimPercentile(Claims_MC,0.41)),_xll.VoseSimPercentile(Claims_MC,0.41),NA())</f>
        <v>5.7871569651984744</v>
      </c>
    </row>
    <row r="149" spans="2:3" hidden="1" outlineLevel="1" x14ac:dyDescent="0.45">
      <c r="B149" s="56">
        <v>0.42</v>
      </c>
      <c r="C149" s="55" cm="1">
        <f t="array" aca="1" ref="C149" ca="1">IF(ISNUMBER(_xll.VoseSimPercentile(Claims_MC,0.42)),_xll.VoseSimPercentile(Claims_MC,0.42),NA())</f>
        <v>5.8059425291246969</v>
      </c>
    </row>
    <row r="150" spans="2:3" hidden="1" outlineLevel="1" x14ac:dyDescent="0.45">
      <c r="B150" s="56">
        <v>0.43</v>
      </c>
      <c r="C150" s="55" cm="1">
        <f t="array" aca="1" ref="C150" ca="1">IF(ISNUMBER(_xll.VoseSimPercentile(Claims_MC,0.43)),_xll.VoseSimPercentile(Claims_MC,0.43),NA())</f>
        <v>5.8243147283526193</v>
      </c>
    </row>
    <row r="151" spans="2:3" hidden="1" outlineLevel="1" x14ac:dyDescent="0.45">
      <c r="B151" s="56">
        <v>0.44</v>
      </c>
      <c r="C151" s="55" cm="1">
        <f t="array" aca="1" ref="C151" ca="1">IF(ISNUMBER(_xll.VoseSimPercentile(Claims_MC,0.44)),_xll.VoseSimPercentile(Claims_MC,0.44),NA())</f>
        <v>5.8405848968663543</v>
      </c>
    </row>
    <row r="152" spans="2:3" hidden="1" outlineLevel="1" x14ac:dyDescent="0.45">
      <c r="B152" s="56">
        <v>0.45</v>
      </c>
      <c r="C152" s="55" cm="1">
        <f t="array" aca="1" ref="C152" ca="1">IF(ISNUMBER(_xll.VoseSimPercentile(Claims_MC,0.45)),_xll.VoseSimPercentile(Claims_MC,0.45),NA())</f>
        <v>5.8603091528238025</v>
      </c>
    </row>
    <row r="153" spans="2:3" hidden="1" outlineLevel="1" x14ac:dyDescent="0.45">
      <c r="B153" s="56">
        <v>0.46</v>
      </c>
      <c r="C153" s="55" cm="1">
        <f t="array" aca="1" ref="C153" ca="1">IF(ISNUMBER(_xll.VoseSimPercentile(Claims_MC,0.46)),_xll.VoseSimPercentile(Claims_MC,0.46),NA())</f>
        <v>5.8785613345831234</v>
      </c>
    </row>
    <row r="154" spans="2:3" hidden="1" outlineLevel="1" x14ac:dyDescent="0.45">
      <c r="B154" s="56">
        <v>0.47</v>
      </c>
      <c r="C154" s="55" cm="1">
        <f t="array" aca="1" ref="C154" ca="1">IF(ISNUMBER(_xll.VoseSimPercentile(Claims_MC,0.47)),_xll.VoseSimPercentile(Claims_MC,0.47),NA())</f>
        <v>5.8998066765871409</v>
      </c>
    </row>
    <row r="155" spans="2:3" hidden="1" outlineLevel="1" x14ac:dyDescent="0.45">
      <c r="B155" s="56">
        <v>0.48</v>
      </c>
      <c r="C155" s="55" cm="1">
        <f t="array" aca="1" ref="C155" ca="1">IF(ISNUMBER(_xll.VoseSimPercentile(Claims_MC,0.48)),_xll.VoseSimPercentile(Claims_MC,0.48),NA())</f>
        <v>5.9197849785617516</v>
      </c>
    </row>
    <row r="156" spans="2:3" hidden="1" outlineLevel="1" x14ac:dyDescent="0.45">
      <c r="B156" s="56">
        <v>0.49</v>
      </c>
      <c r="C156" s="55" cm="1">
        <f t="array" aca="1" ref="C156" ca="1">IF(ISNUMBER(_xll.VoseSimPercentile(Claims_MC,0.49)),_xll.VoseSimPercentile(Claims_MC,0.49),NA())</f>
        <v>5.9391960871623137</v>
      </c>
    </row>
    <row r="157" spans="2:3" hidden="1" outlineLevel="1" x14ac:dyDescent="0.45">
      <c r="B157" s="56">
        <v>0.5</v>
      </c>
      <c r="C157" s="55" cm="1">
        <f t="array" aca="1" ref="C157" ca="1">IF(ISNUMBER(_xll.VoseSimPercentile(Claims_MC,0.5)),_xll.VoseSimPercentile(Claims_MC,0.5),NA())</f>
        <v>5.9560254720205537</v>
      </c>
    </row>
    <row r="158" spans="2:3" hidden="1" outlineLevel="1" x14ac:dyDescent="0.45">
      <c r="B158" s="56">
        <v>0.51</v>
      </c>
      <c r="C158" s="55" cm="1">
        <f t="array" aca="1" ref="C158" ca="1">IF(ISNUMBER(_xll.VoseSimPercentile(Claims_MC,0.51)),_xll.VoseSimPercentile(Claims_MC,0.51),NA())</f>
        <v>5.9783099543673259</v>
      </c>
    </row>
    <row r="159" spans="2:3" hidden="1" outlineLevel="1" x14ac:dyDescent="0.45">
      <c r="B159" s="56">
        <v>0.52</v>
      </c>
      <c r="C159" s="55" cm="1">
        <f t="array" aca="1" ref="C159" ca="1">IF(ISNUMBER(_xll.VoseSimPercentile(Claims_MC,0.52)),_xll.VoseSimPercentile(Claims_MC,0.52),NA())</f>
        <v>5.9978190754123899</v>
      </c>
    </row>
    <row r="160" spans="2:3" hidden="1" outlineLevel="1" x14ac:dyDescent="0.45">
      <c r="B160" s="56">
        <v>0.53</v>
      </c>
      <c r="C160" s="55" cm="1">
        <f t="array" aca="1" ref="C160" ca="1">IF(ISNUMBER(_xll.VoseSimPercentile(Claims_MC,0.53)),_xll.VoseSimPercentile(Claims_MC,0.53),NA())</f>
        <v>6.0185500629709834</v>
      </c>
    </row>
    <row r="161" spans="2:3" hidden="1" outlineLevel="1" x14ac:dyDescent="0.45">
      <c r="B161" s="56">
        <v>0.54</v>
      </c>
      <c r="C161" s="55" cm="1">
        <f t="array" aca="1" ref="C161" ca="1">IF(ISNUMBER(_xll.VoseSimPercentile(Claims_MC,0.54)),_xll.VoseSimPercentile(Claims_MC,0.54),NA())</f>
        <v>6.0405253974621544</v>
      </c>
    </row>
    <row r="162" spans="2:3" hidden="1" outlineLevel="1" x14ac:dyDescent="0.45">
      <c r="B162" s="56">
        <v>0.55000000000000004</v>
      </c>
      <c r="C162" s="55" cm="1">
        <f t="array" aca="1" ref="C162" ca="1">IF(ISNUMBER(_xll.VoseSimPercentile(Claims_MC,0.55)),_xll.VoseSimPercentile(Claims_MC,0.55),NA())</f>
        <v>6.0571117024504426</v>
      </c>
    </row>
    <row r="163" spans="2:3" hidden="1" outlineLevel="1" x14ac:dyDescent="0.45">
      <c r="B163" s="56">
        <v>0.56000000000000005</v>
      </c>
      <c r="C163" s="55" cm="1">
        <f t="array" aca="1" ref="C163" ca="1">IF(ISNUMBER(_xll.VoseSimPercentile(Claims_MC,0.56)),_xll.VoseSimPercentile(Claims_MC,0.56),NA())</f>
        <v>6.0754971963369684</v>
      </c>
    </row>
    <row r="164" spans="2:3" hidden="1" outlineLevel="1" x14ac:dyDescent="0.45">
      <c r="B164" s="56">
        <v>0.56999999999999995</v>
      </c>
      <c r="C164" s="55" cm="1">
        <f t="array" aca="1" ref="C164" ca="1">IF(ISNUMBER(_xll.VoseSimPercentile(Claims_MC,0.57)),_xll.VoseSimPercentile(Claims_MC,0.57),NA())</f>
        <v>6.0908618812165836</v>
      </c>
    </row>
    <row r="165" spans="2:3" hidden="1" outlineLevel="1" x14ac:dyDescent="0.45">
      <c r="B165" s="56">
        <v>0.57999999999999996</v>
      </c>
      <c r="C165" s="55" cm="1">
        <f t="array" aca="1" ref="C165" ca="1">IF(ISNUMBER(_xll.VoseSimPercentile(Claims_MC,0.58)),_xll.VoseSimPercentile(Claims_MC,0.58),NA())</f>
        <v>6.1102659054962656</v>
      </c>
    </row>
    <row r="166" spans="2:3" hidden="1" outlineLevel="1" x14ac:dyDescent="0.45">
      <c r="B166" s="56">
        <v>0.59</v>
      </c>
      <c r="C166" s="55" cm="1">
        <f t="array" aca="1" ref="C166" ca="1">IF(ISNUMBER(_xll.VoseSimPercentile(Claims_MC,0.59)),_xll.VoseSimPercentile(Claims_MC,0.59),NA())</f>
        <v>6.1332087765401928</v>
      </c>
    </row>
    <row r="167" spans="2:3" hidden="1" outlineLevel="1" x14ac:dyDescent="0.45">
      <c r="B167" s="56">
        <v>0.6</v>
      </c>
      <c r="C167" s="55" cm="1">
        <f t="array" aca="1" ref="C167" ca="1">IF(ISNUMBER(_xll.VoseSimPercentile(Claims_MC,0.6)),_xll.VoseSimPercentile(Claims_MC,0.6),NA())</f>
        <v>6.15220178383343</v>
      </c>
    </row>
    <row r="168" spans="2:3" hidden="1" outlineLevel="1" x14ac:dyDescent="0.45">
      <c r="B168" s="56">
        <v>0.61</v>
      </c>
      <c r="C168" s="55" cm="1">
        <f t="array" aca="1" ref="C168" ca="1">IF(ISNUMBER(_xll.VoseSimPercentile(Claims_MC,0.61)),_xll.VoseSimPercentile(Claims_MC,0.61),NA())</f>
        <v>6.1769875493860553</v>
      </c>
    </row>
    <row r="169" spans="2:3" hidden="1" outlineLevel="1" x14ac:dyDescent="0.45">
      <c r="B169" s="56">
        <v>0.62</v>
      </c>
      <c r="C169" s="55" cm="1">
        <f t="array" aca="1" ref="C169" ca="1">IF(ISNUMBER(_xll.VoseSimPercentile(Claims_MC,0.62)),_xll.VoseSimPercentile(Claims_MC,0.62),NA())</f>
        <v>6.1982053772150731</v>
      </c>
    </row>
    <row r="170" spans="2:3" hidden="1" outlineLevel="1" x14ac:dyDescent="0.45">
      <c r="B170" s="56">
        <v>0.63</v>
      </c>
      <c r="C170" s="55" cm="1">
        <f t="array" aca="1" ref="C170" ca="1">IF(ISNUMBER(_xll.VoseSimPercentile(Claims_MC,0.63)),_xll.VoseSimPercentile(Claims_MC,0.63),NA())</f>
        <v>6.2155961104243795</v>
      </c>
    </row>
    <row r="171" spans="2:3" hidden="1" outlineLevel="1" x14ac:dyDescent="0.45">
      <c r="B171" s="56">
        <v>0.64</v>
      </c>
      <c r="C171" s="55" cm="1">
        <f t="array" aca="1" ref="C171" ca="1">IF(ISNUMBER(_xll.VoseSimPercentile(Claims_MC,0.64)),_xll.VoseSimPercentile(Claims_MC,0.64),NA())</f>
        <v>6.2354233696686574</v>
      </c>
    </row>
    <row r="172" spans="2:3" hidden="1" outlineLevel="1" x14ac:dyDescent="0.45">
      <c r="B172" s="56">
        <v>0.65</v>
      </c>
      <c r="C172" s="55" cm="1">
        <f t="array" aca="1" ref="C172" ca="1">IF(ISNUMBER(_xll.VoseSimPercentile(Claims_MC,0.65)),_xll.VoseSimPercentile(Claims_MC,0.65),NA())</f>
        <v>6.2531407819776259</v>
      </c>
    </row>
    <row r="173" spans="2:3" hidden="1" outlineLevel="1" x14ac:dyDescent="0.45">
      <c r="B173" s="56">
        <v>0.66</v>
      </c>
      <c r="C173" s="55" cm="1">
        <f t="array" aca="1" ref="C173" ca="1">IF(ISNUMBER(_xll.VoseSimPercentile(Claims_MC,0.66)),_xll.VoseSimPercentile(Claims_MC,0.66),NA())</f>
        <v>6.2718496495636478</v>
      </c>
    </row>
    <row r="174" spans="2:3" hidden="1" outlineLevel="1" x14ac:dyDescent="0.45">
      <c r="B174" s="56">
        <v>0.67</v>
      </c>
      <c r="C174" s="55" cm="1">
        <f t="array" aca="1" ref="C174" ca="1">IF(ISNUMBER(_xll.VoseSimPercentile(Claims_MC,0.67)),_xll.VoseSimPercentile(Claims_MC,0.67),NA())</f>
        <v>6.2910175967101978</v>
      </c>
    </row>
    <row r="175" spans="2:3" hidden="1" outlineLevel="1" x14ac:dyDescent="0.45">
      <c r="B175" s="56">
        <v>0.68</v>
      </c>
      <c r="C175" s="55" cm="1">
        <f t="array" aca="1" ref="C175" ca="1">IF(ISNUMBER(_xll.VoseSimPercentile(Claims_MC,0.68)),_xll.VoseSimPercentile(Claims_MC,0.68),NA())</f>
        <v>6.3109171918120106</v>
      </c>
    </row>
    <row r="176" spans="2:3" hidden="1" outlineLevel="1" x14ac:dyDescent="0.45">
      <c r="B176" s="56">
        <v>0.69</v>
      </c>
      <c r="C176" s="55" cm="1">
        <f t="array" aca="1" ref="C176" ca="1">IF(ISNUMBER(_xll.VoseSimPercentile(Claims_MC,0.69)),_xll.VoseSimPercentile(Claims_MC,0.69),NA())</f>
        <v>6.3325922309151137</v>
      </c>
    </row>
    <row r="177" spans="2:3" hidden="1" outlineLevel="1" x14ac:dyDescent="0.45">
      <c r="B177" s="56">
        <v>0.7</v>
      </c>
      <c r="C177" s="55" cm="1">
        <f t="array" aca="1" ref="C177" ca="1">IF(ISNUMBER(_xll.VoseSimPercentile(Claims_MC,0.7)),_xll.VoseSimPercentile(Claims_MC,0.7),NA())</f>
        <v>6.3544205884122462</v>
      </c>
    </row>
    <row r="178" spans="2:3" hidden="1" outlineLevel="1" x14ac:dyDescent="0.45">
      <c r="B178" s="56">
        <v>0.71</v>
      </c>
      <c r="C178" s="55" cm="1">
        <f t="array" aca="1" ref="C178" ca="1">IF(ISNUMBER(_xll.VoseSimPercentile(Claims_MC,0.71)),_xll.VoseSimPercentile(Claims_MC,0.71),NA())</f>
        <v>6.3768944810517283</v>
      </c>
    </row>
    <row r="179" spans="2:3" hidden="1" outlineLevel="1" x14ac:dyDescent="0.45">
      <c r="B179" s="56">
        <v>0.72</v>
      </c>
      <c r="C179" s="55" cm="1">
        <f t="array" aca="1" ref="C179" ca="1">IF(ISNUMBER(_xll.VoseSimPercentile(Claims_MC,0.72)),_xll.VoseSimPercentile(Claims_MC,0.72),NA())</f>
        <v>6.4019435103620648</v>
      </c>
    </row>
    <row r="180" spans="2:3" hidden="1" outlineLevel="1" x14ac:dyDescent="0.45">
      <c r="B180" s="56">
        <v>0.73</v>
      </c>
      <c r="C180" s="55" cm="1">
        <f t="array" aca="1" ref="C180" ca="1">IF(ISNUMBER(_xll.VoseSimPercentile(Claims_MC,0.73)),_xll.VoseSimPercentile(Claims_MC,0.73),NA())</f>
        <v>6.4260077050921023</v>
      </c>
    </row>
    <row r="181" spans="2:3" hidden="1" outlineLevel="1" x14ac:dyDescent="0.45">
      <c r="B181" s="56">
        <v>0.74</v>
      </c>
      <c r="C181" s="55" cm="1">
        <f t="array" aca="1" ref="C181" ca="1">IF(ISNUMBER(_xll.VoseSimPercentile(Claims_MC,0.74)),_xll.VoseSimPercentile(Claims_MC,0.74),NA())</f>
        <v>6.4492632657748548</v>
      </c>
    </row>
    <row r="182" spans="2:3" hidden="1" outlineLevel="1" x14ac:dyDescent="0.45">
      <c r="B182" s="56">
        <v>0.75</v>
      </c>
      <c r="C182" s="55" cm="1">
        <f t="array" aca="1" ref="C182" ca="1">IF(ISNUMBER(_xll.VoseSimPercentile(Claims_MC,0.75)),_xll.VoseSimPercentile(Claims_MC,0.75),NA())</f>
        <v>6.4734307428761477</v>
      </c>
    </row>
    <row r="183" spans="2:3" hidden="1" outlineLevel="1" x14ac:dyDescent="0.45">
      <c r="B183" s="56">
        <v>0.76</v>
      </c>
      <c r="C183" s="55" cm="1">
        <f t="array" aca="1" ref="C183" ca="1">IF(ISNUMBER(_xll.VoseSimPercentile(Claims_MC,0.76)),_xll.VoseSimPercentile(Claims_MC,0.76),NA())</f>
        <v>6.4976478662782027</v>
      </c>
    </row>
    <row r="184" spans="2:3" hidden="1" outlineLevel="1" x14ac:dyDescent="0.45">
      <c r="B184" s="56">
        <v>0.77</v>
      </c>
      <c r="C184" s="55" cm="1">
        <f t="array" aca="1" ref="C184" ca="1">IF(ISNUMBER(_xll.VoseSimPercentile(Claims_MC,0.77)),_xll.VoseSimPercentile(Claims_MC,0.77),NA())</f>
        <v>6.5225181116703039</v>
      </c>
    </row>
    <row r="185" spans="2:3" hidden="1" outlineLevel="1" x14ac:dyDescent="0.45">
      <c r="B185" s="56">
        <v>0.78</v>
      </c>
      <c r="C185" s="55" cm="1">
        <f t="array" aca="1" ref="C185" ca="1">IF(ISNUMBER(_xll.VoseSimPercentile(Claims_MC,0.78)),_xll.VoseSimPercentile(Claims_MC,0.78),NA())</f>
        <v>6.5480708539248349</v>
      </c>
    </row>
    <row r="186" spans="2:3" hidden="1" outlineLevel="1" x14ac:dyDescent="0.45">
      <c r="B186" s="56">
        <v>0.79</v>
      </c>
      <c r="C186" s="55" cm="1">
        <f t="array" aca="1" ref="C186" ca="1">IF(ISNUMBER(_xll.VoseSimPercentile(Claims_MC,0.79)),_xll.VoseSimPercentile(Claims_MC,0.79),NA())</f>
        <v>6.5760724186866044</v>
      </c>
    </row>
    <row r="187" spans="2:3" hidden="1" outlineLevel="1" x14ac:dyDescent="0.45">
      <c r="B187" s="56">
        <v>0.8</v>
      </c>
      <c r="C187" s="55" cm="1">
        <f t="array" aca="1" ref="C187" ca="1">IF(ISNUMBER(_xll.VoseSimPercentile(Claims_MC,0.8)),_xll.VoseSimPercentile(Claims_MC,0.8),NA())</f>
        <v>6.6047378916292745</v>
      </c>
    </row>
    <row r="188" spans="2:3" hidden="1" outlineLevel="1" x14ac:dyDescent="0.45">
      <c r="B188" s="56">
        <v>0.81</v>
      </c>
      <c r="C188" s="55" cm="1">
        <f t="array" aca="1" ref="C188" ca="1">IF(ISNUMBER(_xll.VoseSimPercentile(Claims_MC,0.81)),_xll.VoseSimPercentile(Claims_MC,0.81),NA())</f>
        <v>6.6368629997592334</v>
      </c>
    </row>
    <row r="189" spans="2:3" hidden="1" outlineLevel="1" x14ac:dyDescent="0.45">
      <c r="B189" s="56">
        <v>0.82</v>
      </c>
      <c r="C189" s="55" cm="1">
        <f t="array" aca="1" ref="C189" ca="1">IF(ISNUMBER(_xll.VoseSimPercentile(Claims_MC,0.82)),_xll.VoseSimPercentile(Claims_MC,0.82),NA())</f>
        <v>6.6691047922818605</v>
      </c>
    </row>
    <row r="190" spans="2:3" hidden="1" outlineLevel="1" x14ac:dyDescent="0.45">
      <c r="B190" s="56">
        <v>0.83</v>
      </c>
      <c r="C190" s="55" cm="1">
        <f t="array" aca="1" ref="C190" ca="1">IF(ISNUMBER(_xll.VoseSimPercentile(Claims_MC,0.83)),_xll.VoseSimPercentile(Claims_MC,0.83),NA())</f>
        <v>6.7036446351085646</v>
      </c>
    </row>
    <row r="191" spans="2:3" hidden="1" outlineLevel="1" x14ac:dyDescent="0.45">
      <c r="B191" s="56">
        <v>0.84</v>
      </c>
      <c r="C191" s="55" cm="1">
        <f t="array" aca="1" ref="C191" ca="1">IF(ISNUMBER(_xll.VoseSimPercentile(Claims_MC,0.84)),_xll.VoseSimPercentile(Claims_MC,0.84),NA())</f>
        <v>6.7367027719475185</v>
      </c>
    </row>
    <row r="192" spans="2:3" hidden="1" outlineLevel="1" x14ac:dyDescent="0.45">
      <c r="B192" s="56">
        <v>0.85</v>
      </c>
      <c r="C192" s="55" cm="1">
        <f t="array" aca="1" ref="C192" ca="1">IF(ISNUMBER(_xll.VoseSimPercentile(Claims_MC,0.85)),_xll.VoseSimPercentile(Claims_MC,0.85),NA())</f>
        <v>6.7713087738293707</v>
      </c>
    </row>
    <row r="193" spans="2:3" hidden="1" outlineLevel="1" x14ac:dyDescent="0.45">
      <c r="B193" s="56">
        <v>0.86</v>
      </c>
      <c r="C193" s="55" cm="1">
        <f t="array" aca="1" ref="C193" ca="1">IF(ISNUMBER(_xll.VoseSimPercentile(Claims_MC,0.86)),_xll.VoseSimPercentile(Claims_MC,0.86),NA())</f>
        <v>6.8029824102733771</v>
      </c>
    </row>
    <row r="194" spans="2:3" hidden="1" outlineLevel="1" x14ac:dyDescent="0.45">
      <c r="B194" s="56">
        <v>0.87</v>
      </c>
      <c r="C194" s="55" cm="1">
        <f t="array" aca="1" ref="C194" ca="1">IF(ISNUMBER(_xll.VoseSimPercentile(Claims_MC,0.87)),_xll.VoseSimPercentile(Claims_MC,0.87),NA())</f>
        <v>6.8443088269710826</v>
      </c>
    </row>
    <row r="195" spans="2:3" hidden="1" outlineLevel="1" x14ac:dyDescent="0.45">
      <c r="B195" s="56">
        <v>0.88</v>
      </c>
      <c r="C195" s="55" cm="1">
        <f t="array" aca="1" ref="C195" ca="1">IF(ISNUMBER(_xll.VoseSimPercentile(Claims_MC,0.88)),_xll.VoseSimPercentile(Claims_MC,0.88),NA())</f>
        <v>6.8832741860981868</v>
      </c>
    </row>
    <row r="196" spans="2:3" hidden="1" outlineLevel="1" x14ac:dyDescent="0.45">
      <c r="B196" s="56">
        <v>0.89</v>
      </c>
      <c r="C196" s="55" cm="1">
        <f t="array" aca="1" ref="C196" ca="1">IF(ISNUMBER(_xll.VoseSimPercentile(Claims_MC,0.89)),_xll.VoseSimPercentile(Claims_MC,0.89),NA())</f>
        <v>6.928288461850264</v>
      </c>
    </row>
    <row r="197" spans="2:3" hidden="1" outlineLevel="1" x14ac:dyDescent="0.45">
      <c r="B197" s="56">
        <v>0.9</v>
      </c>
      <c r="C197" s="55" cm="1">
        <f t="array" aca="1" ref="C197" ca="1">IF(ISNUMBER(_xll.VoseSimPercentile(Claims_MC,0.9)),_xll.VoseSimPercentile(Claims_MC,0.9),NA())</f>
        <v>6.9697533703024552</v>
      </c>
    </row>
    <row r="198" spans="2:3" hidden="1" outlineLevel="1" x14ac:dyDescent="0.45">
      <c r="B198" s="56">
        <v>0.91</v>
      </c>
      <c r="C198" s="55" cm="1">
        <f t="array" aca="1" ref="C198" ca="1">IF(ISNUMBER(_xll.VoseSimPercentile(Claims_MC,0.91)),_xll.VoseSimPercentile(Claims_MC,0.91),NA())</f>
        <v>7.0333830544865297</v>
      </c>
    </row>
    <row r="199" spans="2:3" hidden="1" outlineLevel="1" x14ac:dyDescent="0.45">
      <c r="B199" s="56">
        <v>0.92</v>
      </c>
      <c r="C199" s="55" cm="1">
        <f t="array" aca="1" ref="C199" ca="1">IF(ISNUMBER(_xll.VoseSimPercentile(Claims_MC,0.92)),_xll.VoseSimPercentile(Claims_MC,0.92),NA())</f>
        <v>7.0889145749401745</v>
      </c>
    </row>
    <row r="200" spans="2:3" hidden="1" outlineLevel="1" x14ac:dyDescent="0.45">
      <c r="B200" s="56">
        <v>0.93</v>
      </c>
      <c r="C200" s="55" cm="1">
        <f t="array" aca="1" ref="C200" ca="1">IF(ISNUMBER(_xll.VoseSimPercentile(Claims_MC,0.93)),_xll.VoseSimPercentile(Claims_MC,0.93),NA())</f>
        <v>7.1463086880323194</v>
      </c>
    </row>
    <row r="201" spans="2:3" hidden="1" outlineLevel="1" x14ac:dyDescent="0.45">
      <c r="B201" s="56">
        <v>0.94</v>
      </c>
      <c r="C201" s="55" cm="1">
        <f t="array" aca="1" ref="C201" ca="1">IF(ISNUMBER(_xll.VoseSimPercentile(Claims_MC,0.94)),_xll.VoseSimPercentile(Claims_MC,0.94),NA())</f>
        <v>7.215645801426402</v>
      </c>
    </row>
    <row r="202" spans="2:3" hidden="1" outlineLevel="1" x14ac:dyDescent="0.45">
      <c r="B202" s="56">
        <v>0.95</v>
      </c>
      <c r="C202" s="55" cm="1">
        <f t="array" aca="1" ref="C202" ca="1">IF(ISNUMBER(_xll.VoseSimPercentile(Claims_MC,0.95)),_xll.VoseSimPercentile(Claims_MC,0.95),NA())</f>
        <v>7.2979646682007537</v>
      </c>
    </row>
    <row r="203" spans="2:3" hidden="1" outlineLevel="1" x14ac:dyDescent="0.45">
      <c r="B203" s="56">
        <v>0.96</v>
      </c>
      <c r="C203" s="55" cm="1">
        <f t="array" aca="1" ref="C203" ca="1">IF(ISNUMBER(_xll.VoseSimPercentile(Claims_MC,0.96)),_xll.VoseSimPercentile(Claims_MC,0.96),NA())</f>
        <v>7.3758838890192058</v>
      </c>
    </row>
    <row r="204" spans="2:3" hidden="1" outlineLevel="1" x14ac:dyDescent="0.45">
      <c r="B204" s="56">
        <v>0.97</v>
      </c>
      <c r="C204" s="55" cm="1">
        <f t="array" aca="1" ref="C204" ca="1">IF(ISNUMBER(_xll.VoseSimPercentile(Claims_MC,0.97)),_xll.VoseSimPercentile(Claims_MC,0.97),NA())</f>
        <v>7.4961728004540458</v>
      </c>
    </row>
    <row r="205" spans="2:3" hidden="1" outlineLevel="1" x14ac:dyDescent="0.45">
      <c r="B205" s="56">
        <v>0.98</v>
      </c>
      <c r="C205" s="55" cm="1">
        <f t="array" aca="1" ref="C205" ca="1">IF(ISNUMBER(_xll.VoseSimPercentile(Claims_MC,0.98)),_xll.VoseSimPercentile(Claims_MC,0.98),NA())</f>
        <v>7.659027764544132</v>
      </c>
    </row>
    <row r="206" spans="2:3" hidden="1" outlineLevel="1" x14ac:dyDescent="0.45">
      <c r="B206" s="56">
        <v>0.99</v>
      </c>
      <c r="C206" s="55" cm="1">
        <f t="array" aca="1" ref="C206" ca="1">IF(ISNUMBER(_xll.VoseSimPercentile(Claims_MC,0.99)),_xll.VoseSimPercentile(Claims_MC,0.99),NA())</f>
        <v>7.9218372626916027</v>
      </c>
    </row>
    <row r="207" spans="2:3" hidden="1" outlineLevel="1" x14ac:dyDescent="0.45">
      <c r="B207" s="56">
        <v>0.995</v>
      </c>
      <c r="C207" s="55" cm="1">
        <f t="array" aca="1" ref="C207" ca="1">IF(ISNUMBER(_xll.VoseSimPercentile(Claims_MC,0.995)),_xll.VoseSimPercentile(Claims_MC,0.995),NA())</f>
        <v>8.1564065117708342</v>
      </c>
    </row>
    <row r="208" spans="2:3" hidden="1" outlineLevel="1" x14ac:dyDescent="0.45"/>
    <row r="209" spans="2:7" ht="18" hidden="1" customHeight="1" outlineLevel="1" x14ac:dyDescent="0.45">
      <c r="B209" s="23" t="s">
        <v>201</v>
      </c>
      <c r="C209" s="24" t="s">
        <v>202</v>
      </c>
      <c r="D209" s="24" t="s">
        <v>203</v>
      </c>
      <c r="E209" s="24" t="s">
        <v>204</v>
      </c>
      <c r="F209" s="24" t="s">
        <v>205</v>
      </c>
      <c r="G209" s="24" t="s">
        <v>206</v>
      </c>
    </row>
    <row r="210" spans="2:7" hidden="1" outlineLevel="1" x14ac:dyDescent="0.45">
      <c r="B210" s="57">
        <v>0</v>
      </c>
      <c r="C210" s="55">
        <f ca="1">IF(ISNUMBER($C$107),$C$107+($C$207-$C$107)*0/24,NA())</f>
        <v>4.2742511309938704</v>
      </c>
      <c r="D210" s="58">
        <f t="shared" ref="D210:D234" ca="1" si="2">IF(ISNUMBER(C210),MATCH(C210,$C$107:$C$207,1),NA())</f>
        <v>1</v>
      </c>
      <c r="E210" s="55">
        <f t="shared" ref="E210:E233" ca="1" si="3">IF(ISNUMBER(C210),(C210+C211)/2,NA())</f>
        <v>4.3551293680933902</v>
      </c>
      <c r="F210" s="56">
        <f t="shared" ref="F210:F233" ca="1" si="4">IF(ISNUMBER(G211),G211-G210,NA())</f>
        <v>7.3333366632277438E-3</v>
      </c>
      <c r="G210" s="56" cm="1">
        <f t="array" aca="1" ref="G210" ca="1">IF(ISNUMBER(D210),IF(D210&gt;=101,INDEX($B$107:$B$207,101),INDEX($B$107:$B$207,D210)+(C210-INDEX($C$107:$C$207,D210))/MAX(0.000000000001,INDEX($C$107:$C$207,D210+1)-INDEX($C$107:$C$207,D210))*(INDEX($B$107:$B$207,D210+1)-INDEX($B$107:$B$207,D210))),NA())</f>
        <v>5.0000000000000001E-3</v>
      </c>
    </row>
    <row r="211" spans="2:7" hidden="1" outlineLevel="1" x14ac:dyDescent="0.45">
      <c r="B211" s="57">
        <v>1</v>
      </c>
      <c r="C211" s="55">
        <f ca="1">IF(ISNUMBER($C$107),$C$107+($C$207-$C$107)*1/24,NA())</f>
        <v>4.4360076051929109</v>
      </c>
      <c r="D211" s="58">
        <f t="shared" ca="1" si="2"/>
        <v>2</v>
      </c>
      <c r="E211" s="55">
        <f t="shared" ca="1" si="3"/>
        <v>4.5168858422924307</v>
      </c>
      <c r="F211" s="56">
        <f t="shared" ca="1" si="4"/>
        <v>1.0678719164424345E-2</v>
      </c>
      <c r="G211" s="56" cm="1">
        <f t="array" aca="1" ref="G211" ca="1">IF(ISNUMBER(D211),IF(D211&gt;=101,INDEX($B$107:$B$207,101),INDEX($B$107:$B$207,D211)+(C211-INDEX($C$107:$C$207,D211))/MAX(0.000000000001,INDEX($C$107:$C$207,D211+1)-INDEX($C$107:$C$207,D211))*(INDEX($B$107:$B$207,D211+1)-INDEX($B$107:$B$207,D211))),NA())</f>
        <v>1.2333336663227744E-2</v>
      </c>
    </row>
    <row r="212" spans="2:7" hidden="1" outlineLevel="1" x14ac:dyDescent="0.45">
      <c r="B212" s="57">
        <v>2</v>
      </c>
      <c r="C212" s="55">
        <f ca="1">IF(ISNUMBER($C$107),$C$107+($C$207-$C$107)*2/24,NA())</f>
        <v>4.5977640793919505</v>
      </c>
      <c r="D212" s="58">
        <f t="shared" ca="1" si="2"/>
        <v>3</v>
      </c>
      <c r="E212" s="55">
        <f t="shared" ca="1" si="3"/>
        <v>4.6786423164914712</v>
      </c>
      <c r="F212" s="56">
        <f t="shared" ca="1" si="4"/>
        <v>1.9819602382920382E-2</v>
      </c>
      <c r="G212" s="56" cm="1">
        <f t="array" aca="1" ref="G212" ca="1">IF(ISNUMBER(D212),IF(D212&gt;=101,INDEX($B$107:$B$207,101),INDEX($B$107:$B$207,D212)+(C212-INDEX($C$107:$C$207,D212))/MAX(0.000000000001,INDEX($C$107:$C$207,D212+1)-INDEX($C$107:$C$207,D212))*(INDEX($B$107:$B$207,D212+1)-INDEX($B$107:$B$207,D212))),NA())</f>
        <v>2.3012055827652089E-2</v>
      </c>
    </row>
    <row r="213" spans="2:7" hidden="1" outlineLevel="1" x14ac:dyDescent="0.45">
      <c r="B213" s="57">
        <v>3</v>
      </c>
      <c r="C213" s="55">
        <f ca="1">IF(ISNUMBER($C$107),$C$107+($C$207-$C$107)*3/24,NA())</f>
        <v>4.759520553590991</v>
      </c>
      <c r="D213" s="58">
        <f t="shared" ca="1" si="2"/>
        <v>5</v>
      </c>
      <c r="E213" s="55">
        <f t="shared" ca="1" si="3"/>
        <v>4.8403987906905108</v>
      </c>
      <c r="F213" s="56">
        <f t="shared" ca="1" si="4"/>
        <v>2.7475947214399124E-2</v>
      </c>
      <c r="G213" s="56" cm="1">
        <f t="array" aca="1" ref="G213" ca="1">IF(ISNUMBER(D213),IF(D213&gt;=101,INDEX($B$107:$B$207,101),INDEX($B$107:$B$207,D213)+(C213-INDEX($C$107:$C$207,D213))/MAX(0.000000000001,INDEX($C$107:$C$207,D213+1)-INDEX($C$107:$C$207,D213))*(INDEX($B$107:$B$207,D213+1)-INDEX($B$107:$B$207,D213))),NA())</f>
        <v>4.2831658210572471E-2</v>
      </c>
    </row>
    <row r="214" spans="2:7" hidden="1" outlineLevel="1" x14ac:dyDescent="0.45">
      <c r="B214" s="57">
        <v>4</v>
      </c>
      <c r="C214" s="55">
        <f ca="1">IF(ISNUMBER($C$107),$C$107+($C$207-$C$107)*4/24,NA())</f>
        <v>4.9212770277900315</v>
      </c>
      <c r="D214" s="58">
        <f t="shared" ca="1" si="2"/>
        <v>8</v>
      </c>
      <c r="E214" s="55">
        <f t="shared" ca="1" si="3"/>
        <v>5.0021552648895513</v>
      </c>
      <c r="F214" s="56">
        <f t="shared" ca="1" si="4"/>
        <v>3.9427559102501605E-2</v>
      </c>
      <c r="G214" s="56" cm="1">
        <f t="array" aca="1" ref="G214" ca="1">IF(ISNUMBER(D214),IF(D214&gt;=101,INDEX($B$107:$B$207,101),INDEX($B$107:$B$207,D214)+(C214-INDEX($C$107:$C$207,D214))/MAX(0.000000000001,INDEX($C$107:$C$207,D214+1)-INDEX($C$107:$C$207,D214))*(INDEX($B$107:$B$207,D214+1)-INDEX($B$107:$B$207,D214))),NA())</f>
        <v>7.0307605424971595E-2</v>
      </c>
    </row>
    <row r="215" spans="2:7" hidden="1" outlineLevel="1" x14ac:dyDescent="0.45">
      <c r="B215" s="57">
        <v>5</v>
      </c>
      <c r="C215" s="55">
        <f ca="1">IF(ISNUMBER($C$107),$C$107+($C$207-$C$107)*5/24,NA())</f>
        <v>5.0830335019890711</v>
      </c>
      <c r="D215" s="58">
        <f t="shared" ca="1" si="2"/>
        <v>11</v>
      </c>
      <c r="E215" s="55">
        <f t="shared" ca="1" si="3"/>
        <v>5.1639117390885918</v>
      </c>
      <c r="F215" s="56">
        <f t="shared" ca="1" si="4"/>
        <v>4.8856883280043034E-2</v>
      </c>
      <c r="G215" s="56" cm="1">
        <f t="array" aca="1" ref="G215" ca="1">IF(ISNUMBER(D215),IF(D215&gt;=101,INDEX($B$107:$B$207,101),INDEX($B$107:$B$207,D215)+(C215-INDEX($C$107:$C$207,D215))/MAX(0.000000000001,INDEX($C$107:$C$207,D215+1)-INDEX($C$107:$C$207,D215))*(INDEX($B$107:$B$207,D215+1)-INDEX($B$107:$B$207,D215))),NA())</f>
        <v>0.1097351645274732</v>
      </c>
    </row>
    <row r="216" spans="2:7" hidden="1" outlineLevel="1" x14ac:dyDescent="0.45">
      <c r="B216" s="57">
        <v>6</v>
      </c>
      <c r="C216" s="55">
        <f ca="1">IF(ISNUMBER($C$107),$C$107+($C$207-$C$107)*6/24,NA())</f>
        <v>5.2447899761881116</v>
      </c>
      <c r="D216" s="58">
        <f t="shared" ca="1" si="2"/>
        <v>16</v>
      </c>
      <c r="E216" s="55">
        <f t="shared" ca="1" si="3"/>
        <v>5.3256682132876314</v>
      </c>
      <c r="F216" s="56">
        <f t="shared" ca="1" si="4"/>
        <v>6.2063110065113336E-2</v>
      </c>
      <c r="G216" s="56" cm="1">
        <f t="array" aca="1" ref="G216" ca="1">IF(ISNUMBER(D216),IF(D216&gt;=101,INDEX($B$107:$B$207,101),INDEX($B$107:$B$207,D216)+(C216-INDEX($C$107:$C$207,D216))/MAX(0.000000000001,INDEX($C$107:$C$207,D216+1)-INDEX($C$107:$C$207,D216))*(INDEX($B$107:$B$207,D216+1)-INDEX($B$107:$B$207,D216))),NA())</f>
        <v>0.15859204780751623</v>
      </c>
    </row>
    <row r="217" spans="2:7" hidden="1" outlineLevel="1" x14ac:dyDescent="0.45">
      <c r="B217" s="57">
        <v>7</v>
      </c>
      <c r="C217" s="55">
        <f ca="1">IF(ISNUMBER($C$107),$C$107+($C$207-$C$107)*7/24,NA())</f>
        <v>5.4065464503871512</v>
      </c>
      <c r="D217" s="58">
        <f t="shared" ca="1" si="2"/>
        <v>23</v>
      </c>
      <c r="E217" s="55">
        <f t="shared" ca="1" si="3"/>
        <v>5.487424687486671</v>
      </c>
      <c r="F217" s="56">
        <f t="shared" ca="1" si="4"/>
        <v>7.6623006326780652E-2</v>
      </c>
      <c r="G217" s="56" cm="1">
        <f t="array" aca="1" ref="G217" ca="1">IF(ISNUMBER(D217),IF(D217&gt;=101,INDEX($B$107:$B$207,101),INDEX($B$107:$B$207,D217)+(C217-INDEX($C$107:$C$207,D217))/MAX(0.000000000001,INDEX($C$107:$C$207,D217+1)-INDEX($C$107:$C$207,D217))*(INDEX($B$107:$B$207,D217+1)-INDEX($B$107:$B$207,D217))),NA())</f>
        <v>0.22065515787262957</v>
      </c>
    </row>
    <row r="218" spans="2:7" hidden="1" outlineLevel="1" x14ac:dyDescent="0.45">
      <c r="B218" s="57">
        <v>8</v>
      </c>
      <c r="C218" s="55">
        <f ca="1">IF(ISNUMBER($C$107),$C$107+($C$207-$C$107)*8/24,NA())</f>
        <v>5.5683029245861917</v>
      </c>
      <c r="D218" s="58">
        <f t="shared" ca="1" si="2"/>
        <v>30</v>
      </c>
      <c r="E218" s="55">
        <f t="shared" ca="1" si="3"/>
        <v>5.6491811616857124</v>
      </c>
      <c r="F218" s="56">
        <f t="shared" ca="1" si="4"/>
        <v>8.144234417982732E-2</v>
      </c>
      <c r="G218" s="56" cm="1">
        <f t="array" aca="1" ref="G218" ca="1">IF(ISNUMBER(D218),IF(D218&gt;=101,INDEX($B$107:$B$207,101),INDEX($B$107:$B$207,D218)+(C218-INDEX($C$107:$C$207,D218))/MAX(0.000000000001,INDEX($C$107:$C$207,D218+1)-INDEX($C$107:$C$207,D218))*(INDEX($B$107:$B$207,D218+1)-INDEX($B$107:$B$207,D218))),NA())</f>
        <v>0.29727816419941022</v>
      </c>
    </row>
    <row r="219" spans="2:7" hidden="1" outlineLevel="1" x14ac:dyDescent="0.45">
      <c r="B219" s="57">
        <v>9</v>
      </c>
      <c r="C219" s="55">
        <f ca="1">IF(ISNUMBER($C$107),$C$107+($C$207-$C$107)*9/24,NA())</f>
        <v>5.7300593987852322</v>
      </c>
      <c r="D219" s="58">
        <f t="shared" ca="1" si="2"/>
        <v>38</v>
      </c>
      <c r="E219" s="55">
        <f t="shared" ca="1" si="3"/>
        <v>5.810937635884752</v>
      </c>
      <c r="F219" s="56">
        <f t="shared" ca="1" si="4"/>
        <v>8.7518288999802962E-2</v>
      </c>
      <c r="G219" s="56" cm="1">
        <f t="array" aca="1" ref="G219" ca="1">IF(ISNUMBER(D219),IF(D219&gt;=101,INDEX($B$107:$B$207,101),INDEX($B$107:$B$207,D219)+(C219-INDEX($C$107:$C$207,D219))/MAX(0.000000000001,INDEX($C$107:$C$207,D219+1)-INDEX($C$107:$C$207,D219))*(INDEX($B$107:$B$207,D219+1)-INDEX($B$107:$B$207,D219))),NA())</f>
        <v>0.37872050837923754</v>
      </c>
    </row>
    <row r="220" spans="2:7" hidden="1" outlineLevel="1" x14ac:dyDescent="0.45">
      <c r="B220" s="57">
        <v>10</v>
      </c>
      <c r="C220" s="55">
        <f ca="1">IF(ISNUMBER($C$107),$C$107+($C$207-$C$107)*10/24,NA())</f>
        <v>5.8918158729842718</v>
      </c>
      <c r="D220" s="58">
        <f t="shared" ca="1" si="2"/>
        <v>47</v>
      </c>
      <c r="E220" s="55">
        <f t="shared" ca="1" si="3"/>
        <v>5.9726941100837916</v>
      </c>
      <c r="F220" s="56">
        <f t="shared" ca="1" si="4"/>
        <v>8.1627300422953741E-2</v>
      </c>
      <c r="G220" s="56" cm="1">
        <f t="array" aca="1" ref="G220" ca="1">IF(ISNUMBER(D220),IF(D220&gt;=101,INDEX($B$107:$B$207,101),INDEX($B$107:$B$207,D220)+(C220-INDEX($C$107:$C$207,D220))/MAX(0.000000000001,INDEX($C$107:$C$207,D220+1)-INDEX($C$107:$C$207,D220))*(INDEX($B$107:$B$207,D220+1)-INDEX($B$107:$B$207,D220))),NA())</f>
        <v>0.4662387973790405</v>
      </c>
    </row>
    <row r="221" spans="2:7" hidden="1" outlineLevel="1" x14ac:dyDescent="0.45">
      <c r="B221" s="57">
        <v>11</v>
      </c>
      <c r="C221" s="55">
        <f ca="1">IF(ISNUMBER($C$107),$C$107+($C$207-$C$107)*11/24,NA())</f>
        <v>6.0535723471833123</v>
      </c>
      <c r="D221" s="58">
        <f t="shared" ca="1" si="2"/>
        <v>55</v>
      </c>
      <c r="E221" s="55">
        <f t="shared" ca="1" si="3"/>
        <v>6.1344505842828321</v>
      </c>
      <c r="F221" s="56">
        <f t="shared" ca="1" si="4"/>
        <v>8.1980205951383667E-2</v>
      </c>
      <c r="G221" s="56" cm="1">
        <f t="array" aca="1" ref="G221" ca="1">IF(ISNUMBER(D221),IF(D221&gt;=101,INDEX($B$107:$B$207,101),INDEX($B$107:$B$207,D221)+(C221-INDEX($C$107:$C$207,D221))/MAX(0.000000000001,INDEX($C$107:$C$207,D221+1)-INDEX($C$107:$C$207,D221))*(INDEX($B$107:$B$207,D221+1)-INDEX($B$107:$B$207,D221))),NA())</f>
        <v>0.54786609780199425</v>
      </c>
    </row>
    <row r="222" spans="2:7" hidden="1" outlineLevel="1" x14ac:dyDescent="0.45">
      <c r="B222" s="57">
        <v>12</v>
      </c>
      <c r="C222" s="55">
        <f ca="1">IF(ISNUMBER($C$107),$C$107+($C$207-$C$107)*12/24,NA())</f>
        <v>6.2153288213823519</v>
      </c>
      <c r="D222" s="58">
        <f t="shared" ca="1" si="2"/>
        <v>63</v>
      </c>
      <c r="E222" s="55">
        <f t="shared" ca="1" si="3"/>
        <v>6.2962070584818726</v>
      </c>
      <c r="F222" s="56">
        <f t="shared" ca="1" si="4"/>
        <v>8.0229872663400537E-2</v>
      </c>
      <c r="G222" s="56" cm="1">
        <f t="array" aca="1" ref="G222" ca="1">IF(ISNUMBER(D222),IF(D222&gt;=101,INDEX($B$107:$B$207,101),INDEX($B$107:$B$207,D222)+(C222-INDEX($C$107:$C$207,D222))/MAX(0.000000000001,INDEX($C$107:$C$207,D222+1)-INDEX($C$107:$C$207,D222))*(INDEX($B$107:$B$207,D222+1)-INDEX($B$107:$B$207,D222))),NA())</f>
        <v>0.62984630375337791</v>
      </c>
    </row>
    <row r="223" spans="2:7" hidden="1" outlineLevel="1" x14ac:dyDescent="0.45">
      <c r="B223" s="57">
        <v>13</v>
      </c>
      <c r="C223" s="55">
        <f ca="1">IF(ISNUMBER($C$107),$C$107+($C$207-$C$107)*13/24,NA())</f>
        <v>6.3770852955813924</v>
      </c>
      <c r="D223" s="58">
        <f t="shared" ca="1" si="2"/>
        <v>72</v>
      </c>
      <c r="E223" s="55">
        <f t="shared" ca="1" si="3"/>
        <v>6.4579635326809122</v>
      </c>
      <c r="F223" s="56">
        <f t="shared" ca="1" si="4"/>
        <v>6.6312045225943472E-2</v>
      </c>
      <c r="G223" s="56" cm="1">
        <f t="array" aca="1" ref="G223" ca="1">IF(ISNUMBER(D223),IF(D223&gt;=101,INDEX($B$107:$B$207,101),INDEX($B$107:$B$207,D223)+(C223-INDEX($C$107:$C$207,D223))/MAX(0.000000000001,INDEX($C$107:$C$207,D223+1)-INDEX($C$107:$C$207,D223))*(INDEX($B$107:$B$207,D223+1)-INDEX($B$107:$B$207,D223))),NA())</f>
        <v>0.71007617641677845</v>
      </c>
    </row>
    <row r="224" spans="2:7" hidden="1" outlineLevel="1" x14ac:dyDescent="0.45">
      <c r="B224" s="57">
        <v>14</v>
      </c>
      <c r="C224" s="55">
        <f ca="1">IF(ISNUMBER($C$107),$C$107+($C$207-$C$107)*14/24,NA())</f>
        <v>6.5388417697804329</v>
      </c>
      <c r="D224" s="58">
        <f t="shared" ca="1" si="2"/>
        <v>78</v>
      </c>
      <c r="E224" s="55">
        <f t="shared" ca="1" si="3"/>
        <v>6.6197200068799527</v>
      </c>
      <c r="F224" s="56">
        <f t="shared" ca="1" si="4"/>
        <v>5.2729785018635233E-2</v>
      </c>
      <c r="G224" s="56" cm="1">
        <f t="array" aca="1" ref="G224" ca="1">IF(ISNUMBER(D224),IF(D224&gt;=101,INDEX($B$107:$B$207,101),INDEX($B$107:$B$207,D224)+(C224-INDEX($C$107:$C$207,D224))/MAX(0.000000000001,INDEX($C$107:$C$207,D224+1)-INDEX($C$107:$C$207,D224))*(INDEX($B$107:$B$207,D224+1)-INDEX($B$107:$B$207,D224))),NA())</f>
        <v>0.77638822164272192</v>
      </c>
    </row>
    <row r="225" spans="2:7" hidden="1" outlineLevel="1" x14ac:dyDescent="0.45">
      <c r="B225" s="57">
        <v>15</v>
      </c>
      <c r="C225" s="55">
        <f ca="1">IF(ISNUMBER($C$107),$C$107+($C$207-$C$107)*15/24,NA())</f>
        <v>6.7005982439794725</v>
      </c>
      <c r="D225" s="58">
        <f t="shared" ca="1" si="2"/>
        <v>83</v>
      </c>
      <c r="E225" s="55">
        <f t="shared" ca="1" si="3"/>
        <v>6.7814764810789931</v>
      </c>
      <c r="F225" s="56">
        <f t="shared" ca="1" si="4"/>
        <v>4.5513258547456914E-2</v>
      </c>
      <c r="G225" s="56" cm="1">
        <f t="array" aca="1" ref="G225" ca="1">IF(ISNUMBER(D225),IF(D225&gt;=101,INDEX($B$107:$B$207,101),INDEX($B$107:$B$207,D225)+(C225-INDEX($C$107:$C$207,D225))/MAX(0.000000000001,INDEX($C$107:$C$207,D225+1)-INDEX($C$107:$C$207,D225))*(INDEX($B$107:$B$207,D225+1)-INDEX($B$107:$B$207,D225))),NA())</f>
        <v>0.82911800666135715</v>
      </c>
    </row>
    <row r="226" spans="2:7" hidden="1" outlineLevel="1" x14ac:dyDescent="0.45">
      <c r="B226" s="57">
        <v>16</v>
      </c>
      <c r="C226" s="55">
        <f ca="1">IF(ISNUMBER($C$107),$C$107+($C$207-$C$107)*16/24,NA())</f>
        <v>6.8623547181785129</v>
      </c>
      <c r="D226" s="58">
        <f t="shared" ca="1" si="2"/>
        <v>88</v>
      </c>
      <c r="E226" s="55">
        <f t="shared" ca="1" si="3"/>
        <v>6.9432329552780327</v>
      </c>
      <c r="F226" s="56">
        <f t="shared" ca="1" si="4"/>
        <v>3.3911574940737266E-2</v>
      </c>
      <c r="G226" s="56" cm="1">
        <f t="array" aca="1" ref="G226" ca="1">IF(ISNUMBER(D226),IF(D226&gt;=101,INDEX($B$107:$B$207,101),INDEX($B$107:$B$207,D226)+(C226-INDEX($C$107:$C$207,D226))/MAX(0.000000000001,INDEX($C$107:$C$207,D226+1)-INDEX($C$107:$C$207,D226))*(INDEX($B$107:$B$207,D226+1)-INDEX($B$107:$B$207,D226))),NA())</f>
        <v>0.87463126520881407</v>
      </c>
    </row>
    <row r="227" spans="2:7" hidden="1" outlineLevel="1" x14ac:dyDescent="0.45">
      <c r="B227" s="57">
        <v>17</v>
      </c>
      <c r="C227" s="55">
        <f ca="1">IF(ISNUMBER($C$107),$C$107+($C$207-$C$107)*17/24,NA())</f>
        <v>7.0241111923775534</v>
      </c>
      <c r="D227" s="58">
        <f t="shared" ca="1" si="2"/>
        <v>91</v>
      </c>
      <c r="E227" s="55">
        <f t="shared" ca="1" si="3"/>
        <v>7.1049894294770732</v>
      </c>
      <c r="F227" s="56">
        <f t="shared" ca="1" si="4"/>
        <v>2.7162470701714847E-2</v>
      </c>
      <c r="G227" s="56" cm="1">
        <f t="array" aca="1" ref="G227" ca="1">IF(ISNUMBER(D227),IF(D227&gt;=101,INDEX($B$107:$B$207,101),INDEX($B$107:$B$207,D227)+(C227-INDEX($C$107:$C$207,D227))/MAX(0.000000000001,INDEX($C$107:$C$207,D227+1)-INDEX($C$107:$C$207,D227))*(INDEX($B$107:$B$207,D227+1)-INDEX($B$107:$B$207,D227))),NA())</f>
        <v>0.90854284014955133</v>
      </c>
    </row>
    <row r="228" spans="2:7" hidden="1" outlineLevel="1" x14ac:dyDescent="0.45">
      <c r="B228" s="57">
        <v>18</v>
      </c>
      <c r="C228" s="55">
        <f ca="1">IF(ISNUMBER($C$107),$C$107+($C$207-$C$107)*18/24,NA())</f>
        <v>7.185867666576593</v>
      </c>
      <c r="D228" s="58">
        <f t="shared" ca="1" si="2"/>
        <v>94</v>
      </c>
      <c r="E228" s="55">
        <f t="shared" ca="1" si="3"/>
        <v>7.2667459036761137</v>
      </c>
      <c r="F228" s="56">
        <f t="shared" ca="1" si="4"/>
        <v>2.0667888476610052E-2</v>
      </c>
      <c r="G228" s="56" cm="1">
        <f t="array" aca="1" ref="G228" ca="1">IF(ISNUMBER(D228),IF(D228&gt;=101,INDEX($B$107:$B$207,101),INDEX($B$107:$B$207,D228)+(C228-INDEX($C$107:$C$207,D228))/MAX(0.000000000001,INDEX($C$107:$C$207,D228+1)-INDEX($C$107:$C$207,D228))*(INDEX($B$107:$B$207,D228+1)-INDEX($B$107:$B$207,D228))),NA())</f>
        <v>0.93570531085126618</v>
      </c>
    </row>
    <row r="229" spans="2:7" hidden="1" outlineLevel="1" x14ac:dyDescent="0.45">
      <c r="B229" s="57">
        <v>19</v>
      </c>
      <c r="C229" s="55">
        <f ca="1">IF(ISNUMBER($C$107),$C$107+($C$207-$C$107)*19/24,NA())</f>
        <v>7.3476241407756335</v>
      </c>
      <c r="D229" s="58">
        <f t="shared" ca="1" si="2"/>
        <v>96</v>
      </c>
      <c r="E229" s="55">
        <f t="shared" ca="1" si="3"/>
        <v>7.4285023778751533</v>
      </c>
      <c r="F229" s="56">
        <f t="shared" ca="1" si="4"/>
        <v>1.4437817677004361E-2</v>
      </c>
      <c r="G229" s="56" cm="1">
        <f t="array" aca="1" ref="G229" ca="1">IF(ISNUMBER(D229),IF(D229&gt;=101,INDEX($B$107:$B$207,101),INDEX($B$107:$B$207,D229)+(C229-INDEX($C$107:$C$207,D229))/MAX(0.000000000001,INDEX($C$107:$C$207,D229+1)-INDEX($C$107:$C$207,D229))*(INDEX($B$107:$B$207,D229+1)-INDEX($B$107:$B$207,D229))),NA())</f>
        <v>0.95637319932787623</v>
      </c>
    </row>
    <row r="230" spans="2:7" hidden="1" outlineLevel="1" x14ac:dyDescent="0.45">
      <c r="B230" s="57">
        <v>20</v>
      </c>
      <c r="C230" s="55">
        <f ca="1">IF(ISNUMBER($C$107),$C$107+($C$207-$C$107)*20/24,NA())</f>
        <v>7.509380614974674</v>
      </c>
      <c r="D230" s="58">
        <f t="shared" ca="1" si="2"/>
        <v>98</v>
      </c>
      <c r="E230" s="55">
        <f t="shared" ca="1" si="3"/>
        <v>7.5902588520741938</v>
      </c>
      <c r="F230" s="56">
        <f t="shared" ca="1" si="4"/>
        <v>9.6497473402035183E-3</v>
      </c>
      <c r="G230" s="56" cm="1">
        <f t="array" aca="1" ref="G230" ca="1">IF(ISNUMBER(D230),IF(D230&gt;=101,INDEX($B$107:$B$207,101),INDEX($B$107:$B$207,D230)+(C230-INDEX($C$107:$C$207,D230))/MAX(0.000000000001,INDEX($C$107:$C$207,D230+1)-INDEX($C$107:$C$207,D230))*(INDEX($B$107:$B$207,D230+1)-INDEX($B$107:$B$207,D230))),NA())</f>
        <v>0.97081101700488059</v>
      </c>
    </row>
    <row r="231" spans="2:7" hidden="1" outlineLevel="1" x14ac:dyDescent="0.45">
      <c r="B231" s="57">
        <v>21</v>
      </c>
      <c r="C231" s="55">
        <f ca="1">IF(ISNUMBER($C$107),$C$107+($C$207-$C$107)*21/24,NA())</f>
        <v>7.6711370891737136</v>
      </c>
      <c r="D231" s="58">
        <f t="shared" ca="1" si="2"/>
        <v>99</v>
      </c>
      <c r="E231" s="55">
        <f t="shared" ca="1" si="3"/>
        <v>7.7520153262732343</v>
      </c>
      <c r="F231" s="56">
        <f t="shared" ca="1" si="4"/>
        <v>6.1548945277569711E-3</v>
      </c>
      <c r="G231" s="56" cm="1">
        <f t="array" aca="1" ref="G231" ca="1">IF(ISNUMBER(D231),IF(D231&gt;=101,INDEX($B$107:$B$207,101),INDEX($B$107:$B$207,D231)+(C231-INDEX($C$107:$C$207,D231))/MAX(0.000000000001,INDEX($C$107:$C$207,D231+1)-INDEX($C$107:$C$207,D231))*(INDEX($B$107:$B$207,D231+1)-INDEX($B$107:$B$207,D231))),NA())</f>
        <v>0.98046076434508411</v>
      </c>
    </row>
    <row r="232" spans="2:7" hidden="1" outlineLevel="1" x14ac:dyDescent="0.45">
      <c r="B232" s="57">
        <v>22</v>
      </c>
      <c r="C232" s="55">
        <f ca="1">IF(ISNUMBER($C$107),$C$107+($C$207-$C$107)*22/24,NA())</f>
        <v>7.8328935633727541</v>
      </c>
      <c r="D232" s="58">
        <f t="shared" ca="1" si="2"/>
        <v>99</v>
      </c>
      <c r="E232" s="55">
        <f t="shared" ca="1" si="3"/>
        <v>7.9137718004722739</v>
      </c>
      <c r="F232" s="56">
        <f t="shared" ca="1" si="4"/>
        <v>4.9363939892882458E-3</v>
      </c>
      <c r="G232" s="56" cm="1">
        <f t="array" aca="1" ref="G232" ca="1">IF(ISNUMBER(D232),IF(D232&gt;=101,INDEX($B$107:$B$207,101),INDEX($B$107:$B$207,D232)+(C232-INDEX($C$107:$C$207,D232))/MAX(0.000000000001,INDEX($C$107:$C$207,D232+1)-INDEX($C$107:$C$207,D232))*(INDEX($B$107:$B$207,D232+1)-INDEX($B$107:$B$207,D232))),NA())</f>
        <v>0.98661565887284108</v>
      </c>
    </row>
    <row r="233" spans="2:7" hidden="1" outlineLevel="1" x14ac:dyDescent="0.45">
      <c r="B233" s="57">
        <v>23</v>
      </c>
      <c r="C233" s="55">
        <f ca="1">IF(ISNUMBER($C$107),$C$107+($C$207-$C$107)*23/24,NA())</f>
        <v>7.9946500375717946</v>
      </c>
      <c r="D233" s="58">
        <f t="shared" ca="1" si="2"/>
        <v>100</v>
      </c>
      <c r="E233" s="55">
        <f t="shared" ca="1" si="3"/>
        <v>8.0755282746713135</v>
      </c>
      <c r="F233" s="56">
        <f t="shared" ca="1" si="4"/>
        <v>3.4479471378706661E-3</v>
      </c>
      <c r="G233" s="56" cm="1">
        <f t="array" aca="1" ref="G233" ca="1">IF(ISNUMBER(D233),IF(D233&gt;=101,INDEX($B$107:$B$207,101),INDEX($B$107:$B$207,D233)+(C233-INDEX($C$107:$C$207,D233))/MAX(0.000000000001,INDEX($C$107:$C$207,D233+1)-INDEX($C$107:$C$207,D233))*(INDEX($B$107:$B$207,D233+1)-INDEX($B$107:$B$207,D233))),NA())</f>
        <v>0.99155205286212933</v>
      </c>
    </row>
    <row r="234" spans="2:7" hidden="1" outlineLevel="1" x14ac:dyDescent="0.45">
      <c r="B234" s="57">
        <v>24</v>
      </c>
      <c r="C234" s="55">
        <f ca="1">IF(ISNUMBER($C$107),$C$107+($C$207-$C$107)*24/24,NA())</f>
        <v>8.1564065117708342</v>
      </c>
      <c r="D234" s="58">
        <f t="shared" ca="1" si="2"/>
        <v>101</v>
      </c>
      <c r="G234" s="56" cm="1">
        <f t="array" aca="1" ref="G234" ca="1">IF(ISNUMBER(D234),IF(D234&gt;=101,INDEX($B$107:$B$207,101),INDEX($B$107:$B$207,D234)+(C234-INDEX($C$107:$C$207,D234))/MAX(0.000000000001,INDEX($C$107:$C$207,D234+1)-INDEX($C$107:$C$207,D234))*(INDEX($B$107:$B$207,D234+1)-INDEX($B$107:$B$207,D234))),NA())</f>
        <v>0.995</v>
      </c>
    </row>
  </sheetData>
  <mergeCells count="4">
    <mergeCell ref="B47:G47"/>
    <mergeCell ref="B49:G49"/>
    <mergeCell ref="B48:G48"/>
    <mergeCell ref="B46:G46"/>
  </mergeCells>
  <conditionalFormatting sqref="B7">
    <cfRule type="expression" dxfId="3" priority="2">
      <formula>LEFT($B$7,1)="✗"</formula>
    </cfRule>
  </conditionalFormatting>
  <conditionalFormatting sqref="B6:G6">
    <cfRule type="expression" dxfId="2" priority="1">
      <formula>LEFT($B$6,1)&lt;&gt;"✔"</formula>
    </cfRule>
  </conditionalFormatting>
  <conditionalFormatting sqref="C107:G234">
    <cfRule type="expression" dxfId="1" priority="4">
      <formula>ISNA($C$107)</formula>
    </cfRule>
  </conditionalFormatting>
  <conditionalFormatting sqref="D55:F104">
    <cfRule type="expression" dxfId="0" priority="3">
      <formula>ISNA(D55)</formula>
    </cfRule>
  </conditionalFormatting>
  <hyperlinks>
    <hyperlink ref="B4" location="'Убытки'!A1" display="◂  Убытки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4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C7262-123E-4317-915E-04B90CF2A535}">
  <dimension ref="A1:B1"/>
  <sheetViews>
    <sheetView workbookViewId="0"/>
  </sheetViews>
  <sheetFormatPr defaultRowHeight="14.25" x14ac:dyDescent="0.45"/>
  <sheetData>
    <row r="1" spans="1:2" x14ac:dyDescent="0.45">
      <c r="A1" s="63" t="s">
        <v>207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D56DB-6038-491F-B29C-4A4832532C7A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138AF-14CE-49E5-9DE3-8F8A745DDE6F}">
  <dimension ref="B3:B32"/>
  <sheetViews>
    <sheetView workbookViewId="0"/>
  </sheetViews>
  <sheetFormatPr defaultRowHeight="14.25" x14ac:dyDescent="0.45"/>
  <sheetData>
    <row r="3" spans="2:2" x14ac:dyDescent="0.45">
      <c r="B3">
        <v>24</v>
      </c>
    </row>
    <row r="4" spans="2:2" x14ac:dyDescent="0.45">
      <c r="B4">
        <v>167</v>
      </c>
    </row>
    <row r="5" spans="2:2" x14ac:dyDescent="0.45">
      <c r="B5">
        <v>395</v>
      </c>
    </row>
    <row r="6" spans="2:2" x14ac:dyDescent="0.45">
      <c r="B6">
        <v>563</v>
      </c>
    </row>
    <row r="7" spans="2:2" x14ac:dyDescent="0.45">
      <c r="B7">
        <v>478</v>
      </c>
    </row>
    <row r="8" spans="2:2" x14ac:dyDescent="0.45">
      <c r="B8">
        <v>236</v>
      </c>
    </row>
    <row r="9" spans="2:2" x14ac:dyDescent="0.45">
      <c r="B9">
        <v>104</v>
      </c>
    </row>
    <row r="10" spans="2:2" x14ac:dyDescent="0.45">
      <c r="B10">
        <v>28</v>
      </c>
    </row>
    <row r="11" spans="2:2" x14ac:dyDescent="0.45">
      <c r="B11">
        <v>4</v>
      </c>
    </row>
    <row r="12" spans="2:2" x14ac:dyDescent="0.45">
      <c r="B12">
        <v>1</v>
      </c>
    </row>
    <row r="13" spans="2:2" x14ac:dyDescent="0.45">
      <c r="B13">
        <v>8</v>
      </c>
    </row>
    <row r="14" spans="2:2" x14ac:dyDescent="0.45">
      <c r="B14">
        <v>40</v>
      </c>
    </row>
    <row r="15" spans="2:2" x14ac:dyDescent="0.45">
      <c r="B15">
        <v>219</v>
      </c>
    </row>
    <row r="16" spans="2:2" x14ac:dyDescent="0.45">
      <c r="B16">
        <v>464</v>
      </c>
    </row>
    <row r="17" spans="2:2" x14ac:dyDescent="0.45">
      <c r="B17">
        <v>578</v>
      </c>
    </row>
    <row r="18" spans="2:2" x14ac:dyDescent="0.45">
      <c r="B18">
        <v>405</v>
      </c>
    </row>
    <row r="19" spans="2:2" x14ac:dyDescent="0.45">
      <c r="B19">
        <v>193</v>
      </c>
    </row>
    <row r="20" spans="2:2" x14ac:dyDescent="0.45">
      <c r="B20">
        <v>70</v>
      </c>
    </row>
    <row r="21" spans="2:2" x14ac:dyDescent="0.45">
      <c r="B21">
        <v>18</v>
      </c>
    </row>
    <row r="22" spans="2:2" x14ac:dyDescent="0.45">
      <c r="B22">
        <v>5</v>
      </c>
    </row>
    <row r="23" spans="2:2" x14ac:dyDescent="0.45">
      <c r="B23">
        <v>1894</v>
      </c>
    </row>
    <row r="24" spans="2:2" x14ac:dyDescent="0.45">
      <c r="B24">
        <v>66</v>
      </c>
    </row>
    <row r="25" spans="2:2" x14ac:dyDescent="0.45">
      <c r="B25">
        <v>24</v>
      </c>
    </row>
    <row r="26" spans="2:2" x14ac:dyDescent="0.45">
      <c r="B26">
        <v>8</v>
      </c>
    </row>
    <row r="27" spans="2:2" x14ac:dyDescent="0.45">
      <c r="B27">
        <v>1</v>
      </c>
    </row>
    <row r="28" spans="2:2" x14ac:dyDescent="0.45">
      <c r="B28">
        <v>1</v>
      </c>
    </row>
    <row r="29" spans="2:2" x14ac:dyDescent="0.45">
      <c r="B29">
        <v>2</v>
      </c>
    </row>
    <row r="30" spans="2:2" x14ac:dyDescent="0.45">
      <c r="B30">
        <v>3</v>
      </c>
    </row>
    <row r="31" spans="2:2" x14ac:dyDescent="0.45">
      <c r="B31">
        <v>0</v>
      </c>
    </row>
    <row r="32" spans="2:2" x14ac:dyDescent="0.45">
      <c r="B32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2468">PABGAEkATABUAEUAUgBTAD4ADQAKADwALwBDAE4AVAA6ADAADQAKAEYASQBMAFQARQBSAFMAPgANAAoAPABQAEEARwBFAFMAPgANAAoAQwBOAFQAOgA0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BOADoAMwANAAoAVABZAFAARQA6ADIADQAKAE4ATQA6AEgAaQBzAHQAbwBnAHIAYQBtADMADQAKAFMASQBNAEkARAA6ADAADQAKAFMARQBMAFMAOgAwAA0ACgBDAFUAUgBTAEUATAA6ADAADQAKADwATwBQAFQASQBPAE4AUwA+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E4AOgA0AA0ACgBUAFkAUABFADoAMgANAAoATgBNADoASABpAHMAdABvAGcAcgBhAG0ANA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+AA0ACgA=</mr:Charts>
</mr:ModelRisk>
</file>

<file path=customXml/itemProps1.xml><?xml version="1.0" encoding="utf-8"?>
<ds:datastoreItem xmlns:ds="http://schemas.openxmlformats.org/officeDocument/2006/customXml" ds:itemID="{2D4AD616-83C2-4FB9-87DA-ECD5FB2DE04A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23</vt:i4>
      </vt:variant>
    </vt:vector>
  </HeadingPairs>
  <TitlesOfParts>
    <vt:vector size="30" baseType="lpstr">
      <vt:lpstr>Описание</vt:lpstr>
      <vt:lpstr>Исходные данные</vt:lpstr>
      <vt:lpstr>Убытки</vt:lpstr>
      <vt:lpstr>Результаты</vt:lpstr>
      <vt:lpstr>ModelRiskDSN</vt:lpstr>
      <vt:lpstr>ModelRiskSYS1</vt:lpstr>
      <vt:lpstr>ModelRiskCharts</vt:lpstr>
      <vt:lpstr>Checks</vt:lpstr>
      <vt:lpstr>Claims_FFT</vt:lpstr>
      <vt:lpstr>Claims_Flat</vt:lpstr>
      <vt:lpstr>Claims_MC</vt:lpstr>
      <vt:lpstr>Claims_Wrong</vt:lpstr>
      <vt:lpstr>ExactMean</vt:lpstr>
      <vt:lpstr>ExactSD</vt:lpstr>
      <vt:lpstr>FFTDensity</vt:lpstr>
      <vt:lpstr>FFTMean</vt:lpstr>
      <vt:lpstr>Freq</vt:lpstr>
      <vt:lpstr>FreqCV</vt:lpstr>
      <vt:lpstr>FreqMean</vt:lpstr>
      <vt:lpstr>PolyaA</vt:lpstr>
      <vt:lpstr>PolyaB</vt:lpstr>
      <vt:lpstr>Premium</vt:lpstr>
      <vt:lpstr>Results!Print_Area</vt:lpstr>
      <vt:lpstr>Inputs!Print_Titles</vt:lpstr>
      <vt:lpstr>Results!Print_Titles</vt:lpstr>
      <vt:lpstr>Sev</vt:lpstr>
      <vt:lpstr>SevMean</vt:lpstr>
      <vt:lpstr>SevMeanM</vt:lpstr>
      <vt:lpstr>SevSD</vt:lpstr>
      <vt:lpstr>SevSDM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IN-01 Совокупные страховые выплаты: частота × тяжесть</dc:title>
  <dc:subject>Библиотека отраслевых примеров МоделРиск — страхование</dc:subject>
  <dc:creator>ООО «Стратегия Риска»</dc:creator>
  <cp:keywords>МоделРиск; Монте-Карло; страхование</cp:keywords>
  <dc:description>Год убытков по автострахованию как частота × тяжесть: совокупные распределения методом Монте-Карло и FFT и распространенная ошибка.</dc:description>
  <cp:lastModifiedBy>ООО «Стратегия Риска»</cp:lastModifiedBy>
  <cp:lastPrinted>2026-10-05T12:33:36Z</cp:lastPrinted>
  <dcterms:created xsi:type="dcterms:W3CDTF">2026-10-05T12:29:44Z</dcterms:created>
  <dcterms:modified xsi:type="dcterms:W3CDTF">2026-10-05T12:33:38Z</dcterms:modified>
</cp:coreProperties>
</file>