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B6884A83-AD61-4B43-B6F4-C2ACA505A81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Риски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nyExtra">'Риски'!$E$44</definedName>
    <definedName name="Checks">'Риски'!$E$48:$E$50</definedName>
    <definedName name="Confidence">'Исходные данные'!$D$19</definedName>
    <definedName name="D_Linked">'Исходные данные'!$D$11</definedName>
    <definedName name="E_Linked">'Исходные данные'!$D$12</definedName>
    <definedName name="EV_Own">'Риски'!$H$20</definedName>
    <definedName name="Extra">'Риски'!$E$43</definedName>
    <definedName name="H_Linked">'Исходные данные'!$D$13</definedName>
    <definedName name="H_Mult">'Исходные данные'!$D$14</definedName>
    <definedName name="Hap_A">'Риски'!$H$26</definedName>
    <definedName name="Hap_B">'Риски'!$H$27</definedName>
    <definedName name="Hap_C">'Риски'!$H$28</definedName>
    <definedName name="Hap_D">'Риски'!$H$29</definedName>
    <definedName name="Hap_E">'Риски'!$H$30</definedName>
    <definedName name="Hap_F">'Риски'!$H$31</definedName>
    <definedName name="Hap_G">'Риски'!$H$32</definedName>
    <definedName name="Hap_H">'Риски'!$H$33</definedName>
    <definedName name="Hap_I">'Риски'!$H$34</definedName>
    <definedName name="Hap_J">'Риски'!$H$35</definedName>
    <definedName name="P_A">'Риски'!$D$10</definedName>
    <definedName name="P_B">'Риски'!$D$11</definedName>
    <definedName name="P_C">'Риски'!$D$12</definedName>
    <definedName name="P_D">'Риски'!$D$13</definedName>
    <definedName name="P_E">'Риски'!$D$14</definedName>
    <definedName name="P_F">'Риски'!$D$15</definedName>
    <definedName name="P_G">'Риски'!$D$16</definedName>
    <definedName name="P_H">'Риски'!$D$17</definedName>
    <definedName name="P_I">'Риски'!$D$18</definedName>
    <definedName name="P_J">'Риски'!$D$19</definedName>
    <definedName name="_xlnm.Print_Area" localSheetId="3">'Результаты'!$A$1:$R$55</definedName>
    <definedName name="_xlnm.Print_Titles" localSheetId="1">'Исходные данные'!$1:$4</definedName>
    <definedName name="_xlnm.Print_Titles" localSheetId="3">'Результаты'!$1:$4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otalLinked">'Риски'!$E$42</definedName>
    <definedName name="TotalOwn">'Риски'!$E$41</definedName>
    <definedName name="Trig_H">'Риски'!$F$33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4" l="1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D35" i="4"/>
  <c r="D34" i="4"/>
  <c r="D33" i="4"/>
  <c r="D32" i="4"/>
  <c r="D18" i="4"/>
  <c r="E50" i="3"/>
  <c r="E49" i="3"/>
  <c r="E48" i="3"/>
  <c r="G35" i="3"/>
  <c r="C35" i="3"/>
  <c r="B35" i="3"/>
  <c r="G34" i="3"/>
  <c r="C34" i="3"/>
  <c r="B34" i="3"/>
  <c r="C33" i="3"/>
  <c r="B33" i="3"/>
  <c r="G32" i="3"/>
  <c r="C32" i="3"/>
  <c r="B32" i="3"/>
  <c r="G31" i="3"/>
  <c r="C31" i="3"/>
  <c r="B31" i="3"/>
  <c r="C30" i="3"/>
  <c r="B30" i="3"/>
  <c r="C29" i="3"/>
  <c r="B29" i="3"/>
  <c r="G28" i="3"/>
  <c r="C28" i="3"/>
  <c r="B28" i="3"/>
  <c r="G27" i="3"/>
  <c r="C27" i="3"/>
  <c r="B27" i="3"/>
  <c r="G26" i="3"/>
  <c r="C26" i="3"/>
  <c r="B26" i="3"/>
  <c r="H19" i="3"/>
  <c r="H18" i="3"/>
  <c r="N17" i="3"/>
  <c r="H17" i="3"/>
  <c r="H16" i="3"/>
  <c r="H15" i="3"/>
  <c r="N14" i="3"/>
  <c r="H14" i="3"/>
  <c r="N13" i="3"/>
  <c r="H13" i="3"/>
  <c r="H12" i="3"/>
  <c r="H20" i="3" s="1"/>
  <c r="D12" i="4" s="1"/>
  <c r="H11" i="3"/>
  <c r="H10" i="3"/>
  <c r="J13" i="2"/>
  <c r="J12" i="2"/>
  <c r="J11" i="2"/>
  <c r="B7" i="4"/>
  <c r="D26" i="3" a="1"/>
  <c r="I26" i="3" a="1"/>
  <c r="I35" i="3" a="1"/>
  <c r="I32" i="3" a="1"/>
  <c r="D29" i="3" a="1"/>
  <c r="D32" i="3" a="1"/>
  <c r="D35" i="3" a="1"/>
  <c r="D28" i="3" a="1"/>
  <c r="I34" i="3" a="1"/>
  <c r="I33" i="3" a="1"/>
  <c r="D30" i="3" a="1"/>
  <c r="D27" i="3" a="1"/>
  <c r="I31" i="3" a="1"/>
  <c r="D33" i="3" a="1"/>
  <c r="I27" i="3" a="1"/>
  <c r="I30" i="3" a="1"/>
  <c r="I28" i="3" a="1"/>
  <c r="I29" i="3" a="1"/>
  <c r="D31" i="3" a="1"/>
  <c r="D34" i="3" a="1"/>
  <c r="D34" i="3" l="1"/>
  <c r="D31" i="3"/>
  <c r="I29" i="3"/>
  <c r="I28" i="3"/>
  <c r="I30" i="3"/>
  <c r="I27" i="3"/>
  <c r="D33" i="3"/>
  <c r="I31" i="3"/>
  <c r="D27" i="3"/>
  <c r="D30" i="3"/>
  <c r="I33" i="3"/>
  <c r="I34" i="3"/>
  <c r="D28" i="3"/>
  <c r="D35" i="3"/>
  <c r="D32" i="3"/>
  <c r="D29" i="3"/>
  <c r="I32" i="3"/>
  <c r="I35" i="3"/>
  <c r="I26" i="3"/>
  <c r="D26" i="3"/>
  <c r="H34" i="3" a="1"/>
  <c r="E34" i="3" a="1"/>
  <c r="E27" i="3" a="1"/>
  <c r="H27" i="3" a="1"/>
  <c r="J32" i="3" a="1"/>
  <c r="H31" i="3" a="1"/>
  <c r="E31" i="3" a="1"/>
  <c r="E30" i="3" a="1"/>
  <c r="J35" i="3" a="1"/>
  <c r="J29" i="3" a="1"/>
  <c r="J33" i="3" a="1"/>
  <c r="J26" i="3" a="1"/>
  <c r="J28" i="3" a="1"/>
  <c r="J34" i="3" a="1"/>
  <c r="H26" i="3" a="1"/>
  <c r="E26" i="3" a="1"/>
  <c r="J30" i="3" a="1"/>
  <c r="H28" i="3" a="1"/>
  <c r="E28" i="3" a="1"/>
  <c r="J27" i="3" a="1"/>
  <c r="E35" i="3" a="1"/>
  <c r="H35" i="3" a="1"/>
  <c r="E33" i="3" a="1"/>
  <c r="E32" i="3" a="1"/>
  <c r="H32" i="3" a="1"/>
  <c r="J31" i="3" a="1"/>
  <c r="E29" i="3" a="1"/>
  <c r="E29" i="3" l="1"/>
  <c r="J31" i="3"/>
  <c r="H32" i="3"/>
  <c r="E32" i="3"/>
  <c r="E33" i="3"/>
  <c r="H35" i="3"/>
  <c r="E35" i="3"/>
  <c r="J27" i="3"/>
  <c r="E28" i="3"/>
  <c r="H28" i="3"/>
  <c r="J30" i="3"/>
  <c r="E26" i="3"/>
  <c r="H26" i="3"/>
  <c r="J34" i="3"/>
  <c r="J28" i="3"/>
  <c r="J26" i="3"/>
  <c r="J33" i="3"/>
  <c r="J29" i="3"/>
  <c r="J35" i="3"/>
  <c r="E30" i="3"/>
  <c r="E31" i="3"/>
  <c r="H31" i="3"/>
  <c r="J32" i="3"/>
  <c r="H27" i="3"/>
  <c r="E27" i="3"/>
  <c r="E34" i="3"/>
  <c r="H34" i="3"/>
  <c r="L35" i="3" l="1"/>
  <c r="M31" i="3" a="1"/>
  <c r="M31" i="3" s="1"/>
  <c r="M35" i="3" a="1"/>
  <c r="M35" i="3" s="1"/>
  <c r="L31" i="3"/>
  <c r="L33" i="3"/>
  <c r="L30" i="3"/>
  <c r="M27" i="3" a="1"/>
  <c r="M27" i="3" s="1"/>
  <c r="F29" i="3"/>
  <c r="G29" i="3" s="1"/>
  <c r="M26" i="3" a="1"/>
  <c r="M26" i="3" s="1"/>
  <c r="L26" i="3"/>
  <c r="E36" i="3"/>
  <c r="L32" i="3"/>
  <c r="M34" i="3" a="1"/>
  <c r="M34" i="3" s="1"/>
  <c r="M32" i="3" a="1"/>
  <c r="M32" i="3" s="1"/>
  <c r="L34" i="3"/>
  <c r="M28" i="3" a="1"/>
  <c r="M28" i="3" s="1"/>
  <c r="L27" i="3"/>
  <c r="L28" i="3"/>
  <c r="L29" i="3"/>
  <c r="H29" i="3" a="1"/>
  <c r="H29" i="3" l="1"/>
  <c r="L36" i="3"/>
  <c r="E41" i="3" s="1" a="1"/>
  <c r="E41" i="3" s="1"/>
  <c r="D75" i="4" a="1"/>
  <c r="D77" i="4" a="1"/>
  <c r="D109" i="4" a="1"/>
  <c r="D107" i="4" a="1"/>
  <c r="D73" i="4" a="1"/>
  <c r="D105" i="4" a="1"/>
  <c r="E23" i="4" a="1"/>
  <c r="D76" i="4" a="1"/>
  <c r="D61" i="4" a="1"/>
  <c r="D93" i="4" a="1"/>
  <c r="D13" i="4" a="1"/>
  <c r="D74" i="4" a="1"/>
  <c r="D89" i="4" a="1"/>
  <c r="D100" i="4" a="1"/>
  <c r="D98" i="4" a="1"/>
  <c r="D66" i="4" a="1"/>
  <c r="D62" i="4" a="1"/>
  <c r="D96" i="4" a="1"/>
  <c r="D91" i="4" a="1"/>
  <c r="D102" i="4" a="1"/>
  <c r="D70" i="4" a="1"/>
  <c r="D110" i="4" a="1"/>
  <c r="D103" i="4" a="1"/>
  <c r="D87" i="4" a="1"/>
  <c r="D71" i="4" a="1"/>
  <c r="D23" i="4" a="1"/>
  <c r="D94" i="4" a="1"/>
  <c r="D92" i="4" a="1"/>
  <c r="D68" i="4" a="1"/>
  <c r="D101" i="4" a="1"/>
  <c r="D85" i="4" a="1"/>
  <c r="D69" i="4" a="1"/>
  <c r="D82" i="4" a="1"/>
  <c r="D90" i="4" a="1"/>
  <c r="D64" i="4" a="1"/>
  <c r="D99" i="4" a="1"/>
  <c r="D83" i="4" a="1"/>
  <c r="D67" i="4" a="1"/>
  <c r="D108" i="4" a="1"/>
  <c r="D80" i="4" a="1"/>
  <c r="D88" i="4" a="1"/>
  <c r="G23" i="4" a="1"/>
  <c r="D97" i="4" a="1"/>
  <c r="D81" i="4" a="1"/>
  <c r="D65" i="4" a="1"/>
  <c r="D106" i="4" a="1"/>
  <c r="D78" i="4" a="1"/>
  <c r="D86" i="4" a="1"/>
  <c r="F23" i="4" a="1"/>
  <c r="D95" i="4" a="1"/>
  <c r="D79" i="4" a="1"/>
  <c r="D63" i="4" a="1"/>
  <c r="D104" i="4" a="1"/>
  <c r="D72" i="4" a="1"/>
  <c r="D84" i="4" a="1"/>
  <c r="D15" i="4" a="1"/>
  <c r="E32" i="4" a="1"/>
  <c r="E32" i="4" l="1"/>
  <c r="F32" i="4" s="1"/>
  <c r="D15" i="4"/>
  <c r="D84" i="4"/>
  <c r="D72" i="4"/>
  <c r="D104" i="4"/>
  <c r="D63" i="4"/>
  <c r="D79" i="4"/>
  <c r="D95" i="4"/>
  <c r="F23" i="4"/>
  <c r="D86" i="4"/>
  <c r="D78" i="4"/>
  <c r="D106" i="4"/>
  <c r="D65" i="4"/>
  <c r="D81" i="4"/>
  <c r="D97" i="4"/>
  <c r="G23" i="4"/>
  <c r="D88" i="4"/>
  <c r="D80" i="4"/>
  <c r="D108" i="4"/>
  <c r="D67" i="4"/>
  <c r="D83" i="4"/>
  <c r="D99" i="4"/>
  <c r="D64" i="4"/>
  <c r="D90" i="4"/>
  <c r="D82" i="4"/>
  <c r="D69" i="4"/>
  <c r="D85" i="4"/>
  <c r="D101" i="4"/>
  <c r="D68" i="4"/>
  <c r="D92" i="4"/>
  <c r="D94" i="4"/>
  <c r="D23" i="4"/>
  <c r="D71" i="4"/>
  <c r="D87" i="4"/>
  <c r="D103" i="4"/>
  <c r="D110" i="4"/>
  <c r="D70" i="4"/>
  <c r="D102" i="4"/>
  <c r="D91" i="4"/>
  <c r="D96" i="4"/>
  <c r="D62" i="4"/>
  <c r="D66" i="4"/>
  <c r="D98" i="4"/>
  <c r="D100" i="4"/>
  <c r="D89" i="4"/>
  <c r="D74" i="4"/>
  <c r="D13" i="4"/>
  <c r="D93" i="4"/>
  <c r="D61" i="4"/>
  <c r="D76" i="4"/>
  <c r="E23" i="4"/>
  <c r="D105" i="4"/>
  <c r="D73" i="4"/>
  <c r="D107" i="4"/>
  <c r="D109" i="4"/>
  <c r="D77" i="4"/>
  <c r="D75" i="4"/>
  <c r="M29" i="3" a="1"/>
  <c r="M29" i="3" s="1"/>
  <c r="F30" i="3"/>
  <c r="G30" i="3" s="1"/>
  <c r="H30" i="3" a="1"/>
  <c r="H30" i="3" l="1"/>
  <c r="E33" i="4" a="1"/>
  <c r="E33" i="4" l="1"/>
  <c r="F33" i="4" s="1"/>
  <c r="M30" i="3" a="1"/>
  <c r="M30" i="3" s="1"/>
  <c r="F33" i="3"/>
  <c r="E35" i="4" a="1"/>
  <c r="E35" i="4" l="1"/>
  <c r="F35" i="4" s="1"/>
  <c r="K33" i="3"/>
  <c r="G33" i="3"/>
  <c r="H33" i="3" a="1"/>
  <c r="H33" i="3" l="1"/>
  <c r="E34" i="4" a="1"/>
  <c r="E34" i="4" l="1"/>
  <c r="F34" i="4" s="1"/>
  <c r="M33" i="3" a="1"/>
  <c r="M33" i="3" s="1"/>
  <c r="M36" i="3" s="1"/>
  <c r="E42" i="3" s="1" a="1"/>
  <c r="E42" i="3" s="1"/>
  <c r="H36" i="3"/>
  <c r="E68" i="4" a="1"/>
  <c r="E102" i="4" a="1"/>
  <c r="E109" i="4" a="1"/>
  <c r="E79" i="4" a="1"/>
  <c r="E100" i="4" a="1"/>
  <c r="D112" i="4" a="1"/>
  <c r="E98" i="4" a="1"/>
  <c r="E24" i="4" a="1"/>
  <c r="E75" i="4" a="1"/>
  <c r="E86" i="4" a="1"/>
  <c r="D24" i="4" a="1"/>
  <c r="E73" i="4" a="1"/>
  <c r="E77" i="4" a="1"/>
  <c r="E96" i="4" a="1"/>
  <c r="E66" i="4" a="1"/>
  <c r="E84" i="4" a="1"/>
  <c r="E105" i="4" a="1"/>
  <c r="E63" i="4" a="1"/>
  <c r="E104" i="4" a="1"/>
  <c r="E80" i="4" a="1"/>
  <c r="E97" i="4" a="1"/>
  <c r="F24" i="4" a="1"/>
  <c r="E78" i="4" a="1"/>
  <c r="E93" i="4" a="1"/>
  <c r="E85" i="4" a="1"/>
  <c r="E64" i="4" a="1"/>
  <c r="D14" i="4" a="1"/>
  <c r="E62" i="4" a="1"/>
  <c r="E88" i="4" a="1"/>
  <c r="E106" i="4" a="1"/>
  <c r="E82" i="4" a="1"/>
  <c r="E101" i="4" a="1"/>
  <c r="E61" i="4" a="1"/>
  <c r="E110" i="4" a="1"/>
  <c r="E94" i="4" a="1"/>
  <c r="E76" i="4" a="1"/>
  <c r="G24" i="4" a="1"/>
  <c r="E91" i="4" a="1"/>
  <c r="E71" i="4" a="1"/>
  <c r="E103" i="4" a="1"/>
  <c r="E108" i="4" a="1"/>
  <c r="E92" i="4" a="1"/>
  <c r="E74" i="4" a="1"/>
  <c r="D16" i="4" a="1"/>
  <c r="E87" i="4" a="1"/>
  <c r="E69" i="4" a="1"/>
  <c r="E99" i="4" a="1"/>
  <c r="B39" i="4" a="1"/>
  <c r="E90" i="4" a="1"/>
  <c r="E72" i="4" a="1"/>
  <c r="B6" i="4" a="1"/>
  <c r="E83" i="4" a="1"/>
  <c r="E67" i="4" a="1"/>
  <c r="E95" i="4" a="1"/>
  <c r="E70" i="4" a="1"/>
  <c r="E107" i="4" a="1"/>
  <c r="E81" i="4" a="1"/>
  <c r="E65" i="4" a="1"/>
  <c r="E89" i="4" a="1"/>
  <c r="E89" i="4" l="1"/>
  <c r="E65" i="4"/>
  <c r="E81" i="4"/>
  <c r="E107" i="4"/>
  <c r="E70" i="4"/>
  <c r="E95" i="4"/>
  <c r="E67" i="4"/>
  <c r="E83" i="4"/>
  <c r="B6" i="4"/>
  <c r="E72" i="4"/>
  <c r="E90" i="4"/>
  <c r="E41" i="4"/>
  <c r="B47" i="4"/>
  <c r="B122" i="4" s="1"/>
  <c r="D47" i="4"/>
  <c r="E40" i="4"/>
  <c r="C48" i="4"/>
  <c r="B42" i="4"/>
  <c r="B117" i="4" s="1"/>
  <c r="E39" i="4"/>
  <c r="D45" i="4"/>
  <c r="B39" i="4"/>
  <c r="B114" i="4" s="1"/>
  <c r="C46" i="4"/>
  <c r="D43" i="4"/>
  <c r="B45" i="4"/>
  <c r="B120" i="4" s="1"/>
  <c r="D41" i="4"/>
  <c r="C44" i="4"/>
  <c r="B48" i="4"/>
  <c r="B123" i="4" s="1"/>
  <c r="B40" i="4"/>
  <c r="B115" i="4" s="1"/>
  <c r="C47" i="4"/>
  <c r="D39" i="4"/>
  <c r="D48" i="4"/>
  <c r="C42" i="4"/>
  <c r="C45" i="4"/>
  <c r="B43" i="4"/>
  <c r="B118" i="4" s="1"/>
  <c r="C43" i="4"/>
  <c r="E44" i="4"/>
  <c r="E47" i="4"/>
  <c r="D40" i="4"/>
  <c r="E45" i="4"/>
  <c r="C40" i="4"/>
  <c r="E43" i="4"/>
  <c r="E46" i="4"/>
  <c r="C41" i="4"/>
  <c r="E42" i="4"/>
  <c r="B44" i="4"/>
  <c r="B119" i="4" s="1"/>
  <c r="D42" i="4"/>
  <c r="B46" i="4"/>
  <c r="B121" i="4" s="1"/>
  <c r="C39" i="4"/>
  <c r="D46" i="4"/>
  <c r="D44" i="4"/>
  <c r="B41" i="4"/>
  <c r="B116" i="4" s="1"/>
  <c r="E48" i="4"/>
  <c r="E99" i="4"/>
  <c r="E69" i="4"/>
  <c r="E87" i="4"/>
  <c r="D16" i="4"/>
  <c r="D17" i="4" s="1"/>
  <c r="E74" i="4"/>
  <c r="E92" i="4"/>
  <c r="E108" i="4"/>
  <c r="E103" i="4"/>
  <c r="E71" i="4"/>
  <c r="E91" i="4"/>
  <c r="G24" i="4"/>
  <c r="E76" i="4"/>
  <c r="E94" i="4"/>
  <c r="E110" i="4"/>
  <c r="E61" i="4"/>
  <c r="E101" i="4"/>
  <c r="E82" i="4"/>
  <c r="E106" i="4"/>
  <c r="E88" i="4"/>
  <c r="E62" i="4"/>
  <c r="D14" i="4"/>
  <c r="E64" i="4"/>
  <c r="E85" i="4"/>
  <c r="E93" i="4"/>
  <c r="E78" i="4"/>
  <c r="F24" i="4"/>
  <c r="E97" i="4"/>
  <c r="E80" i="4"/>
  <c r="E104" i="4"/>
  <c r="E63" i="4"/>
  <c r="E105" i="4"/>
  <c r="E84" i="4"/>
  <c r="E66" i="4"/>
  <c r="E96" i="4"/>
  <c r="E77" i="4"/>
  <c r="E73" i="4"/>
  <c r="D24" i="4"/>
  <c r="E86" i="4"/>
  <c r="E75" i="4"/>
  <c r="E24" i="4"/>
  <c r="E98" i="4"/>
  <c r="D112" i="4"/>
  <c r="E100" i="4"/>
  <c r="E79" i="4"/>
  <c r="E109" i="4"/>
  <c r="E102" i="4"/>
  <c r="E68" i="4"/>
  <c r="E43" i="3" a="1"/>
  <c r="E43" i="3" s="1"/>
  <c r="D25" i="4" a="1"/>
  <c r="G25" i="4" a="1"/>
  <c r="F25" i="4" a="1"/>
  <c r="E25" i="4" a="1"/>
  <c r="F121" i="4" l="1"/>
  <c r="G120" i="4"/>
  <c r="F116" i="4"/>
  <c r="G123" i="4"/>
  <c r="E25" i="4"/>
  <c r="F25" i="4"/>
  <c r="G25" i="4"/>
  <c r="D25" i="4"/>
  <c r="G114" i="4"/>
  <c r="G115" i="4"/>
  <c r="G117" i="4"/>
  <c r="F123" i="4"/>
  <c r="F118" i="4"/>
  <c r="F122" i="4"/>
  <c r="E44" i="3"/>
  <c r="F120" i="4"/>
  <c r="F117" i="4"/>
  <c r="F115" i="4"/>
  <c r="F114" i="4"/>
  <c r="G121" i="4"/>
  <c r="G122" i="4"/>
  <c r="G116" i="4"/>
  <c r="G118" i="4"/>
  <c r="F119" i="4"/>
  <c r="G119" i="4"/>
  <c r="D27" i="4" a="1"/>
  <c r="D27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<sst xmlns="http://schemas.openxmlformats.org/spreadsheetml/2006/main" count="316" uniqueCount="251">
  <si>
    <t xml:space="preserve">Каскадные риски</t>
  </si>
  <si>
    <t xml:space="preserve">Пример МоделРиск  ·  Общие методы  ·  GU-01</t>
  </si>
  <si>
    <t xml:space="preserve">Сколько добавляют к резерву связи между рисками?  Десять рисков проекта, одни из которых запускают другие.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</si>
  <si>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</si>
  <si>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</si>
  <si>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</si>
  <si>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Общие методы</t>
  </si>
  <si>
    <t xml:space="preserve">Сложность</t>
  </si>
  <si>
    <t xml:space="preserve">★★☆☆☆   Реестр рисков, в котором одни риски делают другие вероятнее или тяжелее: несколько формул ЕСЛИ поверх рисковых событий.</t>
  </si>
  <si>
    <t xml:space="preserve">Вопрос бизнеса</t>
  </si>
  <si>
    <t xml:space="preserve">Модернизации завода угрожают десять рисков, и некоторые из них делают другие вероятнее или тяжелее: позднее утверждение проекта или плохой грунт повышают вероятность перепроектирования фундамента, а перепроектирование — вероятность дорогого ускорения графика. Какой резерв нужен на риски и какая его часть обусловлена связями между ними?</t>
  </si>
  <si>
    <t xml:space="preserve">Для кого</t>
  </si>
  <si>
    <t xml:space="preserve">Аналитикам рисков, руководителям проектов и всем, кто ведет реестр рисков и подозревает, что риски в нем не независимы.</t>
  </si>
  <si>
    <t xml:space="preserve">Основные результаты</t>
  </si>
  <si>
    <t xml:space="preserve">Общая стоимость рисков со связями и без них, по одним и тем же розыгрышам · резерв при выбранном уровне доверия в обоих вариантах и разница · насколько вероятнее становятся связанные риски · риски, которые определяют сумму.</t>
  </si>
  <si>
    <t xml:space="preserve">Приемы МоделРиск</t>
  </si>
  <si>
    <t xml:space="preserve">Рисковые события как розыгрыш наступления и розыгрыш тяжести (аргументы U в VoseBernoulli и VosePERT) · вероятности и последствия, зависящие от того, происходят ли другие риски (ЕСЛИ с ИЛИ или И) · одни и те же розыгрыши без связей и со связями, поэтому разница — эффект только связей · ранжирование рисков на торнадо-диаграмме (VoseSimSensitivityMean).</t>
  </si>
  <si>
    <t xml:space="preserve">Файл</t>
  </si>
  <si>
    <t xml:space="preserve">GU-01 Каскадные риски  ·  Версия 1.0  ·  Ноябрь 2026  ·  создано в МоделРиск</t>
  </si>
  <si>
    <t xml:space="preserve">Вопрос бизнеса</t>
  </si>
  <si>
    <t xml:space="preserve">В реестре проекта модернизации завода десять рисков, у каждого есть вероятность и диапазон стоимости. Обычно риски в реестре считаются независимыми, но некоторые из этих связаны. Если надзорный орган поздно утвердит проект (A) или грунт окажется хуже, чем показали изыскания (C), фундамент гораздо вероятнее придется перепроектировать (D): 50% вместо 15%. Позднее утверждение или перепроектирование повышают вероятность, что график придется ускорять сверхурочной работой и дополнительными сменами (E): 45% вместо 22%. А если в одном и том же проекте специализированный подрядчик недоступен, грунт плохой, график ускорен и цены растут (B, C, E и F), крупная претензия генподрядчика (H) становится вероятнее (13% вместо 5%) и в 3,2 раза больше. Модель дважды моделирует реестр по одним и тем же розыгрышам: один раз как будто риски независимы и один раз со связями, поэтому разница двух сумм — это эффект только связей.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</si>
  <si>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</si>
  <si>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</si>
  <si>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</si>
  <si>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Правила, связывающие риски: вероятность D, E и H, когда происходят запускающие их риски, и коэффициент к последствиям H; уровень доверия, при котором определяется резерв.</t>
  </si>
  <si>
    <t xml:space="preserve">2  Риски</t>
  </si>
  <si>
    <t xml:space="preserve">Реестр задает для каждого риска его собственную вероятность и трехточечный диапазон стоимости. На каждой итерации каждый риск получает два розыгрыша: розыгрыш наступления решает, произойдет ли риск, а розыгрыш тяжести помещает его стоимость в диапазоне. Со связями D, E и H сначала проверяют, произошли ли запускающие их риски, и если да, используют повышенную вероятность. Обе версии реестра используют одни и те же розыгрыши: более высокая вероятность только добавляет итерации, в которых риск происходит, поэтому разница двух сумм — это эффект связей.</t>
  </si>
  <si>
    <t xml:space="preserve">3  Результаты</t>
  </si>
  <si>
    <t xml:space="preserve">Резерв при выбранном уровне доверия без связей и со связями, S-кривые обеих сумм, насколько вероятнее становятся D, E и H, риски, которые определяют сумму.</t>
  </si>
  <si>
    <t xml:space="preserve">Как пользоваться моделью</t>
  </si>
  <si>
    <t xml:space="preserve">Шаг 1</t>
  </si>
  <si>
    <t xml:space="preserve">Замените десять рисков на листе «Риски» своими: вероятность и диапазон стоимости.</t>
  </si>
  <si>
    <t xml:space="preserve">Шаг 2</t>
  </si>
  <si>
    <t xml:space="preserve">Измените связи в столбце «Запущен?» на листе «Риски» (ИЛИ либо И рисков, которые его повышают), а повышенные вероятности и коэффициент последствий — на листе «Исходные данные». Риск может запускаться только рисками выше него.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</si>
  <si>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</si>
  <si>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</si>
  <si>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</si>
  <si>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Сравните резерв без связей и со связями: если они сильно различаются, связям место в реестре.</t>
  </si>
  <si>
    <t xml:space="preserve">Структура модели</t>
  </si>
  <si>
    <t xml:space="preserve">Исходные данные</t>
  </si>
  <si>
    <t xml:space="preserve">Правила, связывающие риски; уровень доверия для резерва.</t>
  </si>
  <si>
    <t xml:space="preserve">Риски</t>
  </si>
  <si>
    <t xml:space="preserve">Реестр; эта итерация без связей и со связями; выходы и проверки.</t>
  </si>
  <si>
    <t xml:space="preserve">Результаты</t>
  </si>
  <si>
    <t xml:space="preserve">Резерв в обоих вариантах, S-кривые, вероятности связанных рисков и ранжирование рисков.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</si>
  <si>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</si>
  <si>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</si>
  <si>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</si>
  <si>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</si>
  <si>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</si>
  <si>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</si>
  <si>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</si>
  <si>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</si>
  <si>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</si>
  <si>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</si>
  <si>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</si>
  <si>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</si>
  <si>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</si>
  <si>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долл.).</t>
  </si>
  <si>
    <t xml:space="preserve">Сам по себе</t>
  </si>
  <si>
    <t xml:space="preserve">Вероятность риска, когда ничего не известно о других рисках: обычное число в реестре.</t>
  </si>
  <si>
    <t xml:space="preserve">Со связями</t>
  </si>
  <si>
    <t xml:space="preserve">Вероятность или последствия, когда известно, какие из запускающих его рисков произошли.</t>
  </si>
  <si>
    <t xml:space="preserve">Розыгрыши</t>
  </si>
  <si>
    <t xml:space="preserve">Розыгрыш наступления и розыгрыш тяжести каждого риска — равномерные числа от 0 до 1, общие для обеих версий реестра.</t>
  </si>
  <si>
    <t xml:space="preserve">Основные допущения и ограничения</t>
  </si>
  <si>
    <t xml:space="preserve">Связи</t>
  </si>
  <si>
    <t xml:space="preserve">Моделируются только три связи с листа «Исходные данные»: все остальные пары рисков независимы.</t>
  </si>
  <si>
    <t xml:space="preserve">Порядок</t>
  </si>
  <si>
    <t xml:space="preserve">Риск запускается только рисками выше него в списке, поэтому связи просчитываются сверху вниз.</t>
  </si>
  <si>
    <t xml:space="preserve">Последствия</t>
  </si>
  <si>
    <t xml:space="preserve">Каждый диапазон стоимости — распределение PERT от 80% до 150% наиболее вероятного значения.</t>
  </si>
  <si>
    <t xml:space="preserve">Данные</t>
  </si>
  <si>
    <t xml:space="preserve">Проект и его риски придуманы для этого примера.</t>
  </si>
  <si>
    <t xml:space="preserve">Функции МоделРиск в модели</t>
  </si>
  <si>
    <t>VoseUniform</t>
  </si>
  <si>
    <t xml:space="preserve">Два розыгрыша на риск: произойдет ли он и насколько тяжелым будет.</t>
  </si>
  <si>
    <t>VoseBernoulli</t>
  </si>
  <si>
    <t xml:space="preserve">Произойдет ли риск: VoseBernoulli(вероятность, розыгрыш наступления). При том же розыгрыше более высокая вероятность заставляет риск происходить в каждой итерации, где он происходил раньше, и еще в некоторых.</t>
  </si>
  <si>
    <t>VosePERT</t>
  </si>
  <si>
    <t xml:space="preserve">Стоимость, если риск произойдет, помещенная в диапазоне розыгрышем тяжести (аргумент U).</t>
  </si>
  <si>
    <t>VoseInput, VoseOutput</t>
  </si>
  <si>
    <t xml:space="preserve">Задают имена стоимости каждого риска со связями и сумм, для просмотра результатов и анализа чувствительности.</t>
  </si>
  <si>
    <t>VoseSimMean, VoseSimPercentile</t>
  </si>
  <si>
    <t xml:space="preserve">Статистика моделирования для таблиц и графиков на листе «Результаты».</t>
  </si>
  <si>
    <t>VoseSimSensitivityMean</t>
  </si>
  <si>
    <t xml:space="preserve">Торнадо-диаграмма: каждый риск ранжирован по тому, насколько средняя сумма меняется в диапазоне его стоимости.</t>
  </si>
  <si>
    <t xml:space="preserve">Что почитать</t>
  </si>
  <si>
    <t xml:space="preserve">Зависимости</t>
  </si>
  <si>
    <t xml:space="preserve">Корреляция рисков: зачем и как учитывать в модели (статья)</t>
  </si>
  <si>
    <t xml:space="preserve">Реестры рисков</t>
  </si>
  <si>
    <t>Hillson, D. and Simon, P. (2020). Practical Project Risk Management: The ATOM Methodology, 3rd edition. Berrett-Koehler.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</si>
  <si>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</si>
  <si>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Правила, связывающие риски, и уровень доверия. Сами десять рисков — на листе «Риски». Меняйте только желтые ячейки.</t>
  </si>
  <si>
    <t xml:space="preserve">◂  Описание</t>
  </si>
  <si>
    <t xml:space="preserve">Далее:  Риски  ▸</t>
  </si>
  <si>
    <t xml:space="preserve">Как читать этот лист:  желтые ячейки — исходные данные.</t>
  </si>
  <si>
    <t xml:space="preserve">1   Связи между рисками</t>
  </si>
  <si>
    <t xml:space="preserve">Что происходит с D, E и H, когда происходят запускающие их риски. Собственная вероятность каждого риска и диапазон его стоимости — на листе «Риски».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</si>
  <si>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</si>
  <si>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</si>
  <si>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</si>
  <si>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</si>
  <si>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</si>
  <si>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D  Перепроектирование фундамента: вероятность, если происходит A или C</t>
  </si>
  <si>
    <t xml:space="preserve">вероятность</t>
  </si>
  <si>
    <t xml:space="preserve">Константа</t>
  </si>
  <si>
    <t xml:space="preserve">E  Ускорение графика: вероятность, если происходит A или D</t>
  </si>
  <si>
    <t xml:space="preserve">H  Крупная претензия: вероятность, если происходят все B, C, E и F</t>
  </si>
  <si>
    <t xml:space="preserve">H  Крупная претензия: коэффициент стоимости, если происходят все B, C, E и F</t>
  </si>
  <si>
    <t>×</t>
  </si>
  <si>
    <t xml:space="preserve">Весь диапазон стоимости претензии умножается на этот коэффициент.</t>
  </si>
  <si>
    <t xml:space="preserve">2   Политика резервирования</t>
  </si>
  <si>
    <t xml:space="preserve">Уровень доверия, при котором определяется резерв.</t>
  </si>
  <si>
    <t xml:space="preserve">Уровень надежности для резерва</t>
  </si>
  <si>
    <t xml:space="preserve">P80 — частый выбор для резерва на риски проекта.</t>
  </si>
  <si>
    <t xml:space="preserve">РИСКИ   ·   Десять рисков и что происходит с каждым в этой итерации без связей и со связями.</t>
  </si>
  <si>
    <t xml:space="preserve">◂  Исходные данные</t>
  </si>
  <si>
    <t xml:space="preserve">Далее:  Результаты  ▸</t>
  </si>
  <si>
    <t xml:space="preserve">1   Реестр рисков</t>
  </si>
  <si>
    <t xml:space="preserve">Желтые ячейки — исходные данные: собственная вероятность каждого риска и его стоимость, если он произойдет.</t>
  </si>
  <si>
    <t xml:space="preserve">№</t>
  </si>
  <si>
    <t xml:space="preserve">Риск</t>
  </si>
  <si>
    <t xml:space="preserve">Вероятность</t>
  </si>
  <si>
    <t xml:space="preserve">Затраты при реализации  (млн долл.)</t>
  </si>
  <si>
    <t xml:space="preserve">Ожидаемое</t>
  </si>
  <si>
    <t xml:space="preserve">Связи с другими рисками</t>
  </si>
  <si>
    <t xml:space="preserve">сам по себе</t>
  </si>
  <si>
    <t xml:space="preserve">Мин.</t>
  </si>
  <si>
    <t xml:space="preserve">Наиболее вероятное</t>
  </si>
  <si>
    <t xml:space="preserve">Макс.</t>
  </si>
  <si>
    <t>A</t>
  </si>
  <si>
    <t xml:space="preserve">Надзорный орган поздно утверждает проект</t>
  </si>
  <si>
    <t xml:space="preserve">Не зависит от других рисков</t>
  </si>
  <si>
    <t>B</t>
  </si>
  <si>
    <t xml:space="preserve">Специализированный подрядчик недоступен, когда нужен</t>
  </si>
  <si>
    <t>C</t>
  </si>
  <si>
    <t xml:space="preserve">Грунт хуже, чем показали изыскания</t>
  </si>
  <si>
    <t>D</t>
  </si>
  <si>
    <t xml:space="preserve">Фундамент придется перепроектировать</t>
  </si>
  <si>
    <t>E</t>
  </si>
  <si>
    <t xml:space="preserve">График придется ускорять</t>
  </si>
  <si>
    <t>F</t>
  </si>
  <si>
    <t xml:space="preserve">Рост цен на сталь и кабель</t>
  </si>
  <si>
    <t>G</t>
  </si>
  <si>
    <t xml:space="preserve">Непогода останавливает работы на площадке</t>
  </si>
  <si>
    <t>H</t>
  </si>
  <si>
    <t xml:space="preserve">Генподрядчик подает крупную претензию</t>
  </si>
  <si>
    <t>I</t>
  </si>
  <si>
    <t xml:space="preserve">Пусконаладочные испытания не пройдены, их надо повторить</t>
  </si>
  <si>
    <t>J</t>
  </si>
  <si>
    <t xml:space="preserve">Поздняя поставка ключевого оборудования</t>
  </si>
  <si>
    <t xml:space="preserve">Ожидаемая стоимость реестра, риски независимы</t>
  </si>
  <si>
    <t xml:space="preserve">2   Эта итерация</t>
  </si>
  <si>
    <t xml:space="preserve">Два розыгрыша на риск, общие для обеих версий реестра: розыгрыш наступления решает, произойдет ли риск, розыгрыш тяжести помещает его стоимость в диапазоне.</t>
  </si>
  <si>
    <t xml:space="preserve">Розыгрыш наступления</t>
  </si>
  <si>
    <t xml:space="preserve">Происходит сам по себе?</t>
  </si>
  <si>
    <t xml:space="preserve">Запущен?</t>
  </si>
  <si>
    <t xml:space="preserve">Вероятность со связями</t>
  </si>
  <si>
    <t xml:space="preserve">Происходит со связями?</t>
  </si>
  <si>
    <t xml:space="preserve">Тяжесть</t>
  </si>
  <si>
    <t xml:space="preserve">Стоимость, если происходит</t>
  </si>
  <si>
    <t xml:space="preserve">Коэффициент стоимости</t>
  </si>
  <si>
    <t xml:space="preserve">Стоимость сама по себе</t>
  </si>
  <si>
    <t xml:space="preserve">Стоимость со связями</t>
  </si>
  <si>
    <t xml:space="preserve">Как рассчитывается</t>
  </si>
  <si>
    <t>0 – 1</t>
  </si>
  <si>
    <t xml:space="preserve">1 = да</t>
  </si>
  <si>
    <t xml:space="preserve">млн долл.</t>
  </si>
  <si>
    <t>–</t>
  </si>
  <si>
    <t xml:space="preserve">Два розыгрыша VoseUniform(0, 1) на риск, общие для обеих версий</t>
  </si>
  <si>
    <t xml:space="preserve">Происходит: VoseBernoulli(вероятность, розыгрыш наступления)</t>
  </si>
  <si>
    <t xml:space="preserve">Происходит = 1, когда розыгрыш попадает в верхнюю долю «вероятность» отрезка 0 – 1</t>
  </si>
  <si>
    <t xml:space="preserve">Запущен, если происходит A или C: тогда повышенная вероятность</t>
  </si>
  <si>
    <t xml:space="preserve">Запущен, если происходит A или D; D сам может быть повышен A или C</t>
  </si>
  <si>
    <t xml:space="preserve">Стоимость, если происходит: VosePERT(мин., наиболее вероятное, макс., тяжесть)</t>
  </si>
  <si>
    <t xml:space="preserve">Стоимость = происходит × стоимость, если происходит × коэффициент стоимости</t>
  </si>
  <si>
    <t xml:space="preserve">Происходят все B, C, E и F: повышенная вероятность и коэффициент стоимости</t>
  </si>
  <si>
    <t xml:space="preserve">Более высокая вероятность только добавляет итерации, в которых риск происходит</t>
  </si>
  <si>
    <t xml:space="preserve">Итого</t>
  </si>
  <si>
    <t xml:space="preserve">Число произошедших рисков и две суммы</t>
  </si>
  <si>
    <t xml:space="preserve">3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</si>
  <si>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</si>
  <si>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</si>
  <si>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</si>
  <si>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</si>
  <si>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Общая стоимость рисков, как будто независимых</t>
  </si>
  <si>
    <t xml:space="preserve">Каждый риск с его собственной вероятностью.</t>
  </si>
  <si>
    <t xml:space="preserve">Общая стоимость рисков, со связями</t>
  </si>
  <si>
    <t xml:space="preserve">То, что должен покрыть резерв.</t>
  </si>
  <si>
    <t xml:space="preserve">Добавлено связями</t>
  </si>
  <si>
    <t xml:space="preserve">Одни и те же розыгрыши в обоих вариантах: это эффект только связей.</t>
  </si>
  <si>
    <t xml:space="preserve">Добавляют ли связи стоимость в этой итерации?  (1 — да)</t>
  </si>
  <si>
    <t>1 / 0</t>
  </si>
  <si>
    <t xml:space="preserve">4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</si>
  <si>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</si>
  <si>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Вероятности от 0% до 100%</t>
  </si>
  <si>
    <t xml:space="preserve">Каждый диапазон стоимости упорядочен  (мин. ≤ наиболее вероятное ≤ макс.)</t>
  </si>
  <si>
    <t xml:space="preserve">Связи только повышают: каждая повышенная вероятность ≥ собственной, коэффициент стоимости ≥ 1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</si>
  <si>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</si>
  <si>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Риски</t>
  </si>
  <si>
    <t xml:space="preserve">1   Резерв на риски без связей и со связями</t>
  </si>
  <si>
    <t xml:space="preserve">Общая стоимость рисков — S-кривые</t>
  </si>
  <si>
    <t xml:space="preserve">Общая стоимость рисков при уровне доверия с листа «Исходные данные», по одним и тем же розыгрышам в обоих вариантах.</t>
  </si>
  <si>
    <t xml:space="preserve">Показатель</t>
  </si>
  <si>
    <t xml:space="preserve">Средняя сумма, риски независимы  (моделирование)</t>
  </si>
  <si>
    <t xml:space="preserve">Средняя сумма, со связями  (моделирование)</t>
  </si>
  <si>
    <t xml:space="preserve">Резерв, риски независимы</t>
  </si>
  <si>
    <t xml:space="preserve">Резерв, со связями</t>
  </si>
  <si>
    <t xml:space="preserve">Резерв, добавленный связями</t>
  </si>
  <si>
    <t xml:space="preserve">Уровень надежности  (лист «Исходные данные»)</t>
  </si>
  <si>
    <t xml:space="preserve">2   Диапазоны стоимости</t>
  </si>
  <si>
    <t xml:space="preserve">P50 / P80 / P90: вероятность 50%, 80% и 90%, что значение не будет превышено.</t>
  </si>
  <si>
    <t>P50</t>
  </si>
  <si>
    <t>P80</t>
  </si>
  <si>
    <t>P90</t>
  </si>
  <si>
    <t xml:space="preserve">Среднее</t>
  </si>
  <si>
    <t xml:space="preserve">Сумма, риски независимы</t>
  </si>
  <si>
    <t xml:space="preserve">Сумма, со связями</t>
  </si>
  <si>
    <t xml:space="preserve">Вероятность, что связи добавляют стоимость</t>
  </si>
  <si>
    <t xml:space="preserve">3   Как связи меняют связанные риски</t>
  </si>
  <si>
    <t xml:space="preserve">Как часто происходит каждый связанный риск: сам по себе и в моделировании со связями.</t>
  </si>
  <si>
    <t xml:space="preserve">Связанный риск</t>
  </si>
  <si>
    <t xml:space="preserve">Изменение</t>
  </si>
  <si>
    <t xml:space="preserve">D  Перепроектирование фундамента</t>
  </si>
  <si>
    <t xml:space="preserve">E  Ускорение графика</t>
  </si>
  <si>
    <t xml:space="preserve">H  Крупная претензия</t>
  </si>
  <si>
    <t xml:space="preserve">Стоимость H умножена  (B, C, E и F происходят все)</t>
  </si>
  <si>
    <t xml:space="preserve">4   Какие риски важны</t>
  </si>
  <si>
    <t xml:space="preserve">Какие риски определяют сумму со связями  (млн долл.)</t>
  </si>
  <si>
    <t xml:space="preserve">Наименьшая и наибольшая средняя сумма со связями по десяти равным группам стоимости каждого риска (VoseSimSensitivityMean).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</si>
  <si>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</si>
  <si>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</si>
  <si>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</si>
  <si>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</si>
  <si>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5   Как читать результаты</t>
  </si>
  <si>
    <t xml:space="preserve">•  Обе суммы получены по одним и тем же розыгрышам. Связь только повышает вероятность, поэтому со связями риск происходит в каждой итерации, в которой он происходил сам по себе, и еще в некоторых: разница сумм — это эффект только связей, а не шум выборки.</t>
  </si>
  <si>
    <t xml:space="preserve">•  Связи добавляют к резерву больше, чем к среднему: они заставляют риски происходить вместе, поэтому плохие исходы скапливаются. Резерв, установленный так, будто риски независимы, превышается чаще, чем говорит его уровень доверия: при исходных данных модели независимый P80 превышается примерно три раза из десяти, а не два.</t>
  </si>
  <si>
    <t xml:space="preserve">•  D и E становятся гораздо вероятнее, потому что их запускающие риски часты: A происходит три раза из десяти. Правило для H выглядит впечатляюще, но требует четырех рисков одновременно, поэтому срабатывает в очень немногих итерациях и мало что добавляет к любой статистике.</t>
  </si>
  <si>
    <t xml:space="preserve">•  Торнадо ранжирует риски по их влиянию на сумму со связями. C происходит лишь один раз из десяти, но стоит на втором месте: когда он происходит, D становится гораздо вероятнее, а через D — и E. По той же причине A стоит выше рисков с большей стоимостью.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</si>
  <si>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</si>
  <si>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</si>
  <si>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</si>
  <si>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</si>
  <si>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TotalOwn</t>
  </si>
  <si>
    <t>TotalLinked</t>
  </si>
  <si>
    <t xml:space="preserve">Общее среднее TotalLinked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</si>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</sst>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_);\(#,##0.0\);&quot;–&quot;_)"/>
    <numFmt numFmtId="165" formatCode="#,##0.00_);\(#,##0.00\);&quot;–&quot;_)"/>
    <numFmt numFmtId="166" formatCode="0.000"/>
    <numFmt numFmtId="167" formatCode="#,##0.0_);\(#,##0.0\);&quot;–&quot;_);&quot;–&quot;"/>
    <numFmt numFmtId="168" formatCode="#,##0.0;\-#,##0.0;#,##0.0;&quot;–&quot;"/>
    <numFmt numFmtId="169" formatCode="0.0%;\-0.0%;0.0%;&quot;–&quot;"/>
    <numFmt numFmtId="170" formatCode="0.0%"/>
    <numFmt numFmtId="171" formatCode="0.00%;\-0.00%;0.00%;&quot;–&quot;"/>
    <numFmt numFmtId="172" formatCode="0;\-0;0;&quot;–&quot;"/>
  </numFmts>
  <fonts count="25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sz val="10"/>
      <color rgb="FF8B8E95"/>
      <name val="Calibri"/>
    </font>
    <font>
      <b/>
      <sz val="10"/>
      <color rgb="FF15803D"/>
      <name val="Calibri"/>
    </font>
    <font>
      <sz val="10"/>
      <color rgb="FF55585F"/>
      <name val="Calibri"/>
    </font>
    <font>
      <b/>
      <sz val="13"/>
      <color rgb="FF1F2328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9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9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4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0" fillId="7" borderId="2" xfId="0" applyFill="1" applyBorder="1"/>
    <xf numFmtId="0" fontId="19" fillId="7" borderId="4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5" fontId="3" fillId="0" borderId="8" xfId="3" applyNumberFormat="1" applyBorder="1">
      <alignment horizontal="right" vertical="center"/>
    </xf>
    <xf numFmtId="0" fontId="0" fillId="0" borderId="9" xfId="0" applyBorder="1"/>
    <xf numFmtId="0" fontId="12" fillId="0" borderId="9" xfId="0" applyFont="1" applyBorder="1" applyAlignment="1">
      <alignment horizontal="left" vertical="center" indent="1"/>
    </xf>
    <xf numFmtId="165" fontId="12" fillId="0" borderId="9" xfId="3" applyNumberFormat="1" applyFont="1" applyBorder="1">
      <alignment horizontal="right" vertical="center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6" fontId="2" fillId="3" borderId="7" xfId="2" applyNumberFormat="1" applyBorder="1">
      <alignment horizontal="right" vertical="center"/>
    </xf>
    <xf numFmtId="1" fontId="2" fillId="3" borderId="7" xfId="2" applyNumberFormat="1" applyBorder="1">
      <alignment horizontal="right" vertical="center"/>
    </xf>
    <xf numFmtId="0" fontId="20" fillId="0" borderId="6" xfId="0" applyFont="1" applyBorder="1" applyAlignment="1">
      <alignment horizontal="right" vertical="center"/>
    </xf>
    <xf numFmtId="9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" fontId="3" fillId="0" borderId="8" xfId="3" applyNumberFormat="1" applyBorder="1">
      <alignment horizontal="right" vertical="center"/>
    </xf>
    <xf numFmtId="1" fontId="12" fillId="0" borderId="9" xfId="3" applyNumberFormat="1" applyFont="1" applyBorder="1">
      <alignment horizontal="right" vertical="center"/>
    </xf>
    <xf numFmtId="0" fontId="18" fillId="0" borderId="9" xfId="0" applyFont="1" applyBorder="1" applyAlignment="1">
      <alignment horizontal="left" vertical="center" indent="1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5" fontId="4" fillId="4" borderId="10" xfId="4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4" fillId="0" borderId="5" xfId="0" applyFont="1" applyBorder="1"/>
    <xf numFmtId="0" fontId="22" fillId="0" borderId="6" xfId="0" applyFont="1" applyBorder="1" applyAlignment="1">
      <alignment horizontal="left" vertical="center" indent="1"/>
    </xf>
    <xf numFmtId="167" fontId="1" fillId="5" borderId="7" xfId="5" applyNumberFormat="1" applyBorder="1">
      <alignment horizontal="right" vertical="center"/>
    </xf>
    <xf numFmtId="167" fontId="23" fillId="5" borderId="7" xfId="5" applyNumberFormat="1" applyFont="1" applyBorder="1">
      <alignment horizontal="right" vertical="center"/>
    </xf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3" fillId="0" borderId="8" xfId="3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2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7" fontId="1" fillId="5" borderId="1" xfId="5" applyNumberFormat="1">
      <alignment horizontal="right" vertical="center"/>
    </xf>
    <xf numFmtId="0" fontId="22" fillId="0" borderId="0" xfId="0" applyFont="1" applyAlignment="1">
      <alignment horizontal="left" vertical="center" indent="1"/>
    </xf>
    <xf numFmtId="164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Риски независимы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'Результаты'!$D$61:$D$110</c:f>
              <c:numCache>
                <c:formatCode>#,##0.00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6.2877581524192205</c:v>
                </c:pt>
                <c:pt idx="9">
                  <c:v>7.4408435578768781</c:v>
                </c:pt>
                <c:pt idx="10">
                  <c:v>8.1172569851381233</c:v>
                </c:pt>
                <c:pt idx="11">
                  <c:v>8.9128926362038712</c:v>
                </c:pt>
                <c:pt idx="12">
                  <c:v>9.4584282892836491</c:v>
                </c:pt>
                <c:pt idx="13">
                  <c:v>10.071707960191343</c:v>
                </c:pt>
                <c:pt idx="14">
                  <c:v>10.619840330605214</c:v>
                </c:pt>
                <c:pt idx="15">
                  <c:v>11.168951223168841</c:v>
                </c:pt>
                <c:pt idx="16">
                  <c:v>11.718696855827044</c:v>
                </c:pt>
                <c:pt idx="17">
                  <c:v>12.202155905954168</c:v>
                </c:pt>
                <c:pt idx="18">
                  <c:v>12.717998923346997</c:v>
                </c:pt>
                <c:pt idx="19">
                  <c:v>13.102278912204477</c:v>
                </c:pt>
                <c:pt idx="20">
                  <c:v>13.579468946154268</c:v>
                </c:pt>
                <c:pt idx="21">
                  <c:v>14.157917799826771</c:v>
                </c:pt>
                <c:pt idx="22">
                  <c:v>14.824768325518397</c:v>
                </c:pt>
                <c:pt idx="23">
                  <c:v>15.571529142324398</c:v>
                </c:pt>
                <c:pt idx="24">
                  <c:v>16.445625284789987</c:v>
                </c:pt>
                <c:pt idx="25">
                  <c:v>17.438748470547822</c:v>
                </c:pt>
                <c:pt idx="26">
                  <c:v>18.55527002909432</c:v>
                </c:pt>
                <c:pt idx="27">
                  <c:v>19.559024857421754</c:v>
                </c:pt>
                <c:pt idx="28">
                  <c:v>20.39463841838888</c:v>
                </c:pt>
                <c:pt idx="29">
                  <c:v>21.144984696088528</c:v>
                </c:pt>
                <c:pt idx="30">
                  <c:v>21.86658889145912</c:v>
                </c:pt>
                <c:pt idx="31">
                  <c:v>22.660764201208231</c:v>
                </c:pt>
                <c:pt idx="32">
                  <c:v>23.271414358001557</c:v>
                </c:pt>
                <c:pt idx="33">
                  <c:v>23.973408115585784</c:v>
                </c:pt>
                <c:pt idx="34">
                  <c:v>24.741714254798779</c:v>
                </c:pt>
                <c:pt idx="35">
                  <c:v>25.479119656461148</c:v>
                </c:pt>
                <c:pt idx="36">
                  <c:v>26.250834142262519</c:v>
                </c:pt>
                <c:pt idx="37">
                  <c:v>27.114692690155664</c:v>
                </c:pt>
                <c:pt idx="38">
                  <c:v>28.054626728313245</c:v>
                </c:pt>
                <c:pt idx="39">
                  <c:v>29.193975522216114</c:v>
                </c:pt>
                <c:pt idx="40">
                  <c:v>30.429063164351767</c:v>
                </c:pt>
                <c:pt idx="41">
                  <c:v>31.938005117757157</c:v>
                </c:pt>
                <c:pt idx="42">
                  <c:v>33.341966235115777</c:v>
                </c:pt>
                <c:pt idx="43">
                  <c:v>34.953353033112691</c:v>
                </c:pt>
                <c:pt idx="44">
                  <c:v>36.477394584472769</c:v>
                </c:pt>
                <c:pt idx="45">
                  <c:v>38.433669271473448</c:v>
                </c:pt>
                <c:pt idx="46">
                  <c:v>40.344275545916318</c:v>
                </c:pt>
                <c:pt idx="47">
                  <c:v>43.429931825440413</c:v>
                </c:pt>
                <c:pt idx="48">
                  <c:v>47.953606431471037</c:v>
                </c:pt>
                <c:pt idx="49">
                  <c:v>55.232620707927197</c:v>
                </c:pt>
              </c:numCache>
            </c:numRef>
          </c:xVal>
          <c:yVal>
            <c:numRef>
              <c:f>'Результаты'!$B$61:$B$110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2C1-4493-9EF7-B9CB92B5C6F2}"/>
            </c:ext>
          </c:extLst>
        </c:ser>
        <c:ser>
          <c:idx val="1"/>
          <c:order val="1"/>
          <c:tx>
            <c:v>Со связями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'Результаты'!$E$61:$E$110</c:f>
              <c:numCache>
                <c:formatCode>#,##0.00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6.2877581524192205</c:v>
                </c:pt>
                <c:pt idx="9">
                  <c:v>7.4570649963480857</c:v>
                </c:pt>
                <c:pt idx="10">
                  <c:v>8.2303850568630459</c:v>
                </c:pt>
                <c:pt idx="11">
                  <c:v>9.1735169984797604</c:v>
                </c:pt>
                <c:pt idx="12">
                  <c:v>9.9314022521835312</c:v>
                </c:pt>
                <c:pt idx="13">
                  <c:v>10.633730293619497</c:v>
                </c:pt>
                <c:pt idx="14">
                  <c:v>11.377892064947133</c:v>
                </c:pt>
                <c:pt idx="15">
                  <c:v>11.995836845497639</c:v>
                </c:pt>
                <c:pt idx="16">
                  <c:v>12.584328715765768</c:v>
                </c:pt>
                <c:pt idx="17">
                  <c:v>13.074872166847685</c:v>
                </c:pt>
                <c:pt idx="18">
                  <c:v>13.629349257358125</c:v>
                </c:pt>
                <c:pt idx="19">
                  <c:v>14.357357827905666</c:v>
                </c:pt>
                <c:pt idx="20">
                  <c:v>15.14495887668755</c:v>
                </c:pt>
                <c:pt idx="21">
                  <c:v>16.059357541802207</c:v>
                </c:pt>
                <c:pt idx="22">
                  <c:v>17.272017389597671</c:v>
                </c:pt>
                <c:pt idx="23">
                  <c:v>18.4838985057443</c:v>
                </c:pt>
                <c:pt idx="24">
                  <c:v>19.635566841369652</c:v>
                </c:pt>
                <c:pt idx="25">
                  <c:v>20.519884843450004</c:v>
                </c:pt>
                <c:pt idx="26">
                  <c:v>21.366200748849899</c:v>
                </c:pt>
                <c:pt idx="27">
                  <c:v>22.141290463327095</c:v>
                </c:pt>
                <c:pt idx="28">
                  <c:v>22.977818973975502</c:v>
                </c:pt>
                <c:pt idx="29">
                  <c:v>23.724375620897522</c:v>
                </c:pt>
                <c:pt idx="30">
                  <c:v>24.569372475903752</c:v>
                </c:pt>
                <c:pt idx="31">
                  <c:v>25.402800080502324</c:v>
                </c:pt>
                <c:pt idx="32">
                  <c:v>26.214008835484769</c:v>
                </c:pt>
                <c:pt idx="33">
                  <c:v>27.191577381326553</c:v>
                </c:pt>
                <c:pt idx="34">
                  <c:v>28.172090787511941</c:v>
                </c:pt>
                <c:pt idx="35">
                  <c:v>29.472217982779714</c:v>
                </c:pt>
                <c:pt idx="36">
                  <c:v>30.778071693828824</c:v>
                </c:pt>
                <c:pt idx="37">
                  <c:v>32.056866751780966</c:v>
                </c:pt>
                <c:pt idx="38">
                  <c:v>33.371968181527755</c:v>
                </c:pt>
                <c:pt idx="39">
                  <c:v>34.594932793221048</c:v>
                </c:pt>
                <c:pt idx="40">
                  <c:v>35.834423813891711</c:v>
                </c:pt>
                <c:pt idx="41">
                  <c:v>37.284219895729493</c:v>
                </c:pt>
                <c:pt idx="42">
                  <c:v>38.777311727591567</c:v>
                </c:pt>
                <c:pt idx="43">
                  <c:v>40.589679853976719</c:v>
                </c:pt>
                <c:pt idx="44">
                  <c:v>42.967360607463462</c:v>
                </c:pt>
                <c:pt idx="45">
                  <c:v>45.270452141910638</c:v>
                </c:pt>
                <c:pt idx="46">
                  <c:v>47.63670466485452</c:v>
                </c:pt>
                <c:pt idx="47">
                  <c:v>50.359197587081724</c:v>
                </c:pt>
                <c:pt idx="48">
                  <c:v>54.436281699099467</c:v>
                </c:pt>
                <c:pt idx="49">
                  <c:v>62.912960138468094</c:v>
                </c:pt>
              </c:numCache>
            </c:numRef>
          </c:xVal>
          <c:yVal>
            <c:numRef>
              <c:f>'Результаты'!$B$61:$B$110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2C1-4493-9EF7-B9CB92B5C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Общая стоимость рисков (млн долл.)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'Результаты'!$B$114:$B$123</c:f>
              <c:strCache>
                <c:ptCount val="10"/>
                <c:pt idx="0">
                  <c:v>D  Фундамент придется перепроектировать</c:v>
                </c:pt>
                <c:pt idx="1">
                  <c:v>C  Грунт хуже, чем показали изыскания</c:v>
                </c:pt>
                <c:pt idx="2">
                  <c:v>A  Надзорный орган поздно утверждает проект</c:v>
                </c:pt>
                <c:pt idx="3">
                  <c:v>J  Поздняя поставка ключевого оборудования</c:v>
                </c:pt>
                <c:pt idx="4">
                  <c:v>B  Специализированный подрядчик недоступен, когда нужен</c:v>
                </c:pt>
                <c:pt idx="5">
                  <c:v>E  График придется ускорять</c:v>
                </c:pt>
                <c:pt idx="6">
                  <c:v>I  Пусконаладочные испытания не пройдены, их надо повторить</c:v>
                </c:pt>
                <c:pt idx="7">
                  <c:v>H  Генподрядчик подает крупную претензию</c:v>
                </c:pt>
                <c:pt idx="8">
                  <c:v>G  Непогода останавливает работы на площадке</c:v>
                </c:pt>
                <c:pt idx="9">
                  <c:v>F  Рост цен на сталь и кабель</c:v>
                </c:pt>
              </c:strCache>
            </c:strRef>
          </c:cat>
          <c:val>
            <c:numRef>
              <c:f>'Результаты'!$F$114:$F$123</c:f>
              <c:numCache>
                <c:formatCode>#,##0.0_);\(#,##0.0\);"–"_)</c:formatCode>
                <c:ptCount val="10"/>
                <c:pt idx="0">
                  <c:v>17.161611138335292</c:v>
                </c:pt>
                <c:pt idx="1">
                  <c:v>17.261526247081331</c:v>
                </c:pt>
                <c:pt idx="2">
                  <c:v>13.531088420169244</c:v>
                </c:pt>
                <c:pt idx="3">
                  <c:v>12.496627625281928</c:v>
                </c:pt>
                <c:pt idx="4">
                  <c:v>13.101615859279914</c:v>
                </c:pt>
                <c:pt idx="5">
                  <c:v>10.112644737193225</c:v>
                </c:pt>
                <c:pt idx="6">
                  <c:v>11.067930581973609</c:v>
                </c:pt>
                <c:pt idx="7">
                  <c:v>11.859758425742189</c:v>
                </c:pt>
                <c:pt idx="8">
                  <c:v>8.1993603122801879</c:v>
                </c:pt>
                <c:pt idx="9">
                  <c:v>5.915525929361813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1E-449C-B909-4FF14C8D4EC5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'Результаты'!$B$114:$B$123</c:f>
              <c:strCache>
                <c:ptCount val="10"/>
                <c:pt idx="0">
                  <c:v>D  Фундамент придется перепроектировать</c:v>
                </c:pt>
                <c:pt idx="1">
                  <c:v>C  Грунт хуже, чем показали изыскания</c:v>
                </c:pt>
                <c:pt idx="2">
                  <c:v>A  Надзорный орган поздно утверждает проект</c:v>
                </c:pt>
                <c:pt idx="3">
                  <c:v>J  Поздняя поставка ключевого оборудования</c:v>
                </c:pt>
                <c:pt idx="4">
                  <c:v>B  Специализированный подрядчик недоступен, когда нужен</c:v>
                </c:pt>
                <c:pt idx="5">
                  <c:v>E  График придется ускорять</c:v>
                </c:pt>
                <c:pt idx="6">
                  <c:v>I  Пусконаладочные испытания не пройдены, их надо повторить</c:v>
                </c:pt>
                <c:pt idx="7">
                  <c:v>H  Генподрядчик подает крупную претензию</c:v>
                </c:pt>
                <c:pt idx="8">
                  <c:v>G  Непогода останавливает работы на площадке</c:v>
                </c:pt>
                <c:pt idx="9">
                  <c:v>F  Рост цен на сталь и кабель</c:v>
                </c:pt>
              </c:strCache>
            </c:strRef>
          </c:cat>
          <c:val>
            <c:numRef>
              <c:f>'Результаты'!$G$114:$G$123</c:f>
              <c:numCache>
                <c:formatCode>#,##0.0_);\(#,##0.0\);"–"_)</c:formatCode>
                <c:ptCount val="10"/>
                <c:pt idx="0">
                  <c:v>-6.0066091000244324</c:v>
                </c:pt>
                <c:pt idx="1">
                  <c:v>-1.8973922424588459</c:v>
                </c:pt>
                <c:pt idx="2">
                  <c:v>-4.9929215237440836</c:v>
                </c:pt>
                <c:pt idx="3">
                  <c:v>-3.4669605961446415</c:v>
                </c:pt>
                <c:pt idx="4">
                  <c:v>-2.5118824688858581</c:v>
                </c:pt>
                <c:pt idx="5">
                  <c:v>-4.2738274410852881</c:v>
                </c:pt>
                <c:pt idx="6">
                  <c:v>-2.2150312643044145</c:v>
                </c:pt>
                <c:pt idx="7">
                  <c:v>-0.64657757103329061</c:v>
                </c:pt>
                <c:pt idx="8">
                  <c:v>-0.61147174475848232</c:v>
                </c:pt>
                <c:pt idx="9">
                  <c:v>-0.79214383480938722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1E-449C-B909-4FF14C8D4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36</xdr:row>
      <xdr:rowOff>0</xdr:rowOff>
    </xdr:from>
    <xdr:ext cx="6263999" cy="2412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4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ht="26.25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83" customHeight="1" x14ac:dyDescent="0.45">
      <c r="B16" s="76" t="s">
        <v>20</v>
      </c>
      <c r="C16" s="75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52.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ht="26.25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ht="26.25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ht="26.25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ht="26.25" x14ac:dyDescent="0.45">
      <c r="B67" s="20" t="s">
        <v>83</v>
      </c>
      <c r="C67" s="10" t="s">
        <v>84</v>
      </c>
    </row>
    <row r="68" spans="2:3" x14ac:dyDescent="0.45">
      <c r="B68" s="20" t="s">
        <v>85</v>
      </c>
      <c r="C68" s="10" t="s">
        <v>86</v>
      </c>
    </row>
    <row r="69" spans="2:3" ht="12" customHeight="1" x14ac:dyDescent="0.45"/>
    <row r="70" spans="2:3" ht="22.05" customHeight="1" x14ac:dyDescent="0.5">
      <c r="B70" s="7" t="s">
        <v>87</v>
      </c>
      <c r="C70" s="8"/>
    </row>
    <row r="71" spans="2:3" x14ac:dyDescent="0.45">
      <c r="B71" s="9" t="s">
        <v>88</v>
      </c>
      <c r="C71" s="10" t="s">
        <v>89</v>
      </c>
    </row>
    <row r="72" spans="2:3" x14ac:dyDescent="0.45">
      <c r="B72" s="9" t="s">
        <v>90</v>
      </c>
      <c r="C72" s="10" t="s">
        <v>91</v>
      </c>
    </row>
    <row r="73" spans="2:3" ht="16.05" customHeight="1" x14ac:dyDescent="0.45"/>
    <row r="74" spans="2:3" x14ac:dyDescent="0.45">
      <c r="B74" s="74" t="s">
        <v>92</v>
      </c>
      <c r="C74" s="75"/>
    </row>
  </sheetData>
  <mergeCells count="2">
    <mergeCell ref="B74:C74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Риски'!A1" display="Риски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0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93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94</v>
      </c>
      <c r="C4" s="5"/>
      <c r="D4" s="5"/>
      <c r="E4" s="5"/>
      <c r="F4" s="5"/>
      <c r="G4" s="5"/>
      <c r="H4" s="5"/>
      <c r="I4" s="5"/>
      <c r="J4" s="6" t="s">
        <v>95</v>
      </c>
    </row>
    <row r="5" spans="1:10" ht="8" customHeight="1" x14ac:dyDescent="0.45"/>
    <row r="6" spans="1:10" ht="20" customHeight="1" x14ac:dyDescent="0.45">
      <c r="B6" s="77" t="s">
        <v>96</v>
      </c>
      <c r="C6" s="75"/>
      <c r="D6" s="75"/>
      <c r="E6" s="75"/>
      <c r="F6" s="75"/>
      <c r="G6" s="75"/>
      <c r="H6" s="75"/>
      <c r="I6" s="75"/>
      <c r="J6" s="75"/>
    </row>
    <row r="7" spans="1:10" ht="6" customHeight="1" x14ac:dyDescent="0.45"/>
    <row r="8" spans="1:10" ht="22.05" customHeight="1" x14ac:dyDescent="0.5">
      <c r="B8" s="7" t="s">
        <v>97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98</v>
      </c>
    </row>
    <row r="10" spans="1:10" ht="18" customHeight="1" x14ac:dyDescent="0.45">
      <c r="B10" s="23" t="s">
        <v>99</v>
      </c>
      <c r="C10" s="23" t="s">
        <v>100</v>
      </c>
      <c r="D10" s="24" t="s">
        <v>101</v>
      </c>
      <c r="E10" s="23" t="s">
        <v>102</v>
      </c>
      <c r="F10" s="5"/>
      <c r="G10" s="5"/>
      <c r="H10" s="5"/>
      <c r="I10" s="5"/>
      <c r="J10" s="23" t="s">
        <v>103</v>
      </c>
    </row>
    <row r="11" spans="1:10" x14ac:dyDescent="0.45">
      <c r="B11" s="25" t="s">
        <v>104</v>
      </c>
      <c r="C11" s="26" t="s">
        <v>105</v>
      </c>
      <c r="D11" s="27">
        <v>0.5</v>
      </c>
      <c r="E11" s="26" t="s">
        <v>106</v>
      </c>
      <c r="F11" s="28"/>
      <c r="G11" s="28"/>
      <c r="H11" s="28"/>
      <c r="I11" s="28"/>
      <c r="J11" s="29" t="str">
        <f>"Сам по себе: "&amp;TEXT(P_D,"0%")&amp;". Позднее утверждение или плохой грунт часто вынуждают перепроектировать."</f>
        <v>Сам по себе: 15%. Позднее утверждение или плохой грунт часто вынуждают перепроектировать.</v>
      </c>
    </row>
    <row r="12" spans="1:10" x14ac:dyDescent="0.45">
      <c r="B12" s="25" t="s">
        <v>107</v>
      </c>
      <c r="C12" s="26" t="s">
        <v>105</v>
      </c>
      <c r="D12" s="27">
        <v>0.45</v>
      </c>
      <c r="E12" s="26" t="s">
        <v>106</v>
      </c>
      <c r="F12" s="28"/>
      <c r="G12" s="28"/>
      <c r="H12" s="28"/>
      <c r="I12" s="28"/>
      <c r="J12" s="29" t="str">
        <f>"Сам по себе: "&amp;TEXT(P_E,"0%")&amp;". Позднее утверждение или перепроектирование оставляют меньше времени."</f>
        <v>Сам по себе: 22%. Позднее утверждение или перепроектирование оставляют меньше времени.</v>
      </c>
    </row>
    <row r="13" spans="1:10" x14ac:dyDescent="0.45">
      <c r="B13" s="25" t="s">
        <v>108</v>
      </c>
      <c r="C13" s="26" t="s">
        <v>105</v>
      </c>
      <c r="D13" s="27">
        <v>0.13</v>
      </c>
      <c r="E13" s="26" t="s">
        <v>106</v>
      </c>
      <c r="F13" s="28"/>
      <c r="G13" s="28"/>
      <c r="H13" s="28"/>
      <c r="I13" s="28"/>
      <c r="J13" s="29" t="str">
        <f>"Сам по себе: "&amp;TEXT(P_H,"0%")&amp;". У подрядчика, которого затронули все четыре, есть основания для претензии."</f>
        <v>Сам по себе: 5%. У подрядчика, которого затронули все четыре, есть основания для претензии.</v>
      </c>
    </row>
    <row r="14" spans="1:10" x14ac:dyDescent="0.45">
      <c r="B14" s="25" t="s">
        <v>109</v>
      </c>
      <c r="C14" s="26" t="s">
        <v>110</v>
      </c>
      <c r="D14" s="30">
        <v>3.2</v>
      </c>
      <c r="E14" s="26" t="s">
        <v>106</v>
      </c>
      <c r="F14" s="28"/>
      <c r="G14" s="28"/>
      <c r="H14" s="28"/>
      <c r="I14" s="28"/>
      <c r="J14" s="29" t="s">
        <v>111</v>
      </c>
    </row>
    <row r="15" spans="1:10" ht="8" customHeight="1" x14ac:dyDescent="0.45"/>
    <row r="16" spans="1:10" ht="22.05" customHeight="1" x14ac:dyDescent="0.5">
      <c r="B16" s="7" t="s">
        <v>112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113</v>
      </c>
    </row>
    <row r="18" spans="2:10" ht="18" customHeight="1" x14ac:dyDescent="0.45">
      <c r="B18" s="23" t="s">
        <v>99</v>
      </c>
      <c r="C18" s="23" t="s">
        <v>100</v>
      </c>
      <c r="D18" s="24" t="s">
        <v>101</v>
      </c>
      <c r="E18" s="23" t="s">
        <v>102</v>
      </c>
      <c r="F18" s="5"/>
      <c r="G18" s="5"/>
      <c r="H18" s="5"/>
      <c r="I18" s="5"/>
      <c r="J18" s="23" t="s">
        <v>103</v>
      </c>
    </row>
    <row r="19" spans="2:10" x14ac:dyDescent="0.45">
      <c r="B19" s="25" t="s">
        <v>114</v>
      </c>
      <c r="C19" s="26" t="s">
        <v>105</v>
      </c>
      <c r="D19" s="27">
        <v>0.8</v>
      </c>
      <c r="E19" s="26" t="s">
        <v>106</v>
      </c>
      <c r="F19" s="28"/>
      <c r="G19" s="28"/>
      <c r="H19" s="28"/>
      <c r="I19" s="28"/>
      <c r="J19" s="29" t="s">
        <v>115</v>
      </c>
    </row>
    <row r="20" spans="2:10" ht="8" customHeight="1" x14ac:dyDescent="0.45"/>
  </sheetData>
  <mergeCells count="1">
    <mergeCell ref="B6:J6"/>
  </mergeCells>
  <dataValidations count="2">
    <dataValidation type="decimal" showErrorMessage="1" errorTitle="Вероятность" error="Введите значение от 0% до 100%." sqref="D19 D11:D13" xr:uid="{00000000-0002-0000-0100-000000000000}">
      <formula1>0</formula1>
      <formula2>1</formula2>
    </dataValidation>
    <dataValidation type="decimal" operator="greaterThan" showErrorMessage="1" errorTitle="Положительное значение" error="Введите значение больше нуля." sqref="D14" xr:uid="{00000000-0002-0000-0100-000003000000}">
      <formula1>0</formula1>
    </dataValidation>
  </dataValidations>
  <hyperlinks>
    <hyperlink ref="B4" location="'Описание'!A1" display="◂  Описание" xr:uid="{00000000-0004-0000-0100-000000000000}"/>
    <hyperlink ref="J4" location="'Риски'!A1" display="Далее:  Риски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N51"/>
  <sheetViews>
    <sheetView showGridLines="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5" customWidth="1"/>
    <col min="3" max="3" width="46" customWidth="1"/>
    <col min="4" max="8" width="10" customWidth="1"/>
    <col min="9" max="9" width="9" customWidth="1"/>
    <col min="10" max="10" width="10" customWidth="1"/>
    <col min="11" max="11" width="8" customWidth="1"/>
    <col min="12" max="13" width="10" customWidth="1"/>
    <col min="14" max="14" width="50" customWidth="1"/>
  </cols>
  <sheetData>
    <row r="1" spans="1:14" ht="6" customHeight="1" x14ac:dyDescent="0.45"/>
    <row r="2" spans="1:14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</row>
    <row r="3" spans="1:14" ht="20" customHeight="1" x14ac:dyDescent="0.45">
      <c r="A3" s="1"/>
      <c r="B3" s="4" t="s">
        <v>116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0" customHeight="1" x14ac:dyDescent="0.45">
      <c r="A4" s="5"/>
      <c r="B4" s="22" t="s">
        <v>117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118</v>
      </c>
    </row>
    <row r="5" spans="1:14" ht="8" customHeight="1" x14ac:dyDescent="0.45"/>
    <row r="6" spans="1:14" ht="22.05" customHeight="1" x14ac:dyDescent="0.5">
      <c r="B6" s="7" t="s">
        <v>119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8" customHeight="1" x14ac:dyDescent="0.45">
      <c r="B7" s="13" t="s">
        <v>120</v>
      </c>
    </row>
    <row r="8" spans="1:14" ht="18" customHeight="1" x14ac:dyDescent="0.45">
      <c r="B8" s="31" t="s">
        <v>121</v>
      </c>
      <c r="C8" s="31" t="s">
        <v>122</v>
      </c>
      <c r="D8" s="32" t="s">
        <v>123</v>
      </c>
      <c r="E8" s="31" t="s">
        <v>124</v>
      </c>
      <c r="F8" s="33"/>
      <c r="G8" s="33"/>
      <c r="H8" s="32" t="s">
        <v>125</v>
      </c>
      <c r="I8" s="33"/>
      <c r="J8" s="33"/>
      <c r="K8" s="33"/>
      <c r="L8" s="33"/>
      <c r="M8" s="33"/>
      <c r="N8" s="31" t="s">
        <v>126</v>
      </c>
    </row>
    <row r="9" spans="1:14" x14ac:dyDescent="0.45">
      <c r="B9" s="34"/>
      <c r="C9" s="34"/>
      <c r="D9" s="34" t="s">
        <v>127</v>
      </c>
      <c r="E9" s="34" t="s">
        <v>128</v>
      </c>
      <c r="F9" s="34" t="s">
        <v>129</v>
      </c>
      <c r="G9" s="34" t="s">
        <v>130</v>
      </c>
      <c r="H9" s="34" t="s">
        <v>127</v>
      </c>
      <c r="I9" s="34"/>
      <c r="J9" s="34"/>
      <c r="K9" s="34"/>
      <c r="L9" s="34"/>
      <c r="M9" s="34"/>
      <c r="N9" s="34"/>
    </row>
    <row r="10" spans="1:14" x14ac:dyDescent="0.45">
      <c r="B10" s="35" t="s">
        <v>131</v>
      </c>
      <c r="C10" s="25" t="s">
        <v>132</v>
      </c>
      <c r="D10" s="27">
        <v>0.3</v>
      </c>
      <c r="E10" s="30">
        <v>7</v>
      </c>
      <c r="F10" s="30">
        <v>10</v>
      </c>
      <c r="G10" s="30">
        <v>15</v>
      </c>
      <c r="H10" s="36">
        <f t="shared" ref="H10:H19" si="0">D10*(E10+4*F10+G10)/6</f>
        <v>3.0999999999999996</v>
      </c>
      <c r="I10" s="28"/>
      <c r="J10" s="28"/>
      <c r="K10" s="28"/>
      <c r="L10" s="28"/>
      <c r="M10" s="28"/>
      <c r="N10" s="26" t="s">
        <v>133</v>
      </c>
    </row>
    <row r="11" spans="1:14" x14ac:dyDescent="0.45">
      <c r="B11" s="35" t="s">
        <v>134</v>
      </c>
      <c r="C11" s="25" t="s">
        <v>135</v>
      </c>
      <c r="D11" s="27">
        <v>0.2</v>
      </c>
      <c r="E11" s="30">
        <v>9.8000000000000007</v>
      </c>
      <c r="F11" s="30">
        <v>12</v>
      </c>
      <c r="G11" s="30">
        <v>18</v>
      </c>
      <c r="H11" s="36">
        <f t="shared" si="0"/>
        <v>2.5266666666666668</v>
      </c>
      <c r="I11" s="28"/>
      <c r="J11" s="28"/>
      <c r="K11" s="28"/>
      <c r="L11" s="28"/>
      <c r="M11" s="28"/>
      <c r="N11" s="26" t="s">
        <v>133</v>
      </c>
    </row>
    <row r="12" spans="1:14" x14ac:dyDescent="0.45">
      <c r="B12" s="35" t="s">
        <v>136</v>
      </c>
      <c r="C12" s="25" t="s">
        <v>137</v>
      </c>
      <c r="D12" s="27">
        <v>0.1</v>
      </c>
      <c r="E12" s="30">
        <v>10.4</v>
      </c>
      <c r="F12" s="30">
        <v>13</v>
      </c>
      <c r="G12" s="30">
        <v>19.5</v>
      </c>
      <c r="H12" s="36">
        <f t="shared" si="0"/>
        <v>1.3650000000000002</v>
      </c>
      <c r="I12" s="28"/>
      <c r="J12" s="28"/>
      <c r="K12" s="28"/>
      <c r="L12" s="28"/>
      <c r="M12" s="28"/>
      <c r="N12" s="26" t="s">
        <v>133</v>
      </c>
    </row>
    <row r="13" spans="1:14" x14ac:dyDescent="0.45">
      <c r="B13" s="35" t="s">
        <v>138</v>
      </c>
      <c r="C13" s="25" t="s">
        <v>139</v>
      </c>
      <c r="D13" s="27">
        <v>0.15</v>
      </c>
      <c r="E13" s="30">
        <v>11.2</v>
      </c>
      <c r="F13" s="30">
        <v>14</v>
      </c>
      <c r="G13" s="30">
        <v>21</v>
      </c>
      <c r="H13" s="36">
        <f t="shared" si="0"/>
        <v>2.2050000000000001</v>
      </c>
      <c r="I13" s="28"/>
      <c r="J13" s="28"/>
      <c r="K13" s="28"/>
      <c r="L13" s="28"/>
      <c r="M13" s="28"/>
      <c r="N13" s="26" t="str">
        <f>"Повышается до "&amp;TEXT(D_Linked,"0%")&amp;" если происходит A или C"</f>
        <v>Повышается до 50%, если происходит A или C</v>
      </c>
    </row>
    <row r="14" spans="1:14" x14ac:dyDescent="0.45">
      <c r="B14" s="35" t="s">
        <v>140</v>
      </c>
      <c r="C14" s="25" t="s">
        <v>141</v>
      </c>
      <c r="D14" s="27">
        <v>0.22</v>
      </c>
      <c r="E14" s="30">
        <v>6.4</v>
      </c>
      <c r="F14" s="30">
        <v>8</v>
      </c>
      <c r="G14" s="30">
        <v>12</v>
      </c>
      <c r="H14" s="36">
        <f t="shared" si="0"/>
        <v>1.8479999999999999</v>
      </c>
      <c r="I14" s="28"/>
      <c r="J14" s="28"/>
      <c r="K14" s="28"/>
      <c r="L14" s="28"/>
      <c r="M14" s="28"/>
      <c r="N14" s="26" t="str">
        <f>"Повышается до "&amp;TEXT(E_Linked,"0%")&amp;" если происходит A или D"</f>
        <v>Повышается до 45%, если происходит A или D</v>
      </c>
    </row>
    <row r="15" spans="1:14" x14ac:dyDescent="0.45">
      <c r="B15" s="35" t="s">
        <v>142</v>
      </c>
      <c r="C15" s="25" t="s">
        <v>143</v>
      </c>
      <c r="D15" s="27">
        <v>0.12</v>
      </c>
      <c r="E15" s="30">
        <v>4.8</v>
      </c>
      <c r="F15" s="30">
        <v>6</v>
      </c>
      <c r="G15" s="30">
        <v>9</v>
      </c>
      <c r="H15" s="36">
        <f t="shared" si="0"/>
        <v>0.75599999999999989</v>
      </c>
      <c r="I15" s="28"/>
      <c r="J15" s="28"/>
      <c r="K15" s="28"/>
      <c r="L15" s="28"/>
      <c r="M15" s="28"/>
      <c r="N15" s="26" t="s">
        <v>133</v>
      </c>
    </row>
    <row r="16" spans="1:14" x14ac:dyDescent="0.45">
      <c r="B16" s="35" t="s">
        <v>144</v>
      </c>
      <c r="C16" s="25" t="s">
        <v>145</v>
      </c>
      <c r="D16" s="27">
        <v>7.0000000000000007E-2</v>
      </c>
      <c r="E16" s="30">
        <v>6.4</v>
      </c>
      <c r="F16" s="30">
        <v>8</v>
      </c>
      <c r="G16" s="30">
        <v>12</v>
      </c>
      <c r="H16" s="36">
        <f t="shared" si="0"/>
        <v>0.58799999999999997</v>
      </c>
      <c r="I16" s="28"/>
      <c r="J16" s="28"/>
      <c r="K16" s="28"/>
      <c r="L16" s="28"/>
      <c r="M16" s="28"/>
      <c r="N16" s="26" t="s">
        <v>133</v>
      </c>
    </row>
    <row r="17" spans="2:14" x14ac:dyDescent="0.45">
      <c r="B17" s="35" t="s">
        <v>146</v>
      </c>
      <c r="C17" s="25" t="s">
        <v>147</v>
      </c>
      <c r="D17" s="27">
        <v>0.05</v>
      </c>
      <c r="E17" s="30">
        <v>9.6</v>
      </c>
      <c r="F17" s="30">
        <v>12</v>
      </c>
      <c r="G17" s="30">
        <v>18</v>
      </c>
      <c r="H17" s="36">
        <f t="shared" si="0"/>
        <v>0.63</v>
      </c>
      <c r="I17" s="28"/>
      <c r="J17" s="28"/>
      <c r="K17" s="28"/>
      <c r="L17" s="28"/>
      <c r="M17" s="28"/>
      <c r="N17" s="26" t="str">
        <f>"Повышается до "&amp;TEXT(H_Linked,"0%")&amp;", стоимость × "&amp;TEXT(H_Mult,"0.0")&amp;" если происходят все B, C, E и F"</f>
        <v>Повышается до 13%, стоимость × 3,2, если происходят все B, C, E и F</v>
      </c>
    </row>
    <row r="18" spans="2:14" x14ac:dyDescent="0.45">
      <c r="B18" s="35" t="s">
        <v>148</v>
      </c>
      <c r="C18" s="25" t="s">
        <v>149</v>
      </c>
      <c r="D18" s="27">
        <v>0.19</v>
      </c>
      <c r="E18" s="30">
        <v>8.8000000000000007</v>
      </c>
      <c r="F18" s="30">
        <v>11</v>
      </c>
      <c r="G18" s="30">
        <v>16.5</v>
      </c>
      <c r="H18" s="36">
        <f t="shared" si="0"/>
        <v>2.1945000000000001</v>
      </c>
      <c r="I18" s="28"/>
      <c r="J18" s="28"/>
      <c r="K18" s="28"/>
      <c r="L18" s="28"/>
      <c r="M18" s="28"/>
      <c r="N18" s="26" t="s">
        <v>133</v>
      </c>
    </row>
    <row r="19" spans="2:14" x14ac:dyDescent="0.45">
      <c r="B19" s="35" t="s">
        <v>150</v>
      </c>
      <c r="C19" s="25" t="s">
        <v>151</v>
      </c>
      <c r="D19" s="27">
        <v>0.23</v>
      </c>
      <c r="E19" s="30">
        <v>11.2</v>
      </c>
      <c r="F19" s="30">
        <v>14</v>
      </c>
      <c r="G19" s="30">
        <v>21</v>
      </c>
      <c r="H19" s="36">
        <f t="shared" si="0"/>
        <v>3.3810000000000002</v>
      </c>
      <c r="I19" s="28"/>
      <c r="J19" s="28"/>
      <c r="K19" s="28"/>
      <c r="L19" s="28"/>
      <c r="M19" s="28"/>
      <c r="N19" s="26" t="s">
        <v>133</v>
      </c>
    </row>
    <row r="20" spans="2:14" x14ac:dyDescent="0.45">
      <c r="B20" s="37"/>
      <c r="C20" s="38" t="s">
        <v>152</v>
      </c>
      <c r="D20" s="37"/>
      <c r="E20" s="37"/>
      <c r="F20" s="37"/>
      <c r="G20" s="37"/>
      <c r="H20" s="39">
        <f>SUM(H10:H19)</f>
        <v>18.594166666666666</v>
      </c>
      <c r="I20" s="37"/>
      <c r="J20" s="37"/>
      <c r="K20" s="37"/>
      <c r="L20" s="37"/>
      <c r="M20" s="37"/>
      <c r="N20" s="37"/>
    </row>
    <row r="21" spans="2:14" ht="8" customHeight="1" x14ac:dyDescent="0.45"/>
    <row r="22" spans="2:14" ht="22.05" customHeight="1" x14ac:dyDescent="0.5">
      <c r="B22" s="7" t="s">
        <v>153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2:14" ht="18" customHeight="1" x14ac:dyDescent="0.45">
      <c r="B23" s="13" t="s">
        <v>154</v>
      </c>
    </row>
    <row r="24" spans="2:14" ht="44" customHeight="1" x14ac:dyDescent="0.45">
      <c r="B24" s="40" t="s">
        <v>121</v>
      </c>
      <c r="C24" s="40" t="s">
        <v>122</v>
      </c>
      <c r="D24" s="41" t="s">
        <v>155</v>
      </c>
      <c r="E24" s="41" t="s">
        <v>156</v>
      </c>
      <c r="F24" s="41" t="s">
        <v>157</v>
      </c>
      <c r="G24" s="41" t="s">
        <v>158</v>
      </c>
      <c r="H24" s="41" t="s">
        <v>159</v>
      </c>
      <c r="I24" s="41" t="s">
        <v>160</v>
      </c>
      <c r="J24" s="41" t="s">
        <v>161</v>
      </c>
      <c r="K24" s="41" t="s">
        <v>162</v>
      </c>
      <c r="L24" s="41" t="s">
        <v>163</v>
      </c>
      <c r="M24" s="41" t="s">
        <v>164</v>
      </c>
      <c r="N24" s="40" t="s">
        <v>165</v>
      </c>
    </row>
    <row r="25" spans="2:14" x14ac:dyDescent="0.45">
      <c r="B25" s="34"/>
      <c r="C25" s="34"/>
      <c r="D25" s="34" t="s">
        <v>166</v>
      </c>
      <c r="E25" s="34" t="s">
        <v>167</v>
      </c>
      <c r="F25" s="34" t="s">
        <v>167</v>
      </c>
      <c r="G25" s="34" t="s">
        <v>105</v>
      </c>
      <c r="H25" s="34" t="s">
        <v>167</v>
      </c>
      <c r="I25" s="34" t="s">
        <v>166</v>
      </c>
      <c r="J25" s="34" t="s">
        <v>168</v>
      </c>
      <c r="K25" s="34" t="s">
        <v>110</v>
      </c>
      <c r="L25" s="34" t="s">
        <v>168</v>
      </c>
      <c r="M25" s="34" t="s">
        <v>168</v>
      </c>
      <c r="N25" s="34"/>
    </row>
    <row r="26" spans="2:14" x14ac:dyDescent="0.45">
      <c r="B26" s="35" t="str">
        <f t="shared" ref="B26:C35" si="1">B10</f>
        <v>A</v>
      </c>
      <c r="C26" s="25" t="str">
        <f t="shared" si="1"/>
        <v>Надзорный орган поздно утверждает проект</v>
      </c>
      <c r="D26" s="42" cm="1">
        <f t="array" aca="1" ref="D26" ca="1">_xll.VoseUniform(0,1)</f>
        <v>0.38846746983472258</v>
      </c>
      <c r="E26" s="43" cm="1">
        <f t="array" aca="1" ref="E26" ca="1">_xll.VoseBernoulli(D10,D26)</f>
        <v>0</v>
      </c>
      <c r="F26" s="44" t="s">
        <v>169</v>
      </c>
      <c r="G26" s="45">
        <f>D10</f>
        <v>0.3</v>
      </c>
      <c r="H26" s="43" cm="1">
        <f t="array" aca="1" ref="H26" ca="1">_xll.VoseBernoulli(G26,D26)</f>
        <v>0</v>
      </c>
      <c r="I26" s="42" cm="1">
        <f t="array" aca="1" ref="I26" ca="1">_xll.VoseUniform(0,1)</f>
        <v>0.68623954534996301</v>
      </c>
      <c r="J26" s="46" cm="1">
        <f t="array" aca="1" ref="J26" ca="1">_xll.VosePERT(E10,F10,G10,I26)</f>
        <v>11.078416674342067</v>
      </c>
      <c r="K26" s="47">
        <v>1</v>
      </c>
      <c r="L26" s="36">
        <f t="shared" ref="L26:L35" ca="1" si="2">E26*J26</f>
        <v>0</v>
      </c>
      <c r="M26" s="36" cm="1">
        <f t="array" aca="1" ref="M26" ca="1">_xll.VoseInput("A  Надзорный орган поздно утверждает проект","млн долл.")+H26*J26*K26</f>
        <v>0</v>
      </c>
      <c r="N26" s="26" t="s">
        <v>170</v>
      </c>
    </row>
    <row r="27" spans="2:14" x14ac:dyDescent="0.45">
      <c r="B27" s="35" t="str">
        <f t="shared" si="1"/>
        <v>B</v>
      </c>
      <c r="C27" s="25" t="str">
        <f t="shared" si="1"/>
        <v>Специализированный подрядчик недоступен, когда нужен</v>
      </c>
      <c r="D27" s="42" cm="1">
        <f t="array" aca="1" ref="D27" ca="1">_xll.VoseUniform(0,1)</f>
        <v>0.50731271074619144</v>
      </c>
      <c r="E27" s="43" cm="1">
        <f t="array" aca="1" ref="E27" ca="1">_xll.VoseBernoulli(D11,D27)</f>
        <v>0</v>
      </c>
      <c r="F27" s="44" t="s">
        <v>169</v>
      </c>
      <c r="G27" s="45">
        <f>D11</f>
        <v>0.2</v>
      </c>
      <c r="H27" s="43" cm="1">
        <f t="array" aca="1" ref="H27" ca="1">_xll.VoseBernoulli(G27,D27)</f>
        <v>0</v>
      </c>
      <c r="I27" s="42" cm="1">
        <f t="array" aca="1" ref="I27" ca="1">_xll.VoseUniform(0,1)</f>
        <v>0.48328160785604268</v>
      </c>
      <c r="J27" s="46" cm="1">
        <f t="array" aca="1" ref="J27" ca="1">_xll.VosePERT(E11,F11,G11,I27)</f>
        <v>12.41665503649463</v>
      </c>
      <c r="K27" s="47">
        <v>1</v>
      </c>
      <c r="L27" s="36">
        <f t="shared" ca="1" si="2"/>
        <v>0</v>
      </c>
      <c r="M27" s="36" cm="1">
        <f t="array" aca="1" ref="M27" ca="1">_xll.VoseInput("B  Специализированный подрядчик недоступен, когда нужен","млн долл.")+H27*J27*K27</f>
        <v>0</v>
      </c>
      <c r="N27" s="26" t="s">
        <v>171</v>
      </c>
    </row>
    <row r="28" spans="2:14" x14ac:dyDescent="0.45">
      <c r="B28" s="35" t="str">
        <f t="shared" si="1"/>
        <v>C</v>
      </c>
      <c r="C28" s="25" t="str">
        <f t="shared" si="1"/>
        <v>Грунт хуже, чем показали изыскания</v>
      </c>
      <c r="D28" s="42" cm="1">
        <f t="array" aca="1" ref="D28" ca="1">_xll.VoseUniform(0,1)</f>
        <v>0.19131827016826719</v>
      </c>
      <c r="E28" s="43" cm="1">
        <f t="array" aca="1" ref="E28" ca="1">_xll.VoseBernoulli(D12,D28)</f>
        <v>0</v>
      </c>
      <c r="F28" s="44" t="s">
        <v>169</v>
      </c>
      <c r="G28" s="45">
        <f>D12</f>
        <v>0.1</v>
      </c>
      <c r="H28" s="43" cm="1">
        <f t="array" aca="1" ref="H28" ca="1">_xll.VoseBernoulli(G28,D28)</f>
        <v>0</v>
      </c>
      <c r="I28" s="42" cm="1">
        <f t="array" aca="1" ref="I28" ca="1">_xll.VoseUniform(0,1)</f>
        <v>0.1244266644353047</v>
      </c>
      <c r="J28" s="46" cm="1">
        <f t="array" aca="1" ref="J28" ca="1">_xll.VosePERT(E12,F12,G12,I28)</f>
        <v>11.72263850370954</v>
      </c>
      <c r="K28" s="47">
        <v>1</v>
      </c>
      <c r="L28" s="36">
        <f t="shared" ca="1" si="2"/>
        <v>0</v>
      </c>
      <c r="M28" s="36" cm="1">
        <f t="array" aca="1" ref="M28" ca="1">_xll.VoseInput("C  Грунт хуже, чем показали изыскания","млн долл.")+H28*J28*K28</f>
        <v>0</v>
      </c>
      <c r="N28" s="26" t="s">
        <v>172</v>
      </c>
    </row>
    <row r="29" spans="2:14" x14ac:dyDescent="0.45">
      <c r="B29" s="35" t="str">
        <f t="shared" si="1"/>
        <v>D</v>
      </c>
      <c r="C29" s="25" t="str">
        <f t="shared" si="1"/>
        <v>Фундамент придется перепроектировать</v>
      </c>
      <c r="D29" s="42" cm="1">
        <f t="array" aca="1" ref="D29" ca="1">_xll.VoseUniform(0,1)</f>
        <v>0.51483074820134789</v>
      </c>
      <c r="E29" s="43" cm="1">
        <f t="array" aca="1" ref="E29" ca="1">_xll.VoseBernoulli(D13,D29)</f>
        <v>0</v>
      </c>
      <c r="F29" s="48">
        <f ca="1">IF(OR(H26=1,H28=1),1,0)</f>
        <v>0</v>
      </c>
      <c r="G29" s="45">
        <f ca="1">IF(F29=1,D_Linked,D13)</f>
        <v>0.15</v>
      </c>
      <c r="H29" s="43" cm="1">
        <f t="array" aca="1" ref="H29" ca="1">_xll.VoseBernoulli(G29,D29)</f>
        <v>0</v>
      </c>
      <c r="I29" s="42" cm="1">
        <f t="array" aca="1" ref="I29" ca="1">_xll.VoseUniform(0,1)</f>
        <v>0.14371280639898032</v>
      </c>
      <c r="J29" s="46" cm="1">
        <f t="array" aca="1" ref="J29" ca="1">_xll.VosePERT(E13,F13,G13,I29)</f>
        <v>12.74152710503091</v>
      </c>
      <c r="K29" s="47">
        <v>1</v>
      </c>
      <c r="L29" s="36">
        <f t="shared" ca="1" si="2"/>
        <v>0</v>
      </c>
      <c r="M29" s="36" cm="1">
        <f t="array" aca="1" ref="M29" ca="1">_xll.VoseInput("D  Фундамент придется перепроектировать","млн долл.")+H29*J29*K29</f>
        <v>0</v>
      </c>
      <c r="N29" s="26" t="s">
        <v>173</v>
      </c>
    </row>
    <row r="30" spans="2:14" x14ac:dyDescent="0.45">
      <c r="B30" s="35" t="str">
        <f t="shared" si="1"/>
        <v>E</v>
      </c>
      <c r="C30" s="25" t="str">
        <f t="shared" si="1"/>
        <v>График придется ускорять</v>
      </c>
      <c r="D30" s="42" cm="1">
        <f t="array" aca="1" ref="D30" ca="1">_xll.VoseUniform(0,1)</f>
        <v>0.83595635287929326</v>
      </c>
      <c r="E30" s="43" cm="1">
        <f t="array" aca="1" ref="E30" ca="1">_xll.VoseBernoulli(D14,D30)</f>
        <v>1</v>
      </c>
      <c r="F30" s="48">
        <f ca="1">IF(OR(H26=1,H29=1),1,0)</f>
        <v>0</v>
      </c>
      <c r="G30" s="45">
        <f ca="1">IF(F30=1,E_Linked,D14)</f>
        <v>0.22</v>
      </c>
      <c r="H30" s="43" cm="1">
        <f t="array" aca="1" ref="H30" ca="1">_xll.VoseBernoulli(G30,D30)</f>
        <v>1</v>
      </c>
      <c r="I30" s="42" cm="1">
        <f t="array" aca="1" ref="I30" ca="1">_xll.VoseUniform(0,1)</f>
        <v>0.49813771911431104</v>
      </c>
      <c r="J30" s="46" cm="1">
        <f t="array" aca="1" ref="J30" ca="1">_xll.VosePERT(E14,F14,G14,I30)</f>
        <v>8.3008161222574994</v>
      </c>
      <c r="K30" s="47">
        <v>1</v>
      </c>
      <c r="L30" s="36">
        <f t="shared" ca="1" si="2"/>
        <v>8.3008161222574994</v>
      </c>
      <c r="M30" s="36" cm="1">
        <f t="array" aca="1" ref="M30" ca="1">_xll.VoseInput("E  График придется ускорять","млн долл.")+H30*J30*K30</f>
        <v>8.3008161222574994</v>
      </c>
      <c r="N30" s="26" t="s">
        <v>174</v>
      </c>
    </row>
    <row r="31" spans="2:14" x14ac:dyDescent="0.45">
      <c r="B31" s="35" t="str">
        <f t="shared" si="1"/>
        <v>F</v>
      </c>
      <c r="C31" s="25" t="str">
        <f t="shared" si="1"/>
        <v>Рост цен на сталь и кабель</v>
      </c>
      <c r="D31" s="42" cm="1">
        <f t="array" aca="1" ref="D31" ca="1">_xll.VoseUniform(0,1)</f>
        <v>0.57283893588464707</v>
      </c>
      <c r="E31" s="43" cm="1">
        <f t="array" aca="1" ref="E31" ca="1">_xll.VoseBernoulli(D15,D31)</f>
        <v>0</v>
      </c>
      <c r="F31" s="44" t="s">
        <v>169</v>
      </c>
      <c r="G31" s="45">
        <f>D15</f>
        <v>0.12</v>
      </c>
      <c r="H31" s="43" cm="1">
        <f t="array" aca="1" ref="H31" ca="1">_xll.VoseBernoulli(G31,D31)</f>
        <v>0</v>
      </c>
      <c r="I31" s="42" cm="1">
        <f t="array" aca="1" ref="I31" ca="1">_xll.VoseUniform(0,1)</f>
        <v>0.35214890644419938</v>
      </c>
      <c r="J31" s="46" cm="1">
        <f t="array" aca="1" ref="J31" ca="1">_xll.VosePERT(E15,F15,G15,I31)</f>
        <v>5.9227804853450934</v>
      </c>
      <c r="K31" s="47">
        <v>1</v>
      </c>
      <c r="L31" s="36">
        <f t="shared" ca="1" si="2"/>
        <v>0</v>
      </c>
      <c r="M31" s="36" cm="1">
        <f t="array" aca="1" ref="M31" ca="1">_xll.VoseInput("F  Рост цен на сталь и кабель","млн долл.")+H31*J31*K31</f>
        <v>0</v>
      </c>
      <c r="N31" s="26" t="s">
        <v>175</v>
      </c>
    </row>
    <row r="32" spans="2:14" x14ac:dyDescent="0.45">
      <c r="B32" s="35" t="str">
        <f t="shared" si="1"/>
        <v>G</v>
      </c>
      <c r="C32" s="25" t="str">
        <f t="shared" si="1"/>
        <v>Непогода останавливает работы на площадке</v>
      </c>
      <c r="D32" s="42" cm="1">
        <f t="array" aca="1" ref="D32" ca="1">_xll.VoseUniform(0,1)</f>
        <v>0.84826671367045492</v>
      </c>
      <c r="E32" s="43" cm="1">
        <f t="array" aca="1" ref="E32" ca="1">_xll.VoseBernoulli(D16,D32)</f>
        <v>0</v>
      </c>
      <c r="F32" s="44" t="s">
        <v>169</v>
      </c>
      <c r="G32" s="45">
        <f>D16</f>
        <v>7.0000000000000007E-2</v>
      </c>
      <c r="H32" s="43" cm="1">
        <f t="array" aca="1" ref="H32" ca="1">_xll.VoseBernoulli(G32,D32)</f>
        <v>0</v>
      </c>
      <c r="I32" s="42" cm="1">
        <f t="array" aca="1" ref="I32" ca="1">_xll.VoseUniform(0,1)</f>
        <v>3.9172497694380581E-2</v>
      </c>
      <c r="J32" s="46" cm="1">
        <f t="array" aca="1" ref="J32" ca="1">_xll.VosePERT(E16,F16,G16,I32)</f>
        <v>6.8453933190761802</v>
      </c>
      <c r="K32" s="47">
        <v>1</v>
      </c>
      <c r="L32" s="36">
        <f t="shared" ca="1" si="2"/>
        <v>0</v>
      </c>
      <c r="M32" s="36" cm="1">
        <f t="array" aca="1" ref="M32" ca="1">_xll.VoseInput("G  Непогода останавливает работы на площадке","млн долл.")+H32*J32*K32</f>
        <v>0</v>
      </c>
      <c r="N32" s="26" t="s">
        <v>176</v>
      </c>
    </row>
    <row r="33" spans="2:14" x14ac:dyDescent="0.45">
      <c r="B33" s="35" t="str">
        <f t="shared" si="1"/>
        <v>H</v>
      </c>
      <c r="C33" s="25" t="str">
        <f t="shared" si="1"/>
        <v>Генподрядчик подает крупную претензию</v>
      </c>
      <c r="D33" s="42" cm="1">
        <f t="array" aca="1" ref="D33" ca="1">_xll.VoseUniform(0,1)</f>
        <v>5.2587551181204617E-2</v>
      </c>
      <c r="E33" s="43" cm="1">
        <f t="array" aca="1" ref="E33" ca="1">_xll.VoseBernoulli(D17,D33)</f>
        <v>0</v>
      </c>
      <c r="F33" s="48">
        <f ca="1">IF(AND(H27=1,H28=1,H30=1,H31=1),1,0)</f>
        <v>0</v>
      </c>
      <c r="G33" s="45">
        <f ca="1">IF(F33=1,H_Linked,D17)</f>
        <v>0.05</v>
      </c>
      <c r="H33" s="43" cm="1">
        <f t="array" aca="1" ref="H33" ca="1">_xll.VoseBernoulli(G33,D33)</f>
        <v>0</v>
      </c>
      <c r="I33" s="42" cm="1">
        <f t="array" aca="1" ref="I33" ca="1">_xll.VoseUniform(0,1)</f>
        <v>0.16189354832749814</v>
      </c>
      <c r="J33" s="46" cm="1">
        <f t="array" aca="1" ref="J33" ca="1">_xll.VosePERT(E17,F17,G17,I33)</f>
        <v>11.011863661869146</v>
      </c>
      <c r="K33" s="47">
        <f ca="1">IF(F33=1,H_Mult,1)</f>
        <v>1</v>
      </c>
      <c r="L33" s="36">
        <f t="shared" ca="1" si="2"/>
        <v>0</v>
      </c>
      <c r="M33" s="36" cm="1">
        <f t="array" aca="1" ref="M33" ca="1">_xll.VoseInput("H  Генподрядчик подает крупную претензию","млн долл.")+H33*J33*K33</f>
        <v>0</v>
      </c>
      <c r="N33" s="26" t="s">
        <v>177</v>
      </c>
    </row>
    <row r="34" spans="2:14" x14ac:dyDescent="0.45">
      <c r="B34" s="35" t="str">
        <f t="shared" si="1"/>
        <v>I</v>
      </c>
      <c r="C34" s="25" t="str">
        <f t="shared" si="1"/>
        <v>Пусконаладочные испытания не пройдены, их надо повторить</v>
      </c>
      <c r="D34" s="42" cm="1">
        <f t="array" aca="1" ref="D34" ca="1">_xll.VoseUniform(0,1)</f>
        <v>0.11514201492536813</v>
      </c>
      <c r="E34" s="43" cm="1">
        <f t="array" aca="1" ref="E34" ca="1">_xll.VoseBernoulli(D18,D34)</f>
        <v>0</v>
      </c>
      <c r="F34" s="44" t="s">
        <v>169</v>
      </c>
      <c r="G34" s="45">
        <f>D18</f>
        <v>0.19</v>
      </c>
      <c r="H34" s="43" cm="1">
        <f t="array" aca="1" ref="H34" ca="1">_xll.VoseBernoulli(G34,D34)</f>
        <v>0</v>
      </c>
      <c r="I34" s="42" cm="1">
        <f t="array" aca="1" ref="I34" ca="1">_xll.VoseUniform(0,1)</f>
        <v>0.87211468757595867</v>
      </c>
      <c r="J34" s="46" cm="1">
        <f t="array" aca="1" ref="J34" ca="1">_xll.VosePERT(E18,F18,G18,I34)</f>
        <v>13.269173533049171</v>
      </c>
      <c r="K34" s="47">
        <v>1</v>
      </c>
      <c r="L34" s="36">
        <f t="shared" ca="1" si="2"/>
        <v>0</v>
      </c>
      <c r="M34" s="36" cm="1">
        <f t="array" aca="1" ref="M34" ca="1">_xll.VoseInput("I  Пусконаладочные испытания не пройдены, их надо повторить","млн долл.")+H34*J34*K34</f>
        <v>0</v>
      </c>
      <c r="N34" s="26" t="s">
        <v>178</v>
      </c>
    </row>
    <row r="35" spans="2:14" x14ac:dyDescent="0.45">
      <c r="B35" s="35" t="str">
        <f t="shared" si="1"/>
        <v>J</v>
      </c>
      <c r="C35" s="25" t="str">
        <f t="shared" si="1"/>
        <v>Поздняя поставка ключевого оборудования</v>
      </c>
      <c r="D35" s="42" cm="1">
        <f t="array" aca="1" ref="D35" ca="1">_xll.VoseUniform(0,1)</f>
        <v>3.8815592997707427E-2</v>
      </c>
      <c r="E35" s="43" cm="1">
        <f t="array" aca="1" ref="E35" ca="1">_xll.VoseBernoulli(D19,D35)</f>
        <v>0</v>
      </c>
      <c r="F35" s="44" t="s">
        <v>169</v>
      </c>
      <c r="G35" s="45">
        <f>D19</f>
        <v>0.23</v>
      </c>
      <c r="H35" s="43" cm="1">
        <f t="array" aca="1" ref="H35" ca="1">_xll.VoseBernoulli(G35,D35)</f>
        <v>0</v>
      </c>
      <c r="I35" s="42" cm="1">
        <f t="array" aca="1" ref="I35" ca="1">_xll.VoseUniform(0,1)</f>
        <v>0.67848868330474943</v>
      </c>
      <c r="J35" s="46" cm="1">
        <f t="array" aca="1" ref="J35" ca="1">_xll.VosePERT(E19,F19,G19,I35)</f>
        <v>15.481612951353508</v>
      </c>
      <c r="K35" s="47">
        <v>1</v>
      </c>
      <c r="L35" s="36">
        <f t="shared" ca="1" si="2"/>
        <v>0</v>
      </c>
      <c r="M35" s="36" cm="1">
        <f t="array" aca="1" ref="M35" ca="1">_xll.VoseInput("J  Поздняя поставка ключевого оборудования","млн долл.")+H35*J35*K35</f>
        <v>0</v>
      </c>
      <c r="N35" s="28"/>
    </row>
    <row r="36" spans="2:14" x14ac:dyDescent="0.45">
      <c r="B36" s="37"/>
      <c r="C36" s="38" t="s">
        <v>179</v>
      </c>
      <c r="D36" s="37"/>
      <c r="E36" s="49">
        <f ca="1">SUM(E26:E35)</f>
        <v>1</v>
      </c>
      <c r="F36" s="37"/>
      <c r="G36" s="37"/>
      <c r="H36" s="49">
        <f ca="1">SUM(H26:H35)</f>
        <v>1</v>
      </c>
      <c r="I36" s="37"/>
      <c r="J36" s="37"/>
      <c r="K36" s="37"/>
      <c r="L36" s="39">
        <f ca="1">SUM(L26:L35)</f>
        <v>8.3008161222574994</v>
      </c>
      <c r="M36" s="39">
        <f ca="1">SUM(M26:M35)</f>
        <v>8.3008161222574994</v>
      </c>
      <c r="N36" s="50" t="s">
        <v>180</v>
      </c>
    </row>
    <row r="37" spans="2:14" ht="8" customHeight="1" x14ac:dyDescent="0.45"/>
    <row r="38" spans="2:14" ht="22.05" customHeight="1" x14ac:dyDescent="0.5">
      <c r="B38" s="7" t="s">
        <v>181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 ht="18" customHeight="1" x14ac:dyDescent="0.45">
      <c r="B39" s="13" t="s">
        <v>182</v>
      </c>
    </row>
    <row r="40" spans="2:14" ht="18" customHeight="1" x14ac:dyDescent="0.45">
      <c r="B40" s="5"/>
      <c r="C40" s="51" t="s">
        <v>183</v>
      </c>
      <c r="D40" s="51" t="s">
        <v>100</v>
      </c>
      <c r="E40" s="52" t="s">
        <v>184</v>
      </c>
      <c r="F40" s="5"/>
      <c r="G40" s="5"/>
      <c r="H40" s="5"/>
      <c r="I40" s="5"/>
      <c r="J40" s="5"/>
      <c r="K40" s="5"/>
      <c r="L40" s="5"/>
      <c r="M40" s="5"/>
      <c r="N40" s="51" t="s">
        <v>185</v>
      </c>
    </row>
    <row r="41" spans="2:14" x14ac:dyDescent="0.45">
      <c r="B41" s="28"/>
      <c r="C41" s="25" t="s">
        <v>186</v>
      </c>
      <c r="D41" s="26" t="s">
        <v>168</v>
      </c>
      <c r="E41" s="53" cm="1">
        <f t="array" aca="1" ref="E41" ca="1">_xll.VoseOutput("Сумма, риски независимы","млн долл.")+L36</f>
        <v>8.3008161222574994</v>
      </c>
      <c r="F41" s="28"/>
      <c r="G41" s="28"/>
      <c r="H41" s="28"/>
      <c r="I41" s="28"/>
      <c r="J41" s="28"/>
      <c r="K41" s="28"/>
      <c r="L41" s="28"/>
      <c r="M41" s="28"/>
      <c r="N41" s="26" t="s">
        <v>187</v>
      </c>
    </row>
    <row r="42" spans="2:14" x14ac:dyDescent="0.45">
      <c r="B42" s="28"/>
      <c r="C42" s="25" t="s">
        <v>188</v>
      </c>
      <c r="D42" s="26" t="s">
        <v>168</v>
      </c>
      <c r="E42" s="53" cm="1">
        <f t="array" aca="1" ref="E42" ca="1">_xll.VoseOutput("Сумма, со связями","млн долл.")+M36</f>
        <v>8.3008161222574994</v>
      </c>
      <c r="F42" s="28"/>
      <c r="G42" s="28"/>
      <c r="H42" s="28"/>
      <c r="I42" s="28"/>
      <c r="J42" s="28"/>
      <c r="K42" s="28"/>
      <c r="L42" s="28"/>
      <c r="M42" s="28"/>
      <c r="N42" s="26" t="s">
        <v>189</v>
      </c>
    </row>
    <row r="43" spans="2:14" x14ac:dyDescent="0.45">
      <c r="B43" s="28"/>
      <c r="C43" s="25" t="s">
        <v>190</v>
      </c>
      <c r="D43" s="26" t="s">
        <v>168</v>
      </c>
      <c r="E43" s="53" cm="1">
        <f t="array" aca="1" ref="E43" ca="1">_xll.VoseOutput("Добавлено связями","млн долл.")+TotalLinked-TotalOwn</f>
        <v>0</v>
      </c>
      <c r="F43" s="28"/>
      <c r="G43" s="28"/>
      <c r="H43" s="28"/>
      <c r="I43" s="28"/>
      <c r="J43" s="28"/>
      <c r="K43" s="28"/>
      <c r="L43" s="28"/>
      <c r="M43" s="28"/>
      <c r="N43" s="26" t="s">
        <v>191</v>
      </c>
    </row>
    <row r="44" spans="2:14" x14ac:dyDescent="0.45">
      <c r="B44" s="28"/>
      <c r="C44" s="25" t="s">
        <v>192</v>
      </c>
      <c r="D44" s="26" t="s">
        <v>193</v>
      </c>
      <c r="E44" s="48">
        <f ca="1">IF(Extra&gt;0,1,0)</f>
        <v>0</v>
      </c>
      <c r="F44" s="28"/>
      <c r="G44" s="28"/>
      <c r="H44" s="28"/>
      <c r="I44" s="28"/>
      <c r="J44" s="28"/>
      <c r="K44" s="28"/>
      <c r="L44" s="28"/>
      <c r="M44" s="28"/>
      <c r="N44" s="26"/>
    </row>
    <row r="45" spans="2:14" ht="8" customHeight="1" x14ac:dyDescent="0.45"/>
    <row r="46" spans="2:14" ht="22.05" customHeight="1" x14ac:dyDescent="0.5">
      <c r="B46" s="7" t="s">
        <v>194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2:14" ht="18" customHeight="1" x14ac:dyDescent="0.45">
      <c r="B47" s="13" t="s">
        <v>195</v>
      </c>
    </row>
    <row r="48" spans="2:14" x14ac:dyDescent="0.45">
      <c r="B48" s="28"/>
      <c r="C48" s="25" t="s">
        <v>196</v>
      </c>
      <c r="D48" s="28"/>
      <c r="E48" s="54" t="str">
        <f>IF(AND(MIN(D10:D19,D_Linked,E_Linked,H_Linked)&gt;=0,MAX(D10:D19,D_Linked,E_Linked,H_Linked)&lt;=1),"ОК","ПРОВЕРИТЬ")</f>
        <v>ОК</v>
      </c>
      <c r="F48" s="28"/>
      <c r="G48" s="28"/>
      <c r="H48" s="28"/>
      <c r="I48" s="28"/>
      <c r="J48" s="28"/>
      <c r="K48" s="28"/>
      <c r="L48" s="28"/>
      <c r="M48" s="28"/>
      <c r="N48" s="28"/>
    </row>
    <row r="49" spans="2:14" x14ac:dyDescent="0.45">
      <c r="B49" s="28"/>
      <c r="C49" s="25" t="s">
        <v>197</v>
      </c>
      <c r="D49" s="28"/>
      <c r="E49" s="54" t="str">
        <f>IF(SUMPRODUCT(--(E10:E19&gt;F10:F19))+SUMPRODUCT(--(F10:F19&gt;G10:G19))=0,"ОК","ПРОВЕРИТЬ")</f>
        <v>ОК</v>
      </c>
      <c r="F49" s="28"/>
      <c r="G49" s="28"/>
      <c r="H49" s="28"/>
      <c r="I49" s="28"/>
      <c r="J49" s="28"/>
      <c r="K49" s="28"/>
      <c r="L49" s="28"/>
      <c r="M49" s="28"/>
      <c r="N49" s="28"/>
    </row>
    <row r="50" spans="2:14" x14ac:dyDescent="0.45">
      <c r="B50" s="28"/>
      <c r="C50" s="25" t="s">
        <v>198</v>
      </c>
      <c r="D50" s="28"/>
      <c r="E50" s="54" t="str">
        <f>IF(AND(D_Linked&gt;=P_D,E_Linked&gt;=P_E,H_Linked&gt;=P_H,H_Mult&gt;=1),"ОК","ПРОВЕРИТЬ")</f>
        <v>ОК</v>
      </c>
      <c r="F50" s="28"/>
      <c r="G50" s="28"/>
      <c r="H50" s="28"/>
      <c r="I50" s="28"/>
      <c r="J50" s="28"/>
      <c r="K50" s="28"/>
      <c r="L50" s="28"/>
      <c r="M50" s="28"/>
      <c r="N50" s="28"/>
    </row>
    <row r="51" spans="2:14" ht="14" customHeight="1" x14ac:dyDescent="0.45"/>
  </sheetData>
  <conditionalFormatting sqref="E48:E50">
    <cfRule type="expression" dxfId="4" priority="1">
      <formula>E48="CHECK"</formula>
    </cfRule>
  </conditionalFormatting>
  <dataValidations count="2">
    <dataValidation type="decimal" showErrorMessage="1" errorTitle="Вероятность" error="Введите значение от 0% до 100%." sqref="D10:D19" xr:uid="{00000000-0002-0000-0200-000000000000}">
      <formula1>0</formula1>
      <formula2>1</formula2>
    </dataValidation>
    <dataValidation type="custom" showErrorMessage="1" errorTitle="Диапазон затрат" error="Мин. ≤ наиболее вероятное ≤ макс." sqref="E10:G19" xr:uid="{00000000-0002-0000-0200-000001000000}">
      <formula1>AND($E10&lt;=$F10,$F10&lt;=$G10)</formula1>
    </dataValidation>
  </dataValidations>
  <hyperlinks>
    <hyperlink ref="B4" location="'Исходные данные'!A1" display="◂  Исходные данные" xr:uid="{00000000-0004-0000-0200-000000000000}"/>
    <hyperlink ref="N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69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2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199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200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5" t="str" cm="1">
        <f t="array" aca="1" ref="B6" ca="1">IF(ISNUMBER(_xll.VoseSimMean(TotalLinked)),"✔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6"/>
      <c r="D6" s="56"/>
      <c r="E6" s="56"/>
      <c r="F6" s="56"/>
      <c r="G6" s="56"/>
    </row>
    <row r="7" spans="1:18" x14ac:dyDescent="0.45">
      <c r="B7" s="57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201</v>
      </c>
      <c r="C9" s="8"/>
      <c r="D9" s="8"/>
      <c r="E9" s="8"/>
      <c r="F9" s="8"/>
      <c r="G9" s="8"/>
      <c r="I9" s="58" t="s">
        <v>202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203</v>
      </c>
    </row>
    <row r="11" spans="1:18" ht="18" customHeight="1" x14ac:dyDescent="0.45">
      <c r="B11" s="23" t="s">
        <v>204</v>
      </c>
      <c r="C11" s="23" t="s">
        <v>100</v>
      </c>
      <c r="D11" s="24" t="s">
        <v>184</v>
      </c>
      <c r="E11" s="5"/>
      <c r="F11" s="5"/>
      <c r="G11" s="5"/>
    </row>
    <row r="12" spans="1:18" x14ac:dyDescent="0.45">
      <c r="B12" s="59" t="s">
        <v>152</v>
      </c>
      <c r="C12" s="26" t="s">
        <v>168</v>
      </c>
      <c r="D12" s="47">
        <f>EV_Own</f>
        <v>18.594166666666666</v>
      </c>
      <c r="E12" s="28"/>
      <c r="F12" s="28"/>
      <c r="G12" s="28"/>
    </row>
    <row r="13" spans="1:18" x14ac:dyDescent="0.45">
      <c r="B13" s="25" t="s">
        <v>205</v>
      </c>
      <c r="C13" s="26" t="s">
        <v>168</v>
      </c>
      <c r="D13" s="60" cm="1">
        <f t="array" aca="1" ref="D13" ca="1">_xll.VoseSimMean(TotalOwn)</f>
        <v>18.830883064272005</v>
      </c>
      <c r="E13" s="28"/>
      <c r="F13" s="28"/>
      <c r="G13" s="28"/>
    </row>
    <row r="14" spans="1:18" x14ac:dyDescent="0.45">
      <c r="B14" s="25" t="s">
        <v>206</v>
      </c>
      <c r="C14" s="26" t="s">
        <v>168</v>
      </c>
      <c r="D14" s="60" cm="1">
        <f t="array" aca="1" ref="D14" ca="1">_xll.VoseSimMean(TotalLinked)</f>
        <v>21.530662280059058</v>
      </c>
      <c r="E14" s="28"/>
      <c r="F14" s="28"/>
      <c r="G14" s="28"/>
    </row>
    <row r="15" spans="1:18" x14ac:dyDescent="0.45">
      <c r="B15" s="25" t="s">
        <v>207</v>
      </c>
      <c r="C15" s="26" t="s">
        <v>168</v>
      </c>
      <c r="D15" s="60" cm="1">
        <f t="array" aca="1" ref="D15" ca="1">_xll.VoseSimPercentile(TotalOwn,Confidence)</f>
        <v>29.772035336707237</v>
      </c>
      <c r="E15" s="28"/>
      <c r="F15" s="28"/>
      <c r="G15" s="28"/>
    </row>
    <row r="16" spans="1:18" ht="22.05" customHeight="1" x14ac:dyDescent="0.45">
      <c r="B16" s="35" t="s">
        <v>208</v>
      </c>
      <c r="C16" s="26" t="s">
        <v>168</v>
      </c>
      <c r="D16" s="61" cm="1">
        <f t="array" aca="1" ref="D16" ca="1">_xll.VoseSimPercentile(TotalLinked,Confidence)</f>
        <v>35.170309281069009</v>
      </c>
      <c r="E16" s="28"/>
      <c r="F16" s="28"/>
      <c r="G16" s="28"/>
    </row>
    <row r="17" spans="2:7" x14ac:dyDescent="0.45">
      <c r="B17" s="35" t="s">
        <v>209</v>
      </c>
      <c r="C17" s="26" t="s">
        <v>168</v>
      </c>
      <c r="D17" s="60">
        <f ca="1">IFERROR(D16-D15,"–")</f>
        <v>5.3982739443617724</v>
      </c>
      <c r="E17" s="28"/>
      <c r="F17" s="28"/>
      <c r="G17" s="28"/>
    </row>
    <row r="18" spans="2:7" x14ac:dyDescent="0.45">
      <c r="B18" s="59" t="s">
        <v>210</v>
      </c>
      <c r="C18" s="26"/>
      <c r="D18" s="45">
        <f>Confidence</f>
        <v>0.8</v>
      </c>
      <c r="E18" s="28"/>
      <c r="F18" s="28"/>
      <c r="G18" s="28"/>
    </row>
    <row r="19" spans="2:7" ht="8" customHeight="1" x14ac:dyDescent="0.45"/>
    <row r="20" spans="2:7" ht="22.05" customHeight="1" x14ac:dyDescent="0.5">
      <c r="B20" s="7" t="s">
        <v>211</v>
      </c>
      <c r="C20" s="8"/>
      <c r="D20" s="8"/>
      <c r="E20" s="8"/>
      <c r="F20" s="8"/>
      <c r="G20" s="8"/>
    </row>
    <row r="21" spans="2:7" ht="18" customHeight="1" x14ac:dyDescent="0.45">
      <c r="B21" s="13" t="s">
        <v>212</v>
      </c>
    </row>
    <row r="22" spans="2:7" ht="18" customHeight="1" x14ac:dyDescent="0.45">
      <c r="B22" s="23" t="s">
        <v>204</v>
      </c>
      <c r="C22" s="23" t="s">
        <v>100</v>
      </c>
      <c r="D22" s="24" t="s">
        <v>213</v>
      </c>
      <c r="E22" s="24" t="s">
        <v>214</v>
      </c>
      <c r="F22" s="24" t="s">
        <v>215</v>
      </c>
      <c r="G22" s="24" t="s">
        <v>216</v>
      </c>
    </row>
    <row r="23" spans="2:7" x14ac:dyDescent="0.45">
      <c r="B23" s="25" t="s">
        <v>217</v>
      </c>
      <c r="C23" s="26" t="s">
        <v>168</v>
      </c>
      <c r="D23" s="60" cm="1">
        <f t="array" aca="1" ref="D23" ca="1">_xll.VoseSimPercentile(TotalOwn,0.5)</f>
        <v>16.91502104198883</v>
      </c>
      <c r="E23" s="60" cm="1">
        <f t="array" aca="1" ref="E23" ca="1">_xll.VoseSimPercentile(TotalOwn,0.8)</f>
        <v>29.772035336707237</v>
      </c>
      <c r="F23" s="60" cm="1">
        <f t="array" aca="1" ref="F23" ca="1">_xll.VoseSimPercentile(TotalOwn,0.9)</f>
        <v>37.475760588702911</v>
      </c>
      <c r="G23" s="60" cm="1">
        <f t="array" aca="1" ref="G23" ca="1">_xll.VoseSimMean(TotalOwn)</f>
        <v>18.830883064272005</v>
      </c>
    </row>
    <row r="24" spans="2:7" x14ac:dyDescent="0.45">
      <c r="B24" s="25" t="s">
        <v>218</v>
      </c>
      <c r="C24" s="26" t="s">
        <v>168</v>
      </c>
      <c r="D24" s="60" cm="1">
        <f t="array" aca="1" ref="D24" ca="1">_xll.VoseSimPercentile(TotalLinked,0.5)</f>
        <v>20.110448477766425</v>
      </c>
      <c r="E24" s="60" cm="1">
        <f t="array" aca="1" ref="E24" ca="1">_xll.VoseSimPercentile(TotalLinked,0.8)</f>
        <v>35.170309281069009</v>
      </c>
      <c r="F24" s="60" cm="1">
        <f t="array" aca="1" ref="F24" ca="1">_xll.VoseSimPercentile(TotalLinked,0.9)</f>
        <v>43.983730817121099</v>
      </c>
      <c r="G24" s="60" cm="1">
        <f t="array" aca="1" ref="G24" ca="1">_xll.VoseSimMean(TotalLinked)</f>
        <v>21.530662280059058</v>
      </c>
    </row>
    <row r="25" spans="2:7" x14ac:dyDescent="0.45">
      <c r="B25" s="25" t="s">
        <v>190</v>
      </c>
      <c r="C25" s="26" t="s">
        <v>168</v>
      </c>
      <c r="D25" s="62" cm="1">
        <f t="array" aca="1" ref="D25" ca="1">_xll.VoseSimPercentile(Extra,0.5)</f>
        <v>0</v>
      </c>
      <c r="E25" s="62" cm="1">
        <f t="array" aca="1" ref="E25" ca="1">_xll.VoseSimPercentile(Extra,0.8)</f>
        <v>0</v>
      </c>
      <c r="F25" s="62" cm="1">
        <f t="array" aca="1" ref="F25" ca="1">_xll.VoseSimPercentile(Extra,0.9)</f>
        <v>13.404260258919351</v>
      </c>
      <c r="G25" s="62" cm="1">
        <f t="array" aca="1" ref="G25" ca="1">_xll.VoseSimMean(Extra)</f>
        <v>2.6997792157870562</v>
      </c>
    </row>
    <row r="26" spans="2:7" ht="18" customHeight="1" x14ac:dyDescent="0.45">
      <c r="B26" s="23" t="s">
        <v>204</v>
      </c>
      <c r="C26" s="23" t="s">
        <v>100</v>
      </c>
      <c r="D26" s="24" t="s">
        <v>184</v>
      </c>
      <c r="E26" s="5"/>
      <c r="F26" s="5"/>
      <c r="G26" s="5"/>
    </row>
    <row r="27" spans="2:7" x14ac:dyDescent="0.45">
      <c r="B27" s="35" t="s">
        <v>219</v>
      </c>
      <c r="C27" s="26" t="s">
        <v>105</v>
      </c>
      <c r="D27" s="63" cm="1">
        <f t="array" aca="1" ref="D27" ca="1">_xll.VoseSimMean(AnyExtra)</f>
        <v>0.1961</v>
      </c>
      <c r="E27" s="28"/>
      <c r="F27" s="28"/>
      <c r="G27" s="28"/>
    </row>
    <row r="28" spans="2:7" ht="8" customHeight="1" x14ac:dyDescent="0.45"/>
    <row r="29" spans="2:7" ht="22.05" customHeight="1" x14ac:dyDescent="0.5">
      <c r="B29" s="7" t="s">
        <v>220</v>
      </c>
      <c r="C29" s="8"/>
      <c r="D29" s="8"/>
      <c r="E29" s="8"/>
      <c r="F29" s="8"/>
      <c r="G29" s="8"/>
    </row>
    <row r="30" spans="2:7" ht="18" customHeight="1" x14ac:dyDescent="0.45">
      <c r="B30" s="13" t="s">
        <v>221</v>
      </c>
    </row>
    <row r="31" spans="2:7" ht="18" customHeight="1" x14ac:dyDescent="0.45">
      <c r="B31" s="23" t="s">
        <v>222</v>
      </c>
      <c r="C31" s="5"/>
      <c r="D31" s="24" t="s">
        <v>59</v>
      </c>
      <c r="E31" s="24" t="s">
        <v>61</v>
      </c>
      <c r="F31" s="24" t="s">
        <v>223</v>
      </c>
      <c r="G31" s="5"/>
    </row>
    <row r="32" spans="2:7" x14ac:dyDescent="0.45">
      <c r="B32" s="25" t="s">
        <v>224</v>
      </c>
      <c r="C32" s="28"/>
      <c r="D32" s="64">
        <f>P_D</f>
        <v>0.15</v>
      </c>
      <c r="E32" s="63" cm="1">
        <f t="array" aca="1" ref="E32" ca="1">_xll.VoseSimMean(Hap_D)</f>
        <v>0.2828</v>
      </c>
      <c r="F32" s="63">
        <f ca="1">IFERROR(E32-D32,"–")</f>
        <v>0.1328</v>
      </c>
      <c r="G32" s="28"/>
    </row>
    <row r="33" spans="2:18" x14ac:dyDescent="0.45">
      <c r="B33" s="25" t="s">
        <v>225</v>
      </c>
      <c r="C33" s="28"/>
      <c r="D33" s="64">
        <f>P_E</f>
        <v>0.22</v>
      </c>
      <c r="E33" s="63" cm="1">
        <f t="array" aca="1" ref="E33" ca="1">_xll.VoseSimMean(Hap_E)</f>
        <v>0.31879999999999997</v>
      </c>
      <c r="F33" s="63">
        <f ca="1">IFERROR(E33-D33,"–")</f>
        <v>9.8799999999999971E-2</v>
      </c>
      <c r="G33" s="28"/>
    </row>
    <row r="34" spans="2:18" x14ac:dyDescent="0.45">
      <c r="B34" s="25" t="s">
        <v>226</v>
      </c>
      <c r="C34" s="28"/>
      <c r="D34" s="64">
        <f>P_H</f>
        <v>0.05</v>
      </c>
      <c r="E34" s="63" cm="1">
        <f t="array" aca="1" ref="E34" ca="1">_xll.VoseSimMean(Hap_H)</f>
        <v>5.1700000000000003E-2</v>
      </c>
      <c r="F34" s="63">
        <f ca="1">IFERROR(E34-D34,"–")</f>
        <v>1.7000000000000001E-3</v>
      </c>
      <c r="G34" s="28"/>
    </row>
    <row r="35" spans="2:18" x14ac:dyDescent="0.45">
      <c r="B35" s="25" t="s">
        <v>227</v>
      </c>
      <c r="C35" s="28"/>
      <c r="D35" s="64">
        <f>0</f>
        <v>0</v>
      </c>
      <c r="E35" s="65" cm="1">
        <f t="array" aca="1" ref="E35" ca="1">_xll.VoseSimMean(Trig_H)</f>
        <v>6.9999999999999999E-4</v>
      </c>
      <c r="F35" s="65">
        <f ca="1">IFERROR(E35-D35,"–")</f>
        <v>6.9999999999999999E-4</v>
      </c>
      <c r="G35" s="28"/>
    </row>
    <row r="36" spans="2:18" ht="22.05" customHeight="1" x14ac:dyDescent="0.5">
      <c r="B36" s="7" t="s">
        <v>228</v>
      </c>
      <c r="C36" s="8"/>
      <c r="D36" s="8"/>
      <c r="E36" s="8"/>
      <c r="F36" s="8"/>
      <c r="G36" s="8"/>
      <c r="I36" s="58" t="s">
        <v>229</v>
      </c>
      <c r="J36" s="8"/>
      <c r="K36" s="8"/>
      <c r="L36" s="8"/>
      <c r="M36" s="8"/>
      <c r="N36" s="8"/>
      <c r="O36" s="8"/>
      <c r="P36" s="8"/>
      <c r="Q36" s="8"/>
      <c r="R36" s="8"/>
    </row>
    <row r="37" spans="2:18" ht="18" customHeight="1" x14ac:dyDescent="0.45">
      <c r="B37" s="13" t="s">
        <v>230</v>
      </c>
    </row>
    <row r="38" spans="2:18" ht="18" customHeight="1" x14ac:dyDescent="0.45">
      <c r="B38" s="23" t="s">
        <v>231</v>
      </c>
      <c r="C38" s="24" t="s">
        <v>232</v>
      </c>
      <c r="D38" s="24" t="s">
        <v>233</v>
      </c>
      <c r="E38" s="66" t="s">
        <v>234</v>
      </c>
      <c r="F38" s="5"/>
      <c r="G38" s="5"/>
    </row>
    <row r="39" spans="2:18" x14ac:dyDescent="0.45">
      <c r="B39" s="25" t="str">
        <f t="array" aca="1" ref="B39:E48" ca="1">_xll.VoseSimSensitivityMean(TotalLinked,10,1,FALSE)</f>
        <v>D  Фундамент придется перепроектировать</v>
      </c>
      <c r="C39" s="60">
        <f ca="1"/>
        <v>15.524053180034626</v>
      </c>
      <c r="D39" s="60">
        <f ca="1"/>
        <v>38.69227341839435</v>
      </c>
      <c r="E39" s="67">
        <f ca="1"/>
        <v>1</v>
      </c>
      <c r="F39" s="28"/>
      <c r="G39" s="28"/>
    </row>
    <row r="40" spans="2:18" x14ac:dyDescent="0.45">
      <c r="B40" s="25" t="str">
        <f ca="1"/>
        <v>C  Грунт хуже, чем показали изыскания</v>
      </c>
      <c r="C40" s="60">
        <f ca="1"/>
        <v>19.633270037600212</v>
      </c>
      <c r="D40" s="60">
        <f ca="1"/>
        <v>38.792188527140389</v>
      </c>
      <c r="E40" s="67">
        <f ca="1"/>
        <v>2</v>
      </c>
      <c r="F40" s="28"/>
      <c r="G40" s="28"/>
    </row>
    <row r="41" spans="2:18" x14ac:dyDescent="0.45">
      <c r="B41" s="25" t="str">
        <f ca="1"/>
        <v>A  Надзорный орган поздно утверждает проект</v>
      </c>
      <c r="C41" s="60">
        <f ca="1"/>
        <v>16.537740756314975</v>
      </c>
      <c r="D41" s="60">
        <f ca="1"/>
        <v>35.061750700228302</v>
      </c>
      <c r="E41" s="67">
        <f ca="1"/>
        <v>3</v>
      </c>
      <c r="F41" s="28"/>
      <c r="G41" s="28"/>
    </row>
    <row r="42" spans="2:18" x14ac:dyDescent="0.45">
      <c r="B42" s="25" t="str">
        <f ca="1"/>
        <v>J  Поздняя поставка ключевого оборудования</v>
      </c>
      <c r="C42" s="60">
        <f ca="1"/>
        <v>18.063701683914417</v>
      </c>
      <c r="D42" s="60">
        <f ca="1"/>
        <v>34.027289905340986</v>
      </c>
      <c r="E42" s="67">
        <f ca="1"/>
        <v>4</v>
      </c>
      <c r="F42" s="28"/>
      <c r="G42" s="28"/>
    </row>
    <row r="43" spans="2:18" x14ac:dyDescent="0.45">
      <c r="B43" s="25" t="str">
        <f ca="1"/>
        <v>B  Специализированный подрядчик недоступен, когда нужен</v>
      </c>
      <c r="C43" s="60">
        <f ca="1"/>
        <v>19.0187798111732</v>
      </c>
      <c r="D43" s="60">
        <f ca="1"/>
        <v>34.632278139338972</v>
      </c>
      <c r="E43" s="67">
        <f ca="1"/>
        <v>5</v>
      </c>
      <c r="F43" s="28"/>
      <c r="G43" s="28"/>
    </row>
    <row r="44" spans="2:18" x14ac:dyDescent="0.45">
      <c r="B44" s="25" t="str">
        <f ca="1"/>
        <v>E  График придется ускорять</v>
      </c>
      <c r="C44" s="60">
        <f ca="1"/>
        <v>17.25683483897377</v>
      </c>
      <c r="D44" s="60">
        <f ca="1"/>
        <v>31.643307017252283</v>
      </c>
      <c r="E44" s="67">
        <f ca="1"/>
        <v>6</v>
      </c>
      <c r="F44" s="28"/>
      <c r="G44" s="28"/>
    </row>
    <row r="45" spans="2:18" x14ac:dyDescent="0.45">
      <c r="B45" s="25" t="str">
        <f ca="1"/>
        <v>I  Пусконаладочные испытания не пройдены, их надо повторить</v>
      </c>
      <c r="C45" s="60">
        <f ca="1"/>
        <v>19.315631015754644</v>
      </c>
      <c r="D45" s="60">
        <f ca="1"/>
        <v>32.598592862032667</v>
      </c>
      <c r="E45" s="67">
        <f ca="1"/>
        <v>7</v>
      </c>
      <c r="F45" s="28"/>
      <c r="G45" s="28"/>
    </row>
    <row r="46" spans="2:18" x14ac:dyDescent="0.45">
      <c r="B46" s="25" t="str">
        <f ca="1"/>
        <v>H  Генподрядчик подает крупную претензию</v>
      </c>
      <c r="C46" s="60">
        <f ca="1"/>
        <v>20.884084709025768</v>
      </c>
      <c r="D46" s="60">
        <f ca="1"/>
        <v>33.390420705801247</v>
      </c>
      <c r="E46" s="67">
        <f ca="1"/>
        <v>8</v>
      </c>
      <c r="F46" s="28"/>
      <c r="G46" s="28"/>
    </row>
    <row r="47" spans="2:18" x14ac:dyDescent="0.45">
      <c r="B47" s="25" t="str">
        <f ca="1"/>
        <v>G  Непогода останавливает работы на площадке</v>
      </c>
      <c r="C47" s="60">
        <f ca="1"/>
        <v>20.919190535300576</v>
      </c>
      <c r="D47" s="60">
        <f ca="1"/>
        <v>29.730022592339246</v>
      </c>
      <c r="E47" s="67">
        <f ca="1"/>
        <v>9</v>
      </c>
      <c r="F47" s="28"/>
      <c r="G47" s="28"/>
    </row>
    <row r="48" spans="2:18" x14ac:dyDescent="0.45">
      <c r="B48" s="25" t="str">
        <f ca="1"/>
        <v>F  Рост цен на сталь и кабель</v>
      </c>
      <c r="C48" s="60">
        <f ca="1"/>
        <v>20.738518445249671</v>
      </c>
      <c r="D48" s="60">
        <f ca="1"/>
        <v>27.446188209420871</v>
      </c>
      <c r="E48" s="67">
        <f ca="1"/>
        <v>10</v>
      </c>
      <c r="F48" s="28"/>
      <c r="G48" s="28"/>
    </row>
    <row r="51" spans="2:7" ht="22.05" customHeight="1" x14ac:dyDescent="0.5">
      <c r="B51" s="7" t="s">
        <v>235</v>
      </c>
      <c r="C51" s="8"/>
      <c r="D51" s="8"/>
      <c r="E51" s="8"/>
      <c r="F51" s="8"/>
      <c r="G51" s="8"/>
    </row>
    <row r="52" spans="2:7" ht="32" customHeight="1" x14ac:dyDescent="0.45">
      <c r="B52" s="76" t="s">
        <v>236</v>
      </c>
      <c r="C52" s="75"/>
      <c r="D52" s="75"/>
      <c r="E52" s="75"/>
      <c r="F52" s="75"/>
      <c r="G52" s="75"/>
    </row>
    <row r="53" spans="2:7" ht="45" customHeight="1" x14ac:dyDescent="0.45">
      <c r="B53" s="76" t="s">
        <v>237</v>
      </c>
      <c r="C53" s="75"/>
      <c r="D53" s="75"/>
      <c r="E53" s="75"/>
      <c r="F53" s="75"/>
      <c r="G53" s="75"/>
    </row>
    <row r="54" spans="2:7" ht="32" customHeight="1" x14ac:dyDescent="0.45">
      <c r="B54" s="76" t="s">
        <v>238</v>
      </c>
      <c r="C54" s="75"/>
      <c r="D54" s="75"/>
      <c r="E54" s="75"/>
      <c r="F54" s="75"/>
      <c r="G54" s="75"/>
    </row>
    <row r="55" spans="2:7" ht="32" customHeight="1" x14ac:dyDescent="0.45">
      <c r="B55" s="76" t="s">
        <v>239</v>
      </c>
      <c r="C55" s="75"/>
      <c r="D55" s="75"/>
      <c r="E55" s="75"/>
      <c r="F55" s="75"/>
      <c r="G55" s="75"/>
    </row>
    <row r="56" spans="2:7" ht="14" customHeight="1" x14ac:dyDescent="0.45"/>
    <row r="57" spans="2:7" ht="14" customHeight="1" x14ac:dyDescent="0.45"/>
    <row r="58" spans="2:7" ht="22.05" customHeight="1" x14ac:dyDescent="0.5">
      <c r="B58" s="7" t="s">
        <v>240</v>
      </c>
      <c r="C58" s="8"/>
      <c r="D58" s="8"/>
      <c r="E58" s="8"/>
      <c r="F58" s="8"/>
      <c r="G58" s="8"/>
    </row>
    <row r="59" spans="2:7" ht="18" customHeight="1" x14ac:dyDescent="0.45">
      <c r="B59" s="13" t="s">
        <v>241</v>
      </c>
    </row>
    <row r="60" spans="2:7" ht="28.05" hidden="1" customHeight="1" outlineLevel="1" x14ac:dyDescent="0.45">
      <c r="B60" s="24" t="s">
        <v>242</v>
      </c>
      <c r="C60" s="24" t="s">
        <v>243</v>
      </c>
      <c r="D60" s="24" t="s">
        <v>244</v>
      </c>
      <c r="E60" s="24" t="s">
        <v>245</v>
      </c>
      <c r="F60" s="5"/>
      <c r="G60" s="5"/>
    </row>
    <row r="61" spans="2:7" hidden="1" outlineLevel="1" x14ac:dyDescent="0.45">
      <c r="B61" s="68">
        <v>0.01</v>
      </c>
      <c r="C61" s="68">
        <f t="shared" ref="C61:C92" si="0">1-B61</f>
        <v>0.99</v>
      </c>
      <c r="D61" s="69" cm="1">
        <f t="array" aca="1" ref="D61" ca="1">IF(ISNUMBER(_xll.VoseSimPercentile(TotalOwn,$B61)),_xll.VoseSimPercentile(TotalOwn,$B61),NA())</f>
        <v>0</v>
      </c>
      <c r="E61" s="69" cm="1">
        <f t="array" aca="1" ref="E61" ca="1">IF(ISNUMBER(_xll.VoseSimPercentile(TotalLinked,$B61)),_xll.VoseSimPercentile(TotalLinked,$B61),NA())</f>
        <v>0</v>
      </c>
    </row>
    <row r="62" spans="2:7" hidden="1" outlineLevel="1" x14ac:dyDescent="0.45">
      <c r="B62" s="68">
        <v>0.03</v>
      </c>
      <c r="C62" s="68">
        <f t="shared" si="0"/>
        <v>0.97</v>
      </c>
      <c r="D62" s="69" cm="1">
        <f t="array" aca="1" ref="D62" ca="1">IF(ISNUMBER(_xll.VoseSimPercentile(TotalOwn,$B62)),_xll.VoseSimPercentile(TotalOwn,$B62),NA())</f>
        <v>0</v>
      </c>
      <c r="E62" s="69" cm="1">
        <f t="array" aca="1" ref="E62" ca="1">IF(ISNUMBER(_xll.VoseSimPercentile(TotalLinked,$B62)),_xll.VoseSimPercentile(TotalLinked,$B62),NA())</f>
        <v>0</v>
      </c>
    </row>
    <row r="63" spans="2:7" hidden="1" outlineLevel="1" x14ac:dyDescent="0.45">
      <c r="B63" s="68">
        <v>0.05</v>
      </c>
      <c r="C63" s="68">
        <f t="shared" si="0"/>
        <v>0.95</v>
      </c>
      <c r="D63" s="69" cm="1">
        <f t="array" aca="1" ref="D63" ca="1">IF(ISNUMBER(_xll.VoseSimPercentile(TotalOwn,$B63)),_xll.VoseSimPercentile(TotalOwn,$B63),NA())</f>
        <v>0</v>
      </c>
      <c r="E63" s="69" cm="1">
        <f t="array" aca="1" ref="E63" ca="1">IF(ISNUMBER(_xll.VoseSimPercentile(TotalLinked,$B63)),_xll.VoseSimPercentile(TotalLinked,$B63),NA())</f>
        <v>0</v>
      </c>
    </row>
    <row r="64" spans="2:7" hidden="1" outlineLevel="1" x14ac:dyDescent="0.45">
      <c r="B64" s="68">
        <v>7.0000000000000007E-2</v>
      </c>
      <c r="C64" s="68">
        <f t="shared" si="0"/>
        <v>0.92999999999999994</v>
      </c>
      <c r="D64" s="69" cm="1">
        <f t="array" aca="1" ref="D64" ca="1">IF(ISNUMBER(_xll.VoseSimPercentile(TotalOwn,$B64)),_xll.VoseSimPercentile(TotalOwn,$B64),NA())</f>
        <v>0</v>
      </c>
      <c r="E64" s="69" cm="1">
        <f t="array" aca="1" ref="E64" ca="1">IF(ISNUMBER(_xll.VoseSimPercentile(TotalLinked,$B64)),_xll.VoseSimPercentile(TotalLinked,$B64),NA())</f>
        <v>0</v>
      </c>
    </row>
    <row r="65" spans="2:5" hidden="1" outlineLevel="1" x14ac:dyDescent="0.45">
      <c r="B65" s="68">
        <v>0.09</v>
      </c>
      <c r="C65" s="68">
        <f t="shared" si="0"/>
        <v>0.91</v>
      </c>
      <c r="D65" s="69" cm="1">
        <f t="array" aca="1" ref="D65" ca="1">IF(ISNUMBER(_xll.VoseSimPercentile(TotalOwn,$B65)),_xll.VoseSimPercentile(TotalOwn,$B65),NA())</f>
        <v>0</v>
      </c>
      <c r="E65" s="69" cm="1">
        <f t="array" aca="1" ref="E65" ca="1">IF(ISNUMBER(_xll.VoseSimPercentile(TotalLinked,$B65)),_xll.VoseSimPercentile(TotalLinked,$B65),NA())</f>
        <v>0</v>
      </c>
    </row>
    <row r="66" spans="2:5" hidden="1" outlineLevel="1" x14ac:dyDescent="0.45">
      <c r="B66" s="68">
        <v>0.11</v>
      </c>
      <c r="C66" s="68">
        <f t="shared" si="0"/>
        <v>0.89</v>
      </c>
      <c r="D66" s="69" cm="1">
        <f t="array" aca="1" ref="D66" ca="1">IF(ISNUMBER(_xll.VoseSimPercentile(TotalOwn,$B66)),_xll.VoseSimPercentile(TotalOwn,$B66),NA())</f>
        <v>0</v>
      </c>
      <c r="E66" s="69" cm="1">
        <f t="array" aca="1" ref="E66" ca="1">IF(ISNUMBER(_xll.VoseSimPercentile(TotalLinked,$B66)),_xll.VoseSimPercentile(TotalLinked,$B66),NA())</f>
        <v>0</v>
      </c>
    </row>
    <row r="67" spans="2:5" hidden="1" outlineLevel="1" x14ac:dyDescent="0.45">
      <c r="B67" s="68">
        <v>0.13</v>
      </c>
      <c r="C67" s="68">
        <f t="shared" si="0"/>
        <v>0.87</v>
      </c>
      <c r="D67" s="69" cm="1">
        <f t="array" aca="1" ref="D67" ca="1">IF(ISNUMBER(_xll.VoseSimPercentile(TotalOwn,$B67)),_xll.VoseSimPercentile(TotalOwn,$B67),NA())</f>
        <v>0</v>
      </c>
      <c r="E67" s="69" cm="1">
        <f t="array" aca="1" ref="E67" ca="1">IF(ISNUMBER(_xll.VoseSimPercentile(TotalLinked,$B67)),_xll.VoseSimPercentile(TotalLinked,$B67),NA())</f>
        <v>0</v>
      </c>
    </row>
    <row r="68" spans="2:5" hidden="1" outlineLevel="1" x14ac:dyDescent="0.45">
      <c r="B68" s="68">
        <v>0.15</v>
      </c>
      <c r="C68" s="68">
        <f t="shared" si="0"/>
        <v>0.85</v>
      </c>
      <c r="D68" s="69" cm="1">
        <f t="array" aca="1" ref="D68" ca="1">IF(ISNUMBER(_xll.VoseSimPercentile(TotalOwn,$B68)),_xll.VoseSimPercentile(TotalOwn,$B68),NA())</f>
        <v>0</v>
      </c>
      <c r="E68" s="69" cm="1">
        <f t="array" aca="1" ref="E68" ca="1">IF(ISNUMBER(_xll.VoseSimPercentile(TotalLinked,$B68)),_xll.VoseSimPercentile(TotalLinked,$B68),NA())</f>
        <v>0</v>
      </c>
    </row>
    <row r="69" spans="2:5" hidden="1" outlineLevel="1" x14ac:dyDescent="0.45">
      <c r="B69" s="68">
        <v>0.17</v>
      </c>
      <c r="C69" s="68">
        <f t="shared" si="0"/>
        <v>0.83</v>
      </c>
      <c r="D69" s="69" cm="1">
        <f t="array" aca="1" ref="D69" ca="1">IF(ISNUMBER(_xll.VoseSimPercentile(TotalOwn,$B69)),_xll.VoseSimPercentile(TotalOwn,$B69),NA())</f>
        <v>6.2877581524192205</v>
      </c>
      <c r="E69" s="69" cm="1">
        <f t="array" aca="1" ref="E69" ca="1">IF(ISNUMBER(_xll.VoseSimPercentile(TotalLinked,$B69)),_xll.VoseSimPercentile(TotalLinked,$B69),NA())</f>
        <v>6.2877581524192205</v>
      </c>
    </row>
    <row r="70" spans="2:5" hidden="1" outlineLevel="1" x14ac:dyDescent="0.45">
      <c r="B70" s="68">
        <v>0.19</v>
      </c>
      <c r="C70" s="68">
        <f t="shared" si="0"/>
        <v>0.81</v>
      </c>
      <c r="D70" s="69" cm="1">
        <f t="array" aca="1" ref="D70" ca="1">IF(ISNUMBER(_xll.VoseSimPercentile(TotalOwn,$B70)),_xll.VoseSimPercentile(TotalOwn,$B70),NA())</f>
        <v>7.4408435578768781</v>
      </c>
      <c r="E70" s="69" cm="1">
        <f t="array" aca="1" ref="E70" ca="1">IF(ISNUMBER(_xll.VoseSimPercentile(TotalLinked,$B70)),_xll.VoseSimPercentile(TotalLinked,$B70),NA())</f>
        <v>7.4570649963480857</v>
      </c>
    </row>
    <row r="71" spans="2:5" hidden="1" outlineLevel="1" x14ac:dyDescent="0.45">
      <c r="B71" s="68">
        <v>0.21</v>
      </c>
      <c r="C71" s="68">
        <f t="shared" si="0"/>
        <v>0.79</v>
      </c>
      <c r="D71" s="69" cm="1">
        <f t="array" aca="1" ref="D71" ca="1">IF(ISNUMBER(_xll.VoseSimPercentile(TotalOwn,$B71)),_xll.VoseSimPercentile(TotalOwn,$B71),NA())</f>
        <v>8.1172569851381233</v>
      </c>
      <c r="E71" s="69" cm="1">
        <f t="array" aca="1" ref="E71" ca="1">IF(ISNUMBER(_xll.VoseSimPercentile(TotalLinked,$B71)),_xll.VoseSimPercentile(TotalLinked,$B71),NA())</f>
        <v>8.2303850568630459</v>
      </c>
    </row>
    <row r="72" spans="2:5" hidden="1" outlineLevel="1" x14ac:dyDescent="0.45">
      <c r="B72" s="68">
        <v>0.23</v>
      </c>
      <c r="C72" s="68">
        <f t="shared" si="0"/>
        <v>0.77</v>
      </c>
      <c r="D72" s="69" cm="1">
        <f t="array" aca="1" ref="D72" ca="1">IF(ISNUMBER(_xll.VoseSimPercentile(TotalOwn,$B72)),_xll.VoseSimPercentile(TotalOwn,$B72),NA())</f>
        <v>8.9128926362038712</v>
      </c>
      <c r="E72" s="69" cm="1">
        <f t="array" aca="1" ref="E72" ca="1">IF(ISNUMBER(_xll.VoseSimPercentile(TotalLinked,$B72)),_xll.VoseSimPercentile(TotalLinked,$B72),NA())</f>
        <v>9.1735169984797604</v>
      </c>
    </row>
    <row r="73" spans="2:5" hidden="1" outlineLevel="1" x14ac:dyDescent="0.45">
      <c r="B73" s="68">
        <v>0.25</v>
      </c>
      <c r="C73" s="68">
        <f t="shared" si="0"/>
        <v>0.75</v>
      </c>
      <c r="D73" s="69" cm="1">
        <f t="array" aca="1" ref="D73" ca="1">IF(ISNUMBER(_xll.VoseSimPercentile(TotalOwn,$B73)),_xll.VoseSimPercentile(TotalOwn,$B73),NA())</f>
        <v>9.4584282892836491</v>
      </c>
      <c r="E73" s="69" cm="1">
        <f t="array" aca="1" ref="E73" ca="1">IF(ISNUMBER(_xll.VoseSimPercentile(TotalLinked,$B73)),_xll.VoseSimPercentile(TotalLinked,$B73),NA())</f>
        <v>9.9314022521835312</v>
      </c>
    </row>
    <row r="74" spans="2:5" hidden="1" outlineLevel="1" x14ac:dyDescent="0.45">
      <c r="B74" s="68">
        <v>0.27</v>
      </c>
      <c r="C74" s="68">
        <f t="shared" si="0"/>
        <v>0.73</v>
      </c>
      <c r="D74" s="69" cm="1">
        <f t="array" aca="1" ref="D74" ca="1">IF(ISNUMBER(_xll.VoseSimPercentile(TotalOwn,$B74)),_xll.VoseSimPercentile(TotalOwn,$B74),NA())</f>
        <v>10.071707960191343</v>
      </c>
      <c r="E74" s="69" cm="1">
        <f t="array" aca="1" ref="E74" ca="1">IF(ISNUMBER(_xll.VoseSimPercentile(TotalLinked,$B74)),_xll.VoseSimPercentile(TotalLinked,$B74),NA())</f>
        <v>10.633730293619497</v>
      </c>
    </row>
    <row r="75" spans="2:5" hidden="1" outlineLevel="1" x14ac:dyDescent="0.45">
      <c r="B75" s="68">
        <v>0.28999999999999998</v>
      </c>
      <c r="C75" s="68">
        <f t="shared" si="0"/>
        <v>0.71</v>
      </c>
      <c r="D75" s="69" cm="1">
        <f t="array" aca="1" ref="D75" ca="1">IF(ISNUMBER(_xll.VoseSimPercentile(TotalOwn,$B75)),_xll.VoseSimPercentile(TotalOwn,$B75),NA())</f>
        <v>10.619840330605214</v>
      </c>
      <c r="E75" s="69" cm="1">
        <f t="array" aca="1" ref="E75" ca="1">IF(ISNUMBER(_xll.VoseSimPercentile(TotalLinked,$B75)),_xll.VoseSimPercentile(TotalLinked,$B75),NA())</f>
        <v>11.377892064947133</v>
      </c>
    </row>
    <row r="76" spans="2:5" hidden="1" outlineLevel="1" x14ac:dyDescent="0.45">
      <c r="B76" s="68">
        <v>0.31</v>
      </c>
      <c r="C76" s="68">
        <f t="shared" si="0"/>
        <v>0.69</v>
      </c>
      <c r="D76" s="69" cm="1">
        <f t="array" aca="1" ref="D76" ca="1">IF(ISNUMBER(_xll.VoseSimPercentile(TotalOwn,$B76)),_xll.VoseSimPercentile(TotalOwn,$B76),NA())</f>
        <v>11.168951223168841</v>
      </c>
      <c r="E76" s="69" cm="1">
        <f t="array" aca="1" ref="E76" ca="1">IF(ISNUMBER(_xll.VoseSimPercentile(TotalLinked,$B76)),_xll.VoseSimPercentile(TotalLinked,$B76),NA())</f>
        <v>11.995836845497639</v>
      </c>
    </row>
    <row r="77" spans="2:5" hidden="1" outlineLevel="1" x14ac:dyDescent="0.45">
      <c r="B77" s="68">
        <v>0.33</v>
      </c>
      <c r="C77" s="68">
        <f t="shared" si="0"/>
        <v>0.66999999999999993</v>
      </c>
      <c r="D77" s="69" cm="1">
        <f t="array" aca="1" ref="D77" ca="1">IF(ISNUMBER(_xll.VoseSimPercentile(TotalOwn,$B77)),_xll.VoseSimPercentile(TotalOwn,$B77),NA())</f>
        <v>11.718696855827044</v>
      </c>
      <c r="E77" s="69" cm="1">
        <f t="array" aca="1" ref="E77" ca="1">IF(ISNUMBER(_xll.VoseSimPercentile(TotalLinked,$B77)),_xll.VoseSimPercentile(TotalLinked,$B77),NA())</f>
        <v>12.584328715765768</v>
      </c>
    </row>
    <row r="78" spans="2:5" hidden="1" outlineLevel="1" x14ac:dyDescent="0.45">
      <c r="B78" s="68">
        <v>0.35</v>
      </c>
      <c r="C78" s="68">
        <f t="shared" si="0"/>
        <v>0.65</v>
      </c>
      <c r="D78" s="69" cm="1">
        <f t="array" aca="1" ref="D78" ca="1">IF(ISNUMBER(_xll.VoseSimPercentile(TotalOwn,$B78)),_xll.VoseSimPercentile(TotalOwn,$B78),NA())</f>
        <v>12.202155905954168</v>
      </c>
      <c r="E78" s="69" cm="1">
        <f t="array" aca="1" ref="E78" ca="1">IF(ISNUMBER(_xll.VoseSimPercentile(TotalLinked,$B78)),_xll.VoseSimPercentile(TotalLinked,$B78),NA())</f>
        <v>13.074872166847685</v>
      </c>
    </row>
    <row r="79" spans="2:5" hidden="1" outlineLevel="1" x14ac:dyDescent="0.45">
      <c r="B79" s="68">
        <v>0.37</v>
      </c>
      <c r="C79" s="68">
        <f t="shared" si="0"/>
        <v>0.63</v>
      </c>
      <c r="D79" s="69" cm="1">
        <f t="array" aca="1" ref="D79" ca="1">IF(ISNUMBER(_xll.VoseSimPercentile(TotalOwn,$B79)),_xll.VoseSimPercentile(TotalOwn,$B79),NA())</f>
        <v>12.717998923346997</v>
      </c>
      <c r="E79" s="69" cm="1">
        <f t="array" aca="1" ref="E79" ca="1">IF(ISNUMBER(_xll.VoseSimPercentile(TotalLinked,$B79)),_xll.VoseSimPercentile(TotalLinked,$B79),NA())</f>
        <v>13.629349257358125</v>
      </c>
    </row>
    <row r="80" spans="2:5" hidden="1" outlineLevel="1" x14ac:dyDescent="0.45">
      <c r="B80" s="68">
        <v>0.39</v>
      </c>
      <c r="C80" s="68">
        <f t="shared" si="0"/>
        <v>0.61</v>
      </c>
      <c r="D80" s="69" cm="1">
        <f t="array" aca="1" ref="D80" ca="1">IF(ISNUMBER(_xll.VoseSimPercentile(TotalOwn,$B80)),_xll.VoseSimPercentile(TotalOwn,$B80),NA())</f>
        <v>13.102278912204477</v>
      </c>
      <c r="E80" s="69" cm="1">
        <f t="array" aca="1" ref="E80" ca="1">IF(ISNUMBER(_xll.VoseSimPercentile(TotalLinked,$B80)),_xll.VoseSimPercentile(TotalLinked,$B80),NA())</f>
        <v>14.357357827905666</v>
      </c>
    </row>
    <row r="81" spans="2:5" hidden="1" outlineLevel="1" x14ac:dyDescent="0.45">
      <c r="B81" s="68">
        <v>0.41</v>
      </c>
      <c r="C81" s="68">
        <f t="shared" si="0"/>
        <v>0.59000000000000008</v>
      </c>
      <c r="D81" s="69" cm="1">
        <f t="array" aca="1" ref="D81" ca="1">IF(ISNUMBER(_xll.VoseSimPercentile(TotalOwn,$B81)),_xll.VoseSimPercentile(TotalOwn,$B81),NA())</f>
        <v>13.579468946154268</v>
      </c>
      <c r="E81" s="69" cm="1">
        <f t="array" aca="1" ref="E81" ca="1">IF(ISNUMBER(_xll.VoseSimPercentile(TotalLinked,$B81)),_xll.VoseSimPercentile(TotalLinked,$B81),NA())</f>
        <v>15.14495887668755</v>
      </c>
    </row>
    <row r="82" spans="2:5" hidden="1" outlineLevel="1" x14ac:dyDescent="0.45">
      <c r="B82" s="68">
        <v>0.43</v>
      </c>
      <c r="C82" s="68">
        <f t="shared" si="0"/>
        <v>0.57000000000000006</v>
      </c>
      <c r="D82" s="69" cm="1">
        <f t="array" aca="1" ref="D82" ca="1">IF(ISNUMBER(_xll.VoseSimPercentile(TotalOwn,$B82)),_xll.VoseSimPercentile(TotalOwn,$B82),NA())</f>
        <v>14.157917799826771</v>
      </c>
      <c r="E82" s="69" cm="1">
        <f t="array" aca="1" ref="E82" ca="1">IF(ISNUMBER(_xll.VoseSimPercentile(TotalLinked,$B82)),_xll.VoseSimPercentile(TotalLinked,$B82),NA())</f>
        <v>16.059357541802207</v>
      </c>
    </row>
    <row r="83" spans="2:5" hidden="1" outlineLevel="1" x14ac:dyDescent="0.45">
      <c r="B83" s="68">
        <v>0.45</v>
      </c>
      <c r="C83" s="68">
        <f t="shared" si="0"/>
        <v>0.55000000000000004</v>
      </c>
      <c r="D83" s="69" cm="1">
        <f t="array" aca="1" ref="D83" ca="1">IF(ISNUMBER(_xll.VoseSimPercentile(TotalOwn,$B83)),_xll.VoseSimPercentile(TotalOwn,$B83),NA())</f>
        <v>14.824768325518397</v>
      </c>
      <c r="E83" s="69" cm="1">
        <f t="array" aca="1" ref="E83" ca="1">IF(ISNUMBER(_xll.VoseSimPercentile(TotalLinked,$B83)),_xll.VoseSimPercentile(TotalLinked,$B83),NA())</f>
        <v>17.272017389597671</v>
      </c>
    </row>
    <row r="84" spans="2:5" hidden="1" outlineLevel="1" x14ac:dyDescent="0.45">
      <c r="B84" s="68">
        <v>0.47</v>
      </c>
      <c r="C84" s="68">
        <f t="shared" si="0"/>
        <v>0.53</v>
      </c>
      <c r="D84" s="69" cm="1">
        <f t="array" aca="1" ref="D84" ca="1">IF(ISNUMBER(_xll.VoseSimPercentile(TotalOwn,$B84)),_xll.VoseSimPercentile(TotalOwn,$B84),NA())</f>
        <v>15.571529142324398</v>
      </c>
      <c r="E84" s="69" cm="1">
        <f t="array" aca="1" ref="E84" ca="1">IF(ISNUMBER(_xll.VoseSimPercentile(TotalLinked,$B84)),_xll.VoseSimPercentile(TotalLinked,$B84),NA())</f>
        <v>18.4838985057443</v>
      </c>
    </row>
    <row r="85" spans="2:5" hidden="1" outlineLevel="1" x14ac:dyDescent="0.45">
      <c r="B85" s="68">
        <v>0.49</v>
      </c>
      <c r="C85" s="68">
        <f t="shared" si="0"/>
        <v>0.51</v>
      </c>
      <c r="D85" s="69" cm="1">
        <f t="array" aca="1" ref="D85" ca="1">IF(ISNUMBER(_xll.VoseSimPercentile(TotalOwn,$B85)),_xll.VoseSimPercentile(TotalOwn,$B85),NA())</f>
        <v>16.445625284789987</v>
      </c>
      <c r="E85" s="69" cm="1">
        <f t="array" aca="1" ref="E85" ca="1">IF(ISNUMBER(_xll.VoseSimPercentile(TotalLinked,$B85)),_xll.VoseSimPercentile(TotalLinked,$B85),NA())</f>
        <v>19.635566841369652</v>
      </c>
    </row>
    <row r="86" spans="2:5" hidden="1" outlineLevel="1" x14ac:dyDescent="0.45">
      <c r="B86" s="68">
        <v>0.51</v>
      </c>
      <c r="C86" s="68">
        <f t="shared" si="0"/>
        <v>0.49</v>
      </c>
      <c r="D86" s="69" cm="1">
        <f t="array" aca="1" ref="D86" ca="1">IF(ISNUMBER(_xll.VoseSimPercentile(TotalOwn,$B86)),_xll.VoseSimPercentile(TotalOwn,$B86),NA())</f>
        <v>17.438748470547822</v>
      </c>
      <c r="E86" s="69" cm="1">
        <f t="array" aca="1" ref="E86" ca="1">IF(ISNUMBER(_xll.VoseSimPercentile(TotalLinked,$B86)),_xll.VoseSimPercentile(TotalLinked,$B86),NA())</f>
        <v>20.519884843450004</v>
      </c>
    </row>
    <row r="87" spans="2:5" hidden="1" outlineLevel="1" x14ac:dyDescent="0.45">
      <c r="B87" s="68">
        <v>0.53</v>
      </c>
      <c r="C87" s="68">
        <f t="shared" si="0"/>
        <v>0.47</v>
      </c>
      <c r="D87" s="69" cm="1">
        <f t="array" aca="1" ref="D87" ca="1">IF(ISNUMBER(_xll.VoseSimPercentile(TotalOwn,$B87)),_xll.VoseSimPercentile(TotalOwn,$B87),NA())</f>
        <v>18.55527002909432</v>
      </c>
      <c r="E87" s="69" cm="1">
        <f t="array" aca="1" ref="E87" ca="1">IF(ISNUMBER(_xll.VoseSimPercentile(TotalLinked,$B87)),_xll.VoseSimPercentile(TotalLinked,$B87),NA())</f>
        <v>21.366200748849899</v>
      </c>
    </row>
    <row r="88" spans="2:5" hidden="1" outlineLevel="1" x14ac:dyDescent="0.45">
      <c r="B88" s="68">
        <v>0.55000000000000004</v>
      </c>
      <c r="C88" s="68">
        <f t="shared" si="0"/>
        <v>0.44999999999999996</v>
      </c>
      <c r="D88" s="69" cm="1">
        <f t="array" aca="1" ref="D88" ca="1">IF(ISNUMBER(_xll.VoseSimPercentile(TotalOwn,$B88)),_xll.VoseSimPercentile(TotalOwn,$B88),NA())</f>
        <v>19.559024857421754</v>
      </c>
      <c r="E88" s="69" cm="1">
        <f t="array" aca="1" ref="E88" ca="1">IF(ISNUMBER(_xll.VoseSimPercentile(TotalLinked,$B88)),_xll.VoseSimPercentile(TotalLinked,$B88),NA())</f>
        <v>22.141290463327095</v>
      </c>
    </row>
    <row r="89" spans="2:5" hidden="1" outlineLevel="1" x14ac:dyDescent="0.45">
      <c r="B89" s="68">
        <v>0.56999999999999995</v>
      </c>
      <c r="C89" s="68">
        <f t="shared" si="0"/>
        <v>0.43000000000000005</v>
      </c>
      <c r="D89" s="69" cm="1">
        <f t="array" aca="1" ref="D89" ca="1">IF(ISNUMBER(_xll.VoseSimPercentile(TotalOwn,$B89)),_xll.VoseSimPercentile(TotalOwn,$B89),NA())</f>
        <v>20.39463841838888</v>
      </c>
      <c r="E89" s="69" cm="1">
        <f t="array" aca="1" ref="E89" ca="1">IF(ISNUMBER(_xll.VoseSimPercentile(TotalLinked,$B89)),_xll.VoseSimPercentile(TotalLinked,$B89),NA())</f>
        <v>22.977818973975502</v>
      </c>
    </row>
    <row r="90" spans="2:5" hidden="1" outlineLevel="1" x14ac:dyDescent="0.45">
      <c r="B90" s="68">
        <v>0.59</v>
      </c>
      <c r="C90" s="68">
        <f t="shared" si="0"/>
        <v>0.41000000000000003</v>
      </c>
      <c r="D90" s="69" cm="1">
        <f t="array" aca="1" ref="D90" ca="1">IF(ISNUMBER(_xll.VoseSimPercentile(TotalOwn,$B90)),_xll.VoseSimPercentile(TotalOwn,$B90),NA())</f>
        <v>21.144984696088528</v>
      </c>
      <c r="E90" s="69" cm="1">
        <f t="array" aca="1" ref="E90" ca="1">IF(ISNUMBER(_xll.VoseSimPercentile(TotalLinked,$B90)),_xll.VoseSimPercentile(TotalLinked,$B90),NA())</f>
        <v>23.724375620897522</v>
      </c>
    </row>
    <row r="91" spans="2:5" hidden="1" outlineLevel="1" x14ac:dyDescent="0.45">
      <c r="B91" s="68">
        <v>0.61</v>
      </c>
      <c r="C91" s="68">
        <f t="shared" si="0"/>
        <v>0.39</v>
      </c>
      <c r="D91" s="69" cm="1">
        <f t="array" aca="1" ref="D91" ca="1">IF(ISNUMBER(_xll.VoseSimPercentile(TotalOwn,$B91)),_xll.VoseSimPercentile(TotalOwn,$B91),NA())</f>
        <v>21.86658889145912</v>
      </c>
      <c r="E91" s="69" cm="1">
        <f t="array" aca="1" ref="E91" ca="1">IF(ISNUMBER(_xll.VoseSimPercentile(TotalLinked,$B91)),_xll.VoseSimPercentile(TotalLinked,$B91),NA())</f>
        <v>24.569372475903752</v>
      </c>
    </row>
    <row r="92" spans="2:5" hidden="1" outlineLevel="1" x14ac:dyDescent="0.45">
      <c r="B92" s="68">
        <v>0.63</v>
      </c>
      <c r="C92" s="68">
        <f t="shared" si="0"/>
        <v>0.37</v>
      </c>
      <c r="D92" s="69" cm="1">
        <f t="array" aca="1" ref="D92" ca="1">IF(ISNUMBER(_xll.VoseSimPercentile(TotalOwn,$B92)),_xll.VoseSimPercentile(TotalOwn,$B92),NA())</f>
        <v>22.660764201208231</v>
      </c>
      <c r="E92" s="69" cm="1">
        <f t="array" aca="1" ref="E92" ca="1">IF(ISNUMBER(_xll.VoseSimPercentile(TotalLinked,$B92)),_xll.VoseSimPercentile(TotalLinked,$B92),NA())</f>
        <v>25.402800080502324</v>
      </c>
    </row>
    <row r="93" spans="2:5" hidden="1" outlineLevel="1" x14ac:dyDescent="0.45">
      <c r="B93" s="68">
        <v>0.65</v>
      </c>
      <c r="C93" s="68">
        <f t="shared" ref="C93:C124" si="1">1-B93</f>
        <v>0.35</v>
      </c>
      <c r="D93" s="69" cm="1">
        <f t="array" aca="1" ref="D93" ca="1">IF(ISNUMBER(_xll.VoseSimPercentile(TotalOwn,$B93)),_xll.VoseSimPercentile(TotalOwn,$B93),NA())</f>
        <v>23.271414358001557</v>
      </c>
      <c r="E93" s="69" cm="1">
        <f t="array" aca="1" ref="E93" ca="1">IF(ISNUMBER(_xll.VoseSimPercentile(TotalLinked,$B93)),_xll.VoseSimPercentile(TotalLinked,$B93),NA())</f>
        <v>26.214008835484769</v>
      </c>
    </row>
    <row r="94" spans="2:5" hidden="1" outlineLevel="1" x14ac:dyDescent="0.45">
      <c r="B94" s="68">
        <v>0.67</v>
      </c>
      <c r="C94" s="68">
        <f t="shared" si="1"/>
        <v>0.32999999999999996</v>
      </c>
      <c r="D94" s="69" cm="1">
        <f t="array" aca="1" ref="D94" ca="1">IF(ISNUMBER(_xll.VoseSimPercentile(TotalOwn,$B94)),_xll.VoseSimPercentile(TotalOwn,$B94),NA())</f>
        <v>23.973408115585784</v>
      </c>
      <c r="E94" s="69" cm="1">
        <f t="array" aca="1" ref="E94" ca="1">IF(ISNUMBER(_xll.VoseSimPercentile(TotalLinked,$B94)),_xll.VoseSimPercentile(TotalLinked,$B94),NA())</f>
        <v>27.191577381326553</v>
      </c>
    </row>
    <row r="95" spans="2:5" hidden="1" outlineLevel="1" x14ac:dyDescent="0.45">
      <c r="B95" s="68">
        <v>0.69</v>
      </c>
      <c r="C95" s="68">
        <f t="shared" si="1"/>
        <v>0.31000000000000005</v>
      </c>
      <c r="D95" s="69" cm="1">
        <f t="array" aca="1" ref="D95" ca="1">IF(ISNUMBER(_xll.VoseSimPercentile(TotalOwn,$B95)),_xll.VoseSimPercentile(TotalOwn,$B95),NA())</f>
        <v>24.741714254798779</v>
      </c>
      <c r="E95" s="69" cm="1">
        <f t="array" aca="1" ref="E95" ca="1">IF(ISNUMBER(_xll.VoseSimPercentile(TotalLinked,$B95)),_xll.VoseSimPercentile(TotalLinked,$B95),NA())</f>
        <v>28.172090787511941</v>
      </c>
    </row>
    <row r="96" spans="2:5" hidden="1" outlineLevel="1" x14ac:dyDescent="0.45">
      <c r="B96" s="68">
        <v>0.71</v>
      </c>
      <c r="C96" s="68">
        <f t="shared" si="1"/>
        <v>0.29000000000000004</v>
      </c>
      <c r="D96" s="69" cm="1">
        <f t="array" aca="1" ref="D96" ca="1">IF(ISNUMBER(_xll.VoseSimPercentile(TotalOwn,$B96)),_xll.VoseSimPercentile(TotalOwn,$B96),NA())</f>
        <v>25.479119656461148</v>
      </c>
      <c r="E96" s="69" cm="1">
        <f t="array" aca="1" ref="E96" ca="1">IF(ISNUMBER(_xll.VoseSimPercentile(TotalLinked,$B96)),_xll.VoseSimPercentile(TotalLinked,$B96),NA())</f>
        <v>29.472217982779714</v>
      </c>
    </row>
    <row r="97" spans="2:5" hidden="1" outlineLevel="1" x14ac:dyDescent="0.45">
      <c r="B97" s="68">
        <v>0.73</v>
      </c>
      <c r="C97" s="68">
        <f t="shared" si="1"/>
        <v>0.27</v>
      </c>
      <c r="D97" s="69" cm="1">
        <f t="array" aca="1" ref="D97" ca="1">IF(ISNUMBER(_xll.VoseSimPercentile(TotalOwn,$B97)),_xll.VoseSimPercentile(TotalOwn,$B97),NA())</f>
        <v>26.250834142262519</v>
      </c>
      <c r="E97" s="69" cm="1">
        <f t="array" aca="1" ref="E97" ca="1">IF(ISNUMBER(_xll.VoseSimPercentile(TotalLinked,$B97)),_xll.VoseSimPercentile(TotalLinked,$B97),NA())</f>
        <v>30.778071693828824</v>
      </c>
    </row>
    <row r="98" spans="2:5" hidden="1" outlineLevel="1" x14ac:dyDescent="0.45">
      <c r="B98" s="68">
        <v>0.75</v>
      </c>
      <c r="C98" s="68">
        <f t="shared" si="1"/>
        <v>0.25</v>
      </c>
      <c r="D98" s="69" cm="1">
        <f t="array" aca="1" ref="D98" ca="1">IF(ISNUMBER(_xll.VoseSimPercentile(TotalOwn,$B98)),_xll.VoseSimPercentile(TotalOwn,$B98),NA())</f>
        <v>27.114692690155664</v>
      </c>
      <c r="E98" s="69" cm="1">
        <f t="array" aca="1" ref="E98" ca="1">IF(ISNUMBER(_xll.VoseSimPercentile(TotalLinked,$B98)),_xll.VoseSimPercentile(TotalLinked,$B98),NA())</f>
        <v>32.056866751780966</v>
      </c>
    </row>
    <row r="99" spans="2:5" hidden="1" outlineLevel="1" x14ac:dyDescent="0.45">
      <c r="B99" s="68">
        <v>0.77</v>
      </c>
      <c r="C99" s="68">
        <f t="shared" si="1"/>
        <v>0.22999999999999998</v>
      </c>
      <c r="D99" s="69" cm="1">
        <f t="array" aca="1" ref="D99" ca="1">IF(ISNUMBER(_xll.VoseSimPercentile(TotalOwn,$B99)),_xll.VoseSimPercentile(TotalOwn,$B99),NA())</f>
        <v>28.054626728313245</v>
      </c>
      <c r="E99" s="69" cm="1">
        <f t="array" aca="1" ref="E99" ca="1">IF(ISNUMBER(_xll.VoseSimPercentile(TotalLinked,$B99)),_xll.VoseSimPercentile(TotalLinked,$B99),NA())</f>
        <v>33.371968181527755</v>
      </c>
    </row>
    <row r="100" spans="2:5" hidden="1" outlineLevel="1" x14ac:dyDescent="0.45">
      <c r="B100" s="68">
        <v>0.79</v>
      </c>
      <c r="C100" s="68">
        <f t="shared" si="1"/>
        <v>0.20999999999999996</v>
      </c>
      <c r="D100" s="69" cm="1">
        <f t="array" aca="1" ref="D100" ca="1">IF(ISNUMBER(_xll.VoseSimPercentile(TotalOwn,$B100)),_xll.VoseSimPercentile(TotalOwn,$B100),NA())</f>
        <v>29.193975522216114</v>
      </c>
      <c r="E100" s="69" cm="1">
        <f t="array" aca="1" ref="E100" ca="1">IF(ISNUMBER(_xll.VoseSimPercentile(TotalLinked,$B100)),_xll.VoseSimPercentile(TotalLinked,$B100),NA())</f>
        <v>34.594932793221048</v>
      </c>
    </row>
    <row r="101" spans="2:5" hidden="1" outlineLevel="1" x14ac:dyDescent="0.45">
      <c r="B101" s="68">
        <v>0.81</v>
      </c>
      <c r="C101" s="68">
        <f t="shared" si="1"/>
        <v>0.18999999999999995</v>
      </c>
      <c r="D101" s="69" cm="1">
        <f t="array" aca="1" ref="D101" ca="1">IF(ISNUMBER(_xll.VoseSimPercentile(TotalOwn,$B101)),_xll.VoseSimPercentile(TotalOwn,$B101),NA())</f>
        <v>30.429063164351767</v>
      </c>
      <c r="E101" s="69" cm="1">
        <f t="array" aca="1" ref="E101" ca="1">IF(ISNUMBER(_xll.VoseSimPercentile(TotalLinked,$B101)),_xll.VoseSimPercentile(TotalLinked,$B101),NA())</f>
        <v>35.834423813891711</v>
      </c>
    </row>
    <row r="102" spans="2:5" hidden="1" outlineLevel="1" x14ac:dyDescent="0.45">
      <c r="B102" s="68">
        <v>0.83</v>
      </c>
      <c r="C102" s="68">
        <f t="shared" si="1"/>
        <v>0.17000000000000004</v>
      </c>
      <c r="D102" s="69" cm="1">
        <f t="array" aca="1" ref="D102" ca="1">IF(ISNUMBER(_xll.VoseSimPercentile(TotalOwn,$B102)),_xll.VoseSimPercentile(TotalOwn,$B102),NA())</f>
        <v>31.938005117757157</v>
      </c>
      <c r="E102" s="69" cm="1">
        <f t="array" aca="1" ref="E102" ca="1">IF(ISNUMBER(_xll.VoseSimPercentile(TotalLinked,$B102)),_xll.VoseSimPercentile(TotalLinked,$B102),NA())</f>
        <v>37.284219895729493</v>
      </c>
    </row>
    <row r="103" spans="2:5" hidden="1" outlineLevel="1" x14ac:dyDescent="0.45">
      <c r="B103" s="68">
        <v>0.85</v>
      </c>
      <c r="C103" s="68">
        <f t="shared" si="1"/>
        <v>0.15000000000000002</v>
      </c>
      <c r="D103" s="69" cm="1">
        <f t="array" aca="1" ref="D103" ca="1">IF(ISNUMBER(_xll.VoseSimPercentile(TotalOwn,$B103)),_xll.VoseSimPercentile(TotalOwn,$B103),NA())</f>
        <v>33.341966235115777</v>
      </c>
      <c r="E103" s="69" cm="1">
        <f t="array" aca="1" ref="E103" ca="1">IF(ISNUMBER(_xll.VoseSimPercentile(TotalLinked,$B103)),_xll.VoseSimPercentile(TotalLinked,$B103),NA())</f>
        <v>38.777311727591567</v>
      </c>
    </row>
    <row r="104" spans="2:5" hidden="1" outlineLevel="1" x14ac:dyDescent="0.45">
      <c r="B104" s="68">
        <v>0.87</v>
      </c>
      <c r="C104" s="68">
        <f t="shared" si="1"/>
        <v>0.13</v>
      </c>
      <c r="D104" s="69" cm="1">
        <f t="array" aca="1" ref="D104" ca="1">IF(ISNUMBER(_xll.VoseSimPercentile(TotalOwn,$B104)),_xll.VoseSimPercentile(TotalOwn,$B104),NA())</f>
        <v>34.953353033112691</v>
      </c>
      <c r="E104" s="69" cm="1">
        <f t="array" aca="1" ref="E104" ca="1">IF(ISNUMBER(_xll.VoseSimPercentile(TotalLinked,$B104)),_xll.VoseSimPercentile(TotalLinked,$B104),NA())</f>
        <v>40.589679853976719</v>
      </c>
    </row>
    <row r="105" spans="2:5" hidden="1" outlineLevel="1" x14ac:dyDescent="0.45">
      <c r="B105" s="68">
        <v>0.89</v>
      </c>
      <c r="C105" s="68">
        <f t="shared" si="1"/>
        <v>0.10999999999999999</v>
      </c>
      <c r="D105" s="69" cm="1">
        <f t="array" aca="1" ref="D105" ca="1">IF(ISNUMBER(_xll.VoseSimPercentile(TotalOwn,$B105)),_xll.VoseSimPercentile(TotalOwn,$B105),NA())</f>
        <v>36.477394584472769</v>
      </c>
      <c r="E105" s="69" cm="1">
        <f t="array" aca="1" ref="E105" ca="1">IF(ISNUMBER(_xll.VoseSimPercentile(TotalLinked,$B105)),_xll.VoseSimPercentile(TotalLinked,$B105),NA())</f>
        <v>42.967360607463462</v>
      </c>
    </row>
    <row r="106" spans="2:5" hidden="1" outlineLevel="1" x14ac:dyDescent="0.45">
      <c r="B106" s="68">
        <v>0.91</v>
      </c>
      <c r="C106" s="68">
        <f t="shared" si="1"/>
        <v>8.9999999999999969E-2</v>
      </c>
      <c r="D106" s="69" cm="1">
        <f t="array" aca="1" ref="D106" ca="1">IF(ISNUMBER(_xll.VoseSimPercentile(TotalOwn,$B106)),_xll.VoseSimPercentile(TotalOwn,$B106),NA())</f>
        <v>38.433669271473448</v>
      </c>
      <c r="E106" s="69" cm="1">
        <f t="array" aca="1" ref="E106" ca="1">IF(ISNUMBER(_xll.VoseSimPercentile(TotalLinked,$B106)),_xll.VoseSimPercentile(TotalLinked,$B106),NA())</f>
        <v>45.270452141910638</v>
      </c>
    </row>
    <row r="107" spans="2:5" hidden="1" outlineLevel="1" x14ac:dyDescent="0.45">
      <c r="B107" s="68">
        <v>0.93</v>
      </c>
      <c r="C107" s="68">
        <f t="shared" si="1"/>
        <v>6.9999999999999951E-2</v>
      </c>
      <c r="D107" s="69" cm="1">
        <f t="array" aca="1" ref="D107" ca="1">IF(ISNUMBER(_xll.VoseSimPercentile(TotalOwn,$B107)),_xll.VoseSimPercentile(TotalOwn,$B107),NA())</f>
        <v>40.344275545916318</v>
      </c>
      <c r="E107" s="69" cm="1">
        <f t="array" aca="1" ref="E107" ca="1">IF(ISNUMBER(_xll.VoseSimPercentile(TotalLinked,$B107)),_xll.VoseSimPercentile(TotalLinked,$B107),NA())</f>
        <v>47.63670466485452</v>
      </c>
    </row>
    <row r="108" spans="2:5" hidden="1" outlineLevel="1" x14ac:dyDescent="0.45">
      <c r="B108" s="68">
        <v>0.95</v>
      </c>
      <c r="C108" s="68">
        <f t="shared" si="1"/>
        <v>5.0000000000000044E-2</v>
      </c>
      <c r="D108" s="69" cm="1">
        <f t="array" aca="1" ref="D108" ca="1">IF(ISNUMBER(_xll.VoseSimPercentile(TotalOwn,$B108)),_xll.VoseSimPercentile(TotalOwn,$B108),NA())</f>
        <v>43.429931825440413</v>
      </c>
      <c r="E108" s="69" cm="1">
        <f t="array" aca="1" ref="E108" ca="1">IF(ISNUMBER(_xll.VoseSimPercentile(TotalLinked,$B108)),_xll.VoseSimPercentile(TotalLinked,$B108),NA())</f>
        <v>50.359197587081724</v>
      </c>
    </row>
    <row r="109" spans="2:5" hidden="1" outlineLevel="1" x14ac:dyDescent="0.45">
      <c r="B109" s="68">
        <v>0.97</v>
      </c>
      <c r="C109" s="68">
        <f t="shared" si="1"/>
        <v>3.0000000000000027E-2</v>
      </c>
      <c r="D109" s="69" cm="1">
        <f t="array" aca="1" ref="D109" ca="1">IF(ISNUMBER(_xll.VoseSimPercentile(TotalOwn,$B109)),_xll.VoseSimPercentile(TotalOwn,$B109),NA())</f>
        <v>47.953606431471037</v>
      </c>
      <c r="E109" s="69" cm="1">
        <f t="array" aca="1" ref="E109" ca="1">IF(ISNUMBER(_xll.VoseSimPercentile(TotalLinked,$B109)),_xll.VoseSimPercentile(TotalLinked,$B109),NA())</f>
        <v>54.436281699099467</v>
      </c>
    </row>
    <row r="110" spans="2:5" hidden="1" outlineLevel="1" x14ac:dyDescent="0.45">
      <c r="B110" s="68">
        <v>0.99</v>
      </c>
      <c r="C110" s="68">
        <f t="shared" si="1"/>
        <v>1.0000000000000009E-2</v>
      </c>
      <c r="D110" s="69" cm="1">
        <f t="array" aca="1" ref="D110" ca="1">IF(ISNUMBER(_xll.VoseSimPercentile(TotalOwn,$B110)),_xll.VoseSimPercentile(TotalOwn,$B110),NA())</f>
        <v>55.232620707927197</v>
      </c>
      <c r="E110" s="69" cm="1">
        <f t="array" aca="1" ref="E110" ca="1">IF(ISNUMBER(_xll.VoseSimPercentile(TotalLinked,$B110)),_xll.VoseSimPercentile(TotalLinked,$B110),NA())</f>
        <v>62.912960138468094</v>
      </c>
    </row>
    <row r="111" spans="2:5" hidden="1" outlineLevel="1" x14ac:dyDescent="0.45"/>
    <row r="112" spans="2:5" hidden="1" outlineLevel="1" x14ac:dyDescent="0.45">
      <c r="B112" s="70" t="s">
        <v>246</v>
      </c>
      <c r="D112" s="71" cm="1">
        <f t="array" aca="1" ref="D112" ca="1">_xll.VoseSimMean(TotalLinked)</f>
        <v>21.530662280059058</v>
      </c>
    </row>
    <row r="113" spans="2:7" ht="18" hidden="1" customHeight="1" outlineLevel="1" x14ac:dyDescent="0.45">
      <c r="B113" s="23" t="s">
        <v>247</v>
      </c>
      <c r="C113" s="5"/>
      <c r="D113" s="5"/>
      <c r="E113" s="5"/>
      <c r="F113" s="24" t="s">
        <v>248</v>
      </c>
      <c r="G113" s="24" t="s">
        <v>249</v>
      </c>
    </row>
    <row r="114" spans="2:7" hidden="1" outlineLevel="1" x14ac:dyDescent="0.45">
      <c r="B114" s="72" t="str">
        <f t="shared" ref="B114:B123" ca="1" si="2">B39</f>
        <v>D  Фундамент придется перепроектировать</v>
      </c>
      <c r="F114" s="73">
        <f t="shared" ref="F114:F123" ca="1" si="3">IFERROR(D39-$D$112,NA())</f>
        <v>17.161611138335292</v>
      </c>
      <c r="G114" s="73">
        <f t="shared" ref="G114:G123" ca="1" si="4">IFERROR(C39-$D$112,NA())</f>
        <v>-6.0066091000244324</v>
      </c>
    </row>
    <row r="115" spans="2:7" hidden="1" outlineLevel="1" x14ac:dyDescent="0.45">
      <c r="B115" s="72" t="str">
        <f t="shared" ca="1" si="2"/>
        <v>C  Грунт хуже, чем показали изыскания</v>
      </c>
      <c r="F115" s="73">
        <f t="shared" ca="1" si="3"/>
        <v>17.261526247081331</v>
      </c>
      <c r="G115" s="73">
        <f t="shared" ca="1" si="4"/>
        <v>-1.8973922424588459</v>
      </c>
    </row>
    <row r="116" spans="2:7" hidden="1" outlineLevel="1" x14ac:dyDescent="0.45">
      <c r="B116" s="72" t="str">
        <f t="shared" ca="1" si="2"/>
        <v>A  Надзорный орган поздно утверждает проект</v>
      </c>
      <c r="F116" s="73">
        <f t="shared" ca="1" si="3"/>
        <v>13.531088420169244</v>
      </c>
      <c r="G116" s="73">
        <f t="shared" ca="1" si="4"/>
        <v>-4.9929215237440836</v>
      </c>
    </row>
    <row r="117" spans="2:7" hidden="1" outlineLevel="1" x14ac:dyDescent="0.45">
      <c r="B117" s="72" t="str">
        <f t="shared" ca="1" si="2"/>
        <v>J  Поздняя поставка ключевого оборудования</v>
      </c>
      <c r="F117" s="73">
        <f t="shared" ca="1" si="3"/>
        <v>12.496627625281928</v>
      </c>
      <c r="G117" s="73">
        <f t="shared" ca="1" si="4"/>
        <v>-3.4669605961446415</v>
      </c>
    </row>
    <row r="118" spans="2:7" hidden="1" outlineLevel="1" x14ac:dyDescent="0.45">
      <c r="B118" s="72" t="str">
        <f t="shared" ca="1" si="2"/>
        <v>B  Специализированный подрядчик недоступен, когда нужен</v>
      </c>
      <c r="F118" s="73">
        <f t="shared" ca="1" si="3"/>
        <v>13.101615859279914</v>
      </c>
      <c r="G118" s="73">
        <f t="shared" ca="1" si="4"/>
        <v>-2.5118824688858581</v>
      </c>
    </row>
    <row r="119" spans="2:7" hidden="1" outlineLevel="1" x14ac:dyDescent="0.45">
      <c r="B119" s="72" t="str">
        <f t="shared" ca="1" si="2"/>
        <v>E  График придется ускорять</v>
      </c>
      <c r="F119" s="73">
        <f t="shared" ca="1" si="3"/>
        <v>10.112644737193225</v>
      </c>
      <c r="G119" s="73">
        <f t="shared" ca="1" si="4"/>
        <v>-4.2738274410852881</v>
      </c>
    </row>
    <row r="120" spans="2:7" hidden="1" outlineLevel="1" x14ac:dyDescent="0.45">
      <c r="B120" s="72" t="str">
        <f t="shared" ca="1" si="2"/>
        <v>I  Пусконаладочные испытания не пройдены, их надо повторить</v>
      </c>
      <c r="F120" s="73">
        <f t="shared" ca="1" si="3"/>
        <v>11.067930581973609</v>
      </c>
      <c r="G120" s="73">
        <f t="shared" ca="1" si="4"/>
        <v>-2.2150312643044145</v>
      </c>
    </row>
    <row r="121" spans="2:7" hidden="1" outlineLevel="1" x14ac:dyDescent="0.45">
      <c r="B121" s="72" t="str">
        <f t="shared" ca="1" si="2"/>
        <v>H  Генподрядчик подает крупную претензию</v>
      </c>
      <c r="F121" s="73">
        <f t="shared" ca="1" si="3"/>
        <v>11.859758425742189</v>
      </c>
      <c r="G121" s="73">
        <f t="shared" ca="1" si="4"/>
        <v>-0.64657757103329061</v>
      </c>
    </row>
    <row r="122" spans="2:7" hidden="1" outlineLevel="1" x14ac:dyDescent="0.45">
      <c r="B122" s="72" t="str">
        <f t="shared" ca="1" si="2"/>
        <v>G  Непогода останавливает работы на площадке</v>
      </c>
      <c r="F122" s="73">
        <f t="shared" ca="1" si="3"/>
        <v>8.1993603122801879</v>
      </c>
      <c r="G122" s="73">
        <f t="shared" ca="1" si="4"/>
        <v>-0.61147174475848232</v>
      </c>
    </row>
    <row r="123" spans="2:7" hidden="1" outlineLevel="1" x14ac:dyDescent="0.45">
      <c r="B123" s="72" t="str">
        <f t="shared" ca="1" si="2"/>
        <v>F  Рост цен на сталь и кабель</v>
      </c>
      <c r="F123" s="73">
        <f t="shared" ca="1" si="3"/>
        <v>5.915525929361813</v>
      </c>
      <c r="G123" s="73">
        <f t="shared" ca="1" si="4"/>
        <v>-0.79214383480938722</v>
      </c>
    </row>
  </sheetData>
  <mergeCells count="4">
    <mergeCell ref="B52:G52"/>
    <mergeCell ref="B53:G53"/>
    <mergeCell ref="B54:G54"/>
    <mergeCell ref="B55:G55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D61:E110">
    <cfRule type="expression" dxfId="1" priority="3">
      <formula>ISNA(D61)</formula>
    </cfRule>
  </conditionalFormatting>
  <conditionalFormatting sqref="F114:G123">
    <cfRule type="expression" dxfId="0" priority="4">
      <formula>ISNA(F114)</formula>
    </cfRule>
  </conditionalFormatting>
  <hyperlinks>
    <hyperlink ref="B4" location="'Риски'!A1" display="◂  Риски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A851C-5945-4A88-B1CE-D35A4AB412F4}">
  <dimension ref="A1:B1"/>
  <sheetViews>
    <sheetView workbookViewId="0"/>
  </sheetViews>
  <sheetFormatPr defaultRowHeight="14.25" x14ac:dyDescent="0.45"/>
  <sheetData>
    <row r="1" spans="1:2" x14ac:dyDescent="0.45">
      <c r="A1" s="78" t="s">
        <v>250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13EB-09FC-48CF-B014-09EEBDE6474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60E0-10B0-4CA7-9203-F0D874B9C0D8}">
  <dimension ref="B3:B132"/>
  <sheetViews>
    <sheetView workbookViewId="0"/>
  </sheetViews>
  <sheetFormatPr defaultRowHeight="14.25" x14ac:dyDescent="0.45"/>
  <sheetData>
    <row r="3" spans="2:2" x14ac:dyDescent="0.45">
      <c r="B3">
        <v>1389</v>
      </c>
    </row>
    <row r="4" spans="2:2" x14ac:dyDescent="0.45">
      <c r="B4">
        <v>0</v>
      </c>
    </row>
    <row r="5" spans="2:2" x14ac:dyDescent="0.45">
      <c r="B5">
        <v>0</v>
      </c>
    </row>
    <row r="6" spans="2:2" x14ac:dyDescent="0.45">
      <c r="B6">
        <v>0</v>
      </c>
    </row>
    <row r="7" spans="2:2" x14ac:dyDescent="0.45">
      <c r="B7">
        <v>0</v>
      </c>
    </row>
    <row r="8" spans="2:2" x14ac:dyDescent="0.45">
      <c r="B8">
        <v>70</v>
      </c>
    </row>
    <row r="9" spans="2:2" x14ac:dyDescent="0.45">
      <c r="B9">
        <v>185</v>
      </c>
    </row>
    <row r="10" spans="2:2" x14ac:dyDescent="0.45">
      <c r="B10">
        <v>198</v>
      </c>
    </row>
    <row r="11" spans="2:2" x14ac:dyDescent="0.45">
      <c r="B11">
        <v>114</v>
      </c>
    </row>
    <row r="12" spans="2:2" x14ac:dyDescent="0.45">
      <c r="B12">
        <v>44</v>
      </c>
    </row>
    <row r="13" spans="2:2" x14ac:dyDescent="0.45">
      <c r="B13">
        <v>1610</v>
      </c>
    </row>
    <row r="14" spans="2:2" x14ac:dyDescent="0.45">
      <c r="B14">
        <v>0</v>
      </c>
    </row>
    <row r="15" spans="2:2" x14ac:dyDescent="0.45">
      <c r="B15">
        <v>0</v>
      </c>
    </row>
    <row r="16" spans="2:2" x14ac:dyDescent="0.45">
      <c r="B16">
        <v>0</v>
      </c>
    </row>
    <row r="17" spans="2:2" x14ac:dyDescent="0.45">
      <c r="B17">
        <v>0</v>
      </c>
    </row>
    <row r="18" spans="2:2" x14ac:dyDescent="0.45">
      <c r="B18">
        <v>3</v>
      </c>
    </row>
    <row r="19" spans="2:2" x14ac:dyDescent="0.45">
      <c r="B19">
        <v>125</v>
      </c>
    </row>
    <row r="20" spans="2:2" x14ac:dyDescent="0.45">
      <c r="B20">
        <v>149</v>
      </c>
    </row>
    <row r="21" spans="2:2" x14ac:dyDescent="0.45">
      <c r="B21">
        <v>84</v>
      </c>
    </row>
    <row r="22" spans="2:2" x14ac:dyDescent="0.45">
      <c r="B22">
        <v>29</v>
      </c>
    </row>
    <row r="23" spans="2:2" x14ac:dyDescent="0.45">
      <c r="B23">
        <v>1790</v>
      </c>
    </row>
    <row r="24" spans="2:2" x14ac:dyDescent="0.45">
      <c r="B24">
        <v>0</v>
      </c>
    </row>
    <row r="25" spans="2:2" x14ac:dyDescent="0.45">
      <c r="B25">
        <v>0</v>
      </c>
    </row>
    <row r="26" spans="2:2" x14ac:dyDescent="0.45">
      <c r="B26">
        <v>0</v>
      </c>
    </row>
    <row r="27" spans="2:2" x14ac:dyDescent="0.45">
      <c r="B27">
        <v>0</v>
      </c>
    </row>
    <row r="28" spans="2:2" x14ac:dyDescent="0.45">
      <c r="B28">
        <v>0</v>
      </c>
    </row>
    <row r="29" spans="2:2" x14ac:dyDescent="0.45">
      <c r="B29">
        <v>48</v>
      </c>
    </row>
    <row r="30" spans="2:2" x14ac:dyDescent="0.45">
      <c r="B30">
        <v>76</v>
      </c>
    </row>
    <row r="31" spans="2:2" x14ac:dyDescent="0.45">
      <c r="B31">
        <v>60</v>
      </c>
    </row>
    <row r="32" spans="2:2" x14ac:dyDescent="0.45">
      <c r="B32">
        <v>26</v>
      </c>
    </row>
    <row r="33" spans="2:2" x14ac:dyDescent="0.45">
      <c r="B33">
        <v>1435</v>
      </c>
    </row>
    <row r="34" spans="2:2" x14ac:dyDescent="0.45">
      <c r="B34">
        <v>0</v>
      </c>
    </row>
    <row r="35" spans="2:2" x14ac:dyDescent="0.45">
      <c r="B35">
        <v>0</v>
      </c>
    </row>
    <row r="36" spans="2:2" x14ac:dyDescent="0.45">
      <c r="B36">
        <v>0</v>
      </c>
    </row>
    <row r="37" spans="2:2" x14ac:dyDescent="0.45">
      <c r="B37">
        <v>0</v>
      </c>
    </row>
    <row r="38" spans="2:2" x14ac:dyDescent="0.45">
      <c r="B38">
        <v>43</v>
      </c>
    </row>
    <row r="39" spans="2:2" x14ac:dyDescent="0.45">
      <c r="B39">
        <v>198</v>
      </c>
    </row>
    <row r="40" spans="2:2" x14ac:dyDescent="0.45">
      <c r="B40">
        <v>203</v>
      </c>
    </row>
    <row r="41" spans="2:2" x14ac:dyDescent="0.45">
      <c r="B41">
        <v>109</v>
      </c>
    </row>
    <row r="42" spans="2:2" x14ac:dyDescent="0.45">
      <c r="B42">
        <v>12</v>
      </c>
    </row>
    <row r="43" spans="2:2" x14ac:dyDescent="0.45">
      <c r="B43">
        <v>1358</v>
      </c>
    </row>
    <row r="44" spans="2:2" x14ac:dyDescent="0.45">
      <c r="B44">
        <v>0</v>
      </c>
    </row>
    <row r="45" spans="2:2" x14ac:dyDescent="0.45">
      <c r="B45">
        <v>0</v>
      </c>
    </row>
    <row r="46" spans="2:2" x14ac:dyDescent="0.45">
      <c r="B46">
        <v>0</v>
      </c>
    </row>
    <row r="47" spans="2:2" x14ac:dyDescent="0.45">
      <c r="B47">
        <v>0</v>
      </c>
    </row>
    <row r="48" spans="2:2" x14ac:dyDescent="0.45">
      <c r="B48">
        <v>31</v>
      </c>
    </row>
    <row r="49" spans="2:2" x14ac:dyDescent="0.45">
      <c r="B49">
        <v>233</v>
      </c>
    </row>
    <row r="50" spans="2:2" x14ac:dyDescent="0.45">
      <c r="B50">
        <v>217</v>
      </c>
    </row>
    <row r="51" spans="2:2" x14ac:dyDescent="0.45">
      <c r="B51">
        <v>139</v>
      </c>
    </row>
    <row r="52" spans="2:2" x14ac:dyDescent="0.45">
      <c r="B52">
        <v>22</v>
      </c>
    </row>
    <row r="53" spans="2:2" x14ac:dyDescent="0.45">
      <c r="B53">
        <v>1769</v>
      </c>
    </row>
    <row r="54" spans="2:2" x14ac:dyDescent="0.45">
      <c r="B54">
        <v>0</v>
      </c>
    </row>
    <row r="55" spans="2:2" x14ac:dyDescent="0.45">
      <c r="B55">
        <v>0</v>
      </c>
    </row>
    <row r="56" spans="2:2" x14ac:dyDescent="0.45">
      <c r="B56">
        <v>0</v>
      </c>
    </row>
    <row r="57" spans="2:2" x14ac:dyDescent="0.45">
      <c r="B57">
        <v>0</v>
      </c>
    </row>
    <row r="58" spans="2:2" x14ac:dyDescent="0.45">
      <c r="B58">
        <v>5</v>
      </c>
    </row>
    <row r="59" spans="2:2" x14ac:dyDescent="0.45">
      <c r="B59">
        <v>71</v>
      </c>
    </row>
    <row r="60" spans="2:2" x14ac:dyDescent="0.45">
      <c r="B60">
        <v>84</v>
      </c>
    </row>
    <row r="61" spans="2:2" x14ac:dyDescent="0.45">
      <c r="B61">
        <v>53</v>
      </c>
    </row>
    <row r="62" spans="2:2" x14ac:dyDescent="0.45">
      <c r="B62">
        <v>18</v>
      </c>
    </row>
    <row r="63" spans="2:2" x14ac:dyDescent="0.45">
      <c r="B63">
        <v>1862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0</v>
      </c>
    </row>
    <row r="69" spans="2:2" x14ac:dyDescent="0.45">
      <c r="B69">
        <v>15</v>
      </c>
    </row>
    <row r="70" spans="2:2" x14ac:dyDescent="0.45">
      <c r="B70">
        <v>52</v>
      </c>
    </row>
    <row r="71" spans="2:2" x14ac:dyDescent="0.45">
      <c r="B71">
        <v>45</v>
      </c>
    </row>
    <row r="72" spans="2:2" x14ac:dyDescent="0.45">
      <c r="B72">
        <v>26</v>
      </c>
    </row>
    <row r="73" spans="2:2" x14ac:dyDescent="0.45">
      <c r="B73">
        <v>1911</v>
      </c>
    </row>
    <row r="74" spans="2:2" x14ac:dyDescent="0.45">
      <c r="B74">
        <v>0</v>
      </c>
    </row>
    <row r="75" spans="2:2" x14ac:dyDescent="0.45">
      <c r="B75">
        <v>0</v>
      </c>
    </row>
    <row r="76" spans="2:2" x14ac:dyDescent="0.45">
      <c r="B76">
        <v>0</v>
      </c>
    </row>
    <row r="77" spans="2:2" x14ac:dyDescent="0.45">
      <c r="B77">
        <v>0</v>
      </c>
    </row>
    <row r="78" spans="2:2" x14ac:dyDescent="0.45">
      <c r="B78">
        <v>0</v>
      </c>
    </row>
    <row r="79" spans="2:2" x14ac:dyDescent="0.45">
      <c r="B79">
        <v>18</v>
      </c>
    </row>
    <row r="80" spans="2:2" x14ac:dyDescent="0.45">
      <c r="B80">
        <v>36</v>
      </c>
    </row>
    <row r="81" spans="2:2" x14ac:dyDescent="0.45">
      <c r="B81">
        <v>24</v>
      </c>
    </row>
    <row r="82" spans="2:2" x14ac:dyDescent="0.45">
      <c r="B82">
        <v>11</v>
      </c>
    </row>
    <row r="83" spans="2:2" x14ac:dyDescent="0.45">
      <c r="B83">
        <v>1618</v>
      </c>
    </row>
    <row r="84" spans="2:2" x14ac:dyDescent="0.45">
      <c r="B84">
        <v>0</v>
      </c>
    </row>
    <row r="85" spans="2:2" x14ac:dyDescent="0.45">
      <c r="B85">
        <v>0</v>
      </c>
    </row>
    <row r="86" spans="2:2" x14ac:dyDescent="0.45">
      <c r="B86">
        <v>0</v>
      </c>
    </row>
    <row r="87" spans="2:2" x14ac:dyDescent="0.45">
      <c r="B87">
        <v>0</v>
      </c>
    </row>
    <row r="88" spans="2:2" x14ac:dyDescent="0.45">
      <c r="B88">
        <v>13</v>
      </c>
    </row>
    <row r="89" spans="2:2" x14ac:dyDescent="0.45">
      <c r="B89">
        <v>125</v>
      </c>
    </row>
    <row r="90" spans="2:2" x14ac:dyDescent="0.45">
      <c r="B90">
        <v>145</v>
      </c>
    </row>
    <row r="91" spans="2:2" x14ac:dyDescent="0.45">
      <c r="B91">
        <v>85</v>
      </c>
    </row>
    <row r="92" spans="2:2" x14ac:dyDescent="0.45">
      <c r="B92">
        <v>14</v>
      </c>
    </row>
    <row r="93" spans="2:2" x14ac:dyDescent="0.45">
      <c r="B93">
        <v>1517</v>
      </c>
    </row>
    <row r="94" spans="2:2" x14ac:dyDescent="0.45">
      <c r="B94">
        <v>0</v>
      </c>
    </row>
    <row r="95" spans="2:2" x14ac:dyDescent="0.45">
      <c r="B95">
        <v>0</v>
      </c>
    </row>
    <row r="96" spans="2:2" x14ac:dyDescent="0.45">
      <c r="B96">
        <v>0</v>
      </c>
    </row>
    <row r="97" spans="2:2" x14ac:dyDescent="0.45">
      <c r="B97">
        <v>0</v>
      </c>
    </row>
    <row r="98" spans="2:2" x14ac:dyDescent="0.45">
      <c r="B98">
        <v>3</v>
      </c>
    </row>
    <row r="99" spans="2:2" x14ac:dyDescent="0.45">
      <c r="B99">
        <v>144</v>
      </c>
    </row>
    <row r="100" spans="2:2" x14ac:dyDescent="0.45">
      <c r="B100">
        <v>191</v>
      </c>
    </row>
    <row r="101" spans="2:2" x14ac:dyDescent="0.45">
      <c r="B101">
        <v>116</v>
      </c>
    </row>
    <row r="102" spans="2:2" x14ac:dyDescent="0.45">
      <c r="B102">
        <v>29</v>
      </c>
    </row>
    <row r="103" spans="2:2" x14ac:dyDescent="0.45">
      <c r="B103">
        <v>441</v>
      </c>
    </row>
    <row r="104" spans="2:2" x14ac:dyDescent="0.45">
      <c r="B104">
        <v>554</v>
      </c>
    </row>
    <row r="105" spans="2:2" x14ac:dyDescent="0.45">
      <c r="B105">
        <v>444</v>
      </c>
    </row>
    <row r="106" spans="2:2" x14ac:dyDescent="0.45">
      <c r="B106">
        <v>304</v>
      </c>
    </row>
    <row r="107" spans="2:2" x14ac:dyDescent="0.45">
      <c r="B107">
        <v>148</v>
      </c>
    </row>
    <row r="108" spans="2:2" x14ac:dyDescent="0.45">
      <c r="B108">
        <v>70</v>
      </c>
    </row>
    <row r="109" spans="2:2" x14ac:dyDescent="0.45">
      <c r="B109">
        <v>30</v>
      </c>
    </row>
    <row r="110" spans="2:2" x14ac:dyDescent="0.45">
      <c r="B110">
        <v>6</v>
      </c>
    </row>
    <row r="111" spans="2:2" x14ac:dyDescent="0.45">
      <c r="B111">
        <v>2</v>
      </c>
    </row>
    <row r="112" spans="2:2" x14ac:dyDescent="0.45">
      <c r="B112">
        <v>1</v>
      </c>
    </row>
    <row r="113" spans="2:2" x14ac:dyDescent="0.45">
      <c r="B113">
        <v>432</v>
      </c>
    </row>
    <row r="114" spans="2:2" x14ac:dyDescent="0.45">
      <c r="B114">
        <v>446</v>
      </c>
    </row>
    <row r="115" spans="2:2" x14ac:dyDescent="0.45">
      <c r="B115">
        <v>411</v>
      </c>
    </row>
    <row r="116" spans="2:2" x14ac:dyDescent="0.45">
      <c r="B116">
        <v>294</v>
      </c>
    </row>
    <row r="117" spans="2:2" x14ac:dyDescent="0.45">
      <c r="B117">
        <v>205</v>
      </c>
    </row>
    <row r="118" spans="2:2" x14ac:dyDescent="0.45">
      <c r="B118">
        <v>128</v>
      </c>
    </row>
    <row r="119" spans="2:2" x14ac:dyDescent="0.45">
      <c r="B119">
        <v>51</v>
      </c>
    </row>
    <row r="120" spans="2:2" x14ac:dyDescent="0.45">
      <c r="B120">
        <v>24</v>
      </c>
    </row>
    <row r="121" spans="2:2" x14ac:dyDescent="0.45">
      <c r="B121">
        <v>4</v>
      </c>
    </row>
    <row r="122" spans="2:2" x14ac:dyDescent="0.45">
      <c r="B122">
        <v>5</v>
      </c>
    </row>
    <row r="123" spans="2:2" x14ac:dyDescent="0.45">
      <c r="B123">
        <v>1616</v>
      </c>
    </row>
    <row r="124" spans="2:2" x14ac:dyDescent="0.45">
      <c r="B124">
        <v>0</v>
      </c>
    </row>
    <row r="125" spans="2:2" x14ac:dyDescent="0.45">
      <c r="B125">
        <v>69</v>
      </c>
    </row>
    <row r="126" spans="2:2" x14ac:dyDescent="0.45">
      <c r="B126">
        <v>72</v>
      </c>
    </row>
    <row r="127" spans="2:2" x14ac:dyDescent="0.45">
      <c r="B127">
        <v>67</v>
      </c>
    </row>
    <row r="128" spans="2:2" x14ac:dyDescent="0.45">
      <c r="B128">
        <v>81</v>
      </c>
    </row>
    <row r="129" spans="2:2" x14ac:dyDescent="0.45">
      <c r="B129">
        <v>30</v>
      </c>
    </row>
    <row r="130" spans="2:2" x14ac:dyDescent="0.45">
      <c r="B130">
        <v>20</v>
      </c>
    </row>
    <row r="131" spans="2:2" x14ac:dyDescent="0.45">
      <c r="B131">
        <v>33</v>
      </c>
    </row>
    <row r="132" spans="2:2" x14ac:dyDescent="0.45">
      <c r="B132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884">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</mr:Charts>
</mr:ModelRisk>
</file>

<file path=customXml/itemProps1.xml><?xml version="1.0" encoding="utf-8"?>
<ds:datastoreItem xmlns:ds="http://schemas.openxmlformats.org/officeDocument/2006/customXml" ds:itemID="{1ADF7E3F-3452-40DA-9FEB-34F0F0CA3935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35</vt:i4>
      </vt:variant>
    </vt:vector>
  </HeadingPairs>
  <TitlesOfParts>
    <vt:vector size="42" baseType="lpstr">
      <vt:lpstr>Описание</vt:lpstr>
      <vt:lpstr>Исходные данные</vt:lpstr>
      <vt:lpstr>Риски</vt:lpstr>
      <vt:lpstr>Результаты</vt:lpstr>
      <vt:lpstr>ModelRiskDSN</vt:lpstr>
      <vt:lpstr>ModelRiskSYS1</vt:lpstr>
      <vt:lpstr>ModelRiskCharts</vt:lpstr>
      <vt:lpstr>AnyExtra</vt:lpstr>
      <vt:lpstr>Checks</vt:lpstr>
      <vt:lpstr>Confidence</vt:lpstr>
      <vt:lpstr>D_Linked</vt:lpstr>
      <vt:lpstr>E_Linked</vt:lpstr>
      <vt:lpstr>EV_Own</vt:lpstr>
      <vt:lpstr>Extra</vt:lpstr>
      <vt:lpstr>H_Linked</vt:lpstr>
      <vt:lpstr>H_Mult</vt:lpstr>
      <vt:lpstr>Hap_A</vt:lpstr>
      <vt:lpstr>Hap_B</vt:lpstr>
      <vt:lpstr>Hap_C</vt:lpstr>
      <vt:lpstr>Hap_D</vt:lpstr>
      <vt:lpstr>Hap_E</vt:lpstr>
      <vt:lpstr>Hap_F</vt:lpstr>
      <vt:lpstr>Hap_G</vt:lpstr>
      <vt:lpstr>Hap_H</vt:lpstr>
      <vt:lpstr>Hap_I</vt:lpstr>
      <vt:lpstr>Hap_J</vt:lpstr>
      <vt:lpstr>P_A</vt:lpstr>
      <vt:lpstr>P_B</vt:lpstr>
      <vt:lpstr>P_C</vt:lpstr>
      <vt:lpstr>P_D</vt:lpstr>
      <vt:lpstr>P_E</vt:lpstr>
      <vt:lpstr>P_F</vt:lpstr>
      <vt:lpstr>P_G</vt:lpstr>
      <vt:lpstr>P_H</vt:lpstr>
      <vt:lpstr>P_I</vt:lpstr>
      <vt:lpstr>P_J</vt:lpstr>
      <vt:lpstr>Results!Print_Area</vt:lpstr>
      <vt:lpstr>Inputs!Print_Titles</vt:lpstr>
      <vt:lpstr>Results!Print_Titles</vt:lpstr>
      <vt:lpstr>TotalLinked</vt:lpstr>
      <vt:lpstr>TotalOwn</vt:lpstr>
      <vt:lpstr>Trig_H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GU-01 Каскадные риски</dc:title>
  <dc:subject>Библиотека отраслевых примеров МоделРиск — Общие методы</dc:subject>
  <dc:creator>ООО «Стратегия Риска»</dc:creator>
  <cp:keywords>МоделРиск; Монте-Карло; Общие методы</cp:keywords>
  <dc:description>Десять рисков проекта, одни из которых делают другие вероятнее или тяжелее: сколько резерва добавляют связи.</dc:description>
  <cp:lastModifiedBy>ООО «Стратегия Риска»</cp:lastModifiedBy>
  <cp:lastPrinted>2026-10-07T09:19:54Z</cp:lastPrinted>
  <dcterms:created xsi:type="dcterms:W3CDTF">2026-10-07T09:19:15Z</dcterms:created>
  <dcterms:modified xsi:type="dcterms:W3CDTF">2026-10-07T09:19:57Z</dcterms:modified>
</cp:coreProperties>
</file>