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9401CD85-8308-45F4-AC1D-9B56238A3C3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Стратегии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bandon">'Стратегии'!$D$37</definedName>
    <definedName name="AbandonAt">'Исходные данные'!$D$33</definedName>
    <definedName name="Base_A">'Стратегии'!$D$75</definedName>
    <definedName name="Base_B">'Стратегии'!$D$76</definedName>
    <definedName name="Base_C">'Стратегии'!$D$77</definedName>
    <definedName name="BigCap">'Исходные данные'!$D$19</definedName>
    <definedName name="BigCapex">'Исходные данные'!$D$20</definedName>
    <definedName name="BigFixed">'Исходные данные'!$D$21</definedName>
    <definedName name="CapAfter">'Стратегии'!$D$48</definedName>
    <definedName name="CapAfterB">'Стратегии'!$D$52</definedName>
    <definedName name="CashAt">'Стратегии'!$D$50</definedName>
    <definedName name="CashAtB">'Стратегии'!$D$54</definedName>
    <definedName name="Checks">'Стратегии'!$D$81:$D$82</definedName>
    <definedName name="Contrib">'Исходные данные'!$D$14</definedName>
    <definedName name="D0">'Исходные данные'!$D$11</definedName>
    <definedName name="DecCap">'Стратегии'!$F$43:$F$45</definedName>
    <definedName name="DecCash">'Стратегии'!$H$43:$H$45</definedName>
    <definedName name="DecFixed">'Стратегии'!$G$43:$G$45</definedName>
    <definedName name="DecideYear">'Исходные данные'!$D$31</definedName>
    <definedName name="DecInvest">'Стратегии'!$I$43:$I$45</definedName>
    <definedName name="Decision">'Стратегии'!$D$35</definedName>
    <definedName name="DecisionB">'Стратегии'!$D$39</definedName>
    <definedName name="DecNames">'Стратегии'!$B$43:$B$45</definedName>
    <definedName name="DemDec">'Стратегии'!$D$34</definedName>
    <definedName name="DemDecB">'Стратегии'!$D$38</definedName>
    <definedName name="DiscRate">'Исходные данные'!$D$37</definedName>
    <definedName name="Expand">'Стратегии'!$D$36</definedName>
    <definedName name="ExpandAt">'Исходные данные'!$D$32</definedName>
    <definedName name="ExpCapex">'Исходные данные'!$D$25</definedName>
    <definedName name="FixAfter">'Стратегии'!$D$49</definedName>
    <definedName name="FixAfterB">'Стратегии'!$D$53</definedName>
    <definedName name="Growth">'Исходные данные'!$D$12</definedName>
    <definedName name="InvestAfter">'Стратегии'!$D$51</definedName>
    <definedName name="InvestAfterB">'Стратегии'!$D$55</definedName>
    <definedName name="Margin">'Стратегии'!$D$12</definedName>
    <definedName name="Mu">'Стратегии'!$D$11</definedName>
    <definedName name="NPV_A">'Стратегии'!$D$72</definedName>
    <definedName name="NPV_B">'Стратегии'!$D$73</definedName>
    <definedName name="NPV_C">'Стратегии'!$D$74</definedName>
    <definedName name="_xlnm.Print_Area" localSheetId="3">'Результаты'!$A$1:$R$49</definedName>
    <definedName name="_xlnm.Print_Titles" localSheetId="1">'Исходные данные'!$1:$4</definedName>
    <definedName name="_xlnm.Print_Titles" localSheetId="3">'Результаты'!$1:$4</definedName>
    <definedName name="_xlnm.Print_Titles" localSheetId="2">'Стратегии'!$6:$7,'Стратегии'!$A:$D</definedName>
    <definedName name="Salvage">'Исходные данные'!$D$26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mallCap">'Исходные данные'!$D$22</definedName>
    <definedName name="SmallCapex">'Исходные данные'!$D$23</definedName>
    <definedName name="SmallFixed">'Исходные данные'!$D$24</definedName>
    <definedName name="Vol">'Исходные данные'!$D$13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6" i="4" l="1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D82" i="3"/>
  <c r="D81" i="3"/>
  <c r="B7" i="4" s="1"/>
  <c r="F67" i="3"/>
  <c r="F61" i="3"/>
  <c r="H45" i="3"/>
  <c r="I44" i="3"/>
  <c r="G44" i="3"/>
  <c r="F44" i="3"/>
  <c r="G43" i="3"/>
  <c r="F43" i="3"/>
  <c r="F29" i="3"/>
  <c r="F28" i="3"/>
  <c r="P27" i="3"/>
  <c r="O27" i="3"/>
  <c r="N27" i="3"/>
  <c r="M27" i="3"/>
  <c r="L27" i="3"/>
  <c r="K27" i="3"/>
  <c r="J27" i="3"/>
  <c r="I27" i="3"/>
  <c r="H27" i="3"/>
  <c r="G27" i="3"/>
  <c r="F24" i="3"/>
  <c r="F23" i="3"/>
  <c r="P22" i="3"/>
  <c r="O22" i="3"/>
  <c r="N22" i="3"/>
  <c r="M22" i="3"/>
  <c r="L22" i="3"/>
  <c r="K22" i="3"/>
  <c r="J22" i="3"/>
  <c r="I22" i="3"/>
  <c r="H22" i="3"/>
  <c r="G22" i="3"/>
  <c r="F19" i="3"/>
  <c r="F18" i="3"/>
  <c r="F16" i="3"/>
  <c r="D12" i="3"/>
  <c r="D11" i="3"/>
  <c r="G16" i="3" s="1" a="1"/>
  <c r="P16" i="3" s="1"/>
  <c r="P17" i="3" s="1" a="1"/>
  <c r="P17" i="3" s="1"/>
  <c r="G6" i="3"/>
  <c r="G18" i="3" s="1"/>
  <c r="G63" i="3"/>
  <c r="H6" i="3"/>
  <c r="H19" i="3" s="1"/>
  <c r="G66" i="3"/>
  <c r="G19" i="3"/>
  <c r="G64" i="3"/>
  <c r="B108" i="4"/>
  <c r="H57" i="3"/>
  <c r="I6" i="3"/>
  <c r="B109" i="4" s="1"/>
  <c r="H66" i="3"/>
  <c r="E116" i="4" a="1"/>
  <c r="C116" i="4" a="1"/>
  <c r="D116" i="4" a="1"/>
  <c r="F116" i="4" a="1"/>
  <c r="G29" i="3" l="1"/>
  <c r="H18" i="3"/>
  <c r="D38" i="3" s="1" a="1"/>
  <c r="D38" i="3" s="1"/>
  <c r="D39" i="3" s="1"/>
  <c r="D55" i="3" s="1"/>
  <c r="G58" i="3"/>
  <c r="B107" i="4"/>
  <c r="G60" i="3"/>
  <c r="H64" i="3"/>
  <c r="F116" i="4"/>
  <c r="D116" i="4"/>
  <c r="C116" i="4"/>
  <c r="E116" i="4"/>
  <c r="N16" i="3"/>
  <c r="N28" i="3" s="1"/>
  <c r="I65" i="3"/>
  <c r="I19" i="3"/>
  <c r="I66" i="3"/>
  <c r="I18" i="3"/>
  <c r="I29" i="3" s="1"/>
  <c r="J6" i="3"/>
  <c r="B110" i="4" s="1"/>
  <c r="I59" i="3"/>
  <c r="O16" i="3"/>
  <c r="I24" i="3"/>
  <c r="H29" i="3"/>
  <c r="H58" i="3"/>
  <c r="G59" i="3"/>
  <c r="K16" i="3"/>
  <c r="K17" i="3" s="1" a="1"/>
  <c r="K17" i="3" s="1"/>
  <c r="G57" i="3"/>
  <c r="H16" i="3"/>
  <c r="H28" i="3" s="1"/>
  <c r="I16" i="3"/>
  <c r="I23" i="3" s="1"/>
  <c r="H63" i="3"/>
  <c r="G16" i="3"/>
  <c r="G23" i="3" s="1"/>
  <c r="M16" i="3"/>
  <c r="L16" i="3"/>
  <c r="J16" i="3"/>
  <c r="H60" i="3"/>
  <c r="G24" i="3"/>
  <c r="P28" i="3"/>
  <c r="P23" i="3"/>
  <c r="G65" i="3"/>
  <c r="G67" i="3" s="1"/>
  <c r="F111" i="4" a="1"/>
  <c r="D111" i="4" a="1"/>
  <c r="E111" i="4" a="1"/>
  <c r="C111" i="4" a="1"/>
  <c r="N23" i="3" l="1"/>
  <c r="N17" i="3" a="1"/>
  <c r="N17" i="3" s="1"/>
  <c r="K28" i="3"/>
  <c r="D52" i="3"/>
  <c r="I63" i="3" s="1"/>
  <c r="D53" i="3"/>
  <c r="I64" i="3" s="1"/>
  <c r="I67" i="3" s="1"/>
  <c r="H24" i="3"/>
  <c r="D54" i="3"/>
  <c r="H65" i="3" s="1"/>
  <c r="H67" i="3" s="1"/>
  <c r="C111" i="4"/>
  <c r="E111" i="4"/>
  <c r="D111" i="4"/>
  <c r="F111" i="4"/>
  <c r="J17" i="3" a="1"/>
  <c r="J17" i="3" s="1"/>
  <c r="J28" i="3"/>
  <c r="J23" i="3"/>
  <c r="L28" i="3"/>
  <c r="L17" i="3" a="1"/>
  <c r="L17" i="3" s="1"/>
  <c r="L23" i="3"/>
  <c r="M17" i="3" a="1"/>
  <c r="M17" i="3" s="1"/>
  <c r="M28" i="3"/>
  <c r="G61" i="3"/>
  <c r="G17" i="3" a="1"/>
  <c r="G17" i="3" s="1"/>
  <c r="K23" i="3"/>
  <c r="G28" i="3"/>
  <c r="I17" i="3" a="1"/>
  <c r="I17" i="3" s="1"/>
  <c r="I28" i="3"/>
  <c r="M23" i="3"/>
  <c r="J19" i="3"/>
  <c r="J64" i="3"/>
  <c r="J66" i="3"/>
  <c r="K6" i="3"/>
  <c r="B111" i="4" s="1"/>
  <c r="J60" i="3"/>
  <c r="J18" i="3"/>
  <c r="J59" i="3"/>
  <c r="J63" i="3"/>
  <c r="J65" i="3"/>
  <c r="H17" i="3" a="1"/>
  <c r="H17" i="3" s="1"/>
  <c r="D34" i="3" a="1"/>
  <c r="D34" i="3" s="1"/>
  <c r="D35" i="3" s="1"/>
  <c r="H23" i="3"/>
  <c r="O28" i="3"/>
  <c r="O17" i="3" a="1"/>
  <c r="O17" i="3" s="1"/>
  <c r="O23" i="3"/>
  <c r="F114" i="4" a="1"/>
  <c r="C114" i="4" a="1"/>
  <c r="D114" i="4" a="1"/>
  <c r="E114" i="4" a="1"/>
  <c r="F110" i="4" a="1"/>
  <c r="E110" i="4" a="1"/>
  <c r="D110" i="4" a="1"/>
  <c r="C110" i="4" a="1"/>
  <c r="D107" i="4" a="1"/>
  <c r="E107" i="4" a="1"/>
  <c r="F107" i="4" a="1"/>
  <c r="C107" i="4" a="1"/>
  <c r="C108" i="4" a="1"/>
  <c r="E108" i="4" a="1"/>
  <c r="F108" i="4" a="1"/>
  <c r="D108" i="4" a="1"/>
  <c r="D112" i="4" a="1"/>
  <c r="C112" i="4" a="1"/>
  <c r="F112" i="4" a="1"/>
  <c r="E112" i="4" a="1"/>
  <c r="F115" i="4" a="1"/>
  <c r="E115" i="4" a="1"/>
  <c r="D115" i="4" a="1"/>
  <c r="C115" i="4" a="1"/>
  <c r="D109" i="4" a="1"/>
  <c r="C109" i="4" a="1"/>
  <c r="E109" i="4" a="1"/>
  <c r="F109" i="4" a="1"/>
  <c r="E113" i="4" a="1"/>
  <c r="C113" i="4" a="1"/>
  <c r="D113" i="4" a="1"/>
  <c r="F113" i="4" a="1"/>
  <c r="E114" i="4" l="1"/>
  <c r="D114" i="4"/>
  <c r="C114" i="4"/>
  <c r="F114" i="4"/>
  <c r="F113" i="4"/>
  <c r="D113" i="4"/>
  <c r="C113" i="4"/>
  <c r="E113" i="4"/>
  <c r="F109" i="4"/>
  <c r="E109" i="4"/>
  <c r="C109" i="4"/>
  <c r="D109" i="4"/>
  <c r="C115" i="4"/>
  <c r="D115" i="4"/>
  <c r="E115" i="4"/>
  <c r="F115" i="4"/>
  <c r="E112" i="4"/>
  <c r="F112" i="4"/>
  <c r="C112" i="4"/>
  <c r="D112" i="4"/>
  <c r="D108" i="4"/>
  <c r="F108" i="4"/>
  <c r="E108" i="4"/>
  <c r="C108" i="4"/>
  <c r="C107" i="4"/>
  <c r="F107" i="4"/>
  <c r="E107" i="4"/>
  <c r="D107" i="4"/>
  <c r="C110" i="4"/>
  <c r="D110" i="4"/>
  <c r="E110" i="4"/>
  <c r="F110" i="4"/>
  <c r="D28" i="3"/>
  <c r="D23" i="3"/>
  <c r="J67" i="3"/>
  <c r="J24" i="3"/>
  <c r="J29" i="3"/>
  <c r="D50" i="3"/>
  <c r="H59" i="3" s="1"/>
  <c r="H61" i="3" s="1"/>
  <c r="D37" i="3" a="1"/>
  <c r="D37" i="3" s="1"/>
  <c r="D48" i="3"/>
  <c r="K57" i="3" s="1"/>
  <c r="D36" i="3" a="1"/>
  <c r="D36" i="3" s="1"/>
  <c r="D49" i="3"/>
  <c r="K58" i="3" s="1"/>
  <c r="D51" i="3"/>
  <c r="I60" i="3" s="1"/>
  <c r="K66" i="3"/>
  <c r="K64" i="3"/>
  <c r="K19" i="3"/>
  <c r="K63" i="3"/>
  <c r="K18" i="3"/>
  <c r="K60" i="3"/>
  <c r="L6" i="3"/>
  <c r="B112" i="4" s="1"/>
  <c r="K59" i="3"/>
  <c r="K65" i="3"/>
  <c r="D26" i="4" a="1"/>
  <c r="D25" i="4" a="1"/>
  <c r="D25" i="4" l="1"/>
  <c r="D26" i="4"/>
  <c r="L63" i="3"/>
  <c r="L59" i="3"/>
  <c r="L57" i="3"/>
  <c r="L66" i="3"/>
  <c r="L64" i="3"/>
  <c r="L19" i="3"/>
  <c r="L65" i="3"/>
  <c r="L18" i="3"/>
  <c r="L58" i="3"/>
  <c r="M6" i="3"/>
  <c r="B113" i="4" s="1"/>
  <c r="L60" i="3"/>
  <c r="I58" i="3"/>
  <c r="J58" i="3"/>
  <c r="K67" i="3"/>
  <c r="K29" i="3"/>
  <c r="K24" i="3"/>
  <c r="K61" i="3"/>
  <c r="I57" i="3"/>
  <c r="J57" i="3"/>
  <c r="I61" i="3" l="1"/>
  <c r="J61" i="3"/>
  <c r="M19" i="3"/>
  <c r="M66" i="3"/>
  <c r="M64" i="3"/>
  <c r="M58" i="3"/>
  <c r="M60" i="3"/>
  <c r="M18" i="3"/>
  <c r="M65" i="3"/>
  <c r="M59" i="3"/>
  <c r="N6" i="3"/>
  <c r="B114" i="4" s="1"/>
  <c r="M57" i="3"/>
  <c r="M63" i="3"/>
  <c r="L67" i="3"/>
  <c r="L29" i="3"/>
  <c r="L24" i="3"/>
  <c r="L61" i="3"/>
  <c r="M61" i="3" l="1"/>
  <c r="M67" i="3"/>
  <c r="M24" i="3"/>
  <c r="M29" i="3"/>
  <c r="N58" i="3"/>
  <c r="N64" i="3"/>
  <c r="N60" i="3"/>
  <c r="O6" i="3"/>
  <c r="B115" i="4" s="1"/>
  <c r="N19" i="3"/>
  <c r="N57" i="3"/>
  <c r="N59" i="3"/>
  <c r="N66" i="3"/>
  <c r="N65" i="3"/>
  <c r="N63" i="3"/>
  <c r="N18" i="3"/>
  <c r="N61" i="3" l="1"/>
  <c r="N29" i="3"/>
  <c r="N24" i="3"/>
  <c r="N67" i="3"/>
  <c r="O19" i="3"/>
  <c r="O63" i="3"/>
  <c r="O65" i="3"/>
  <c r="O57" i="3"/>
  <c r="O61" i="3" s="1"/>
  <c r="O64" i="3"/>
  <c r="O18" i="3"/>
  <c r="P6" i="3"/>
  <c r="B116" i="4" s="1"/>
  <c r="O59" i="3"/>
  <c r="O60" i="3"/>
  <c r="O66" i="3"/>
  <c r="O58" i="3"/>
  <c r="P59" i="3" l="1"/>
  <c r="P19" i="3"/>
  <c r="P18" i="3"/>
  <c r="P66" i="3"/>
  <c r="P63" i="3"/>
  <c r="P60" i="3"/>
  <c r="P58" i="3"/>
  <c r="P65" i="3"/>
  <c r="P57" i="3"/>
  <c r="P64" i="3"/>
  <c r="O29" i="3"/>
  <c r="O67" i="3"/>
  <c r="O24" i="3"/>
  <c r="P61" i="3" l="1"/>
  <c r="D61" i="3" s="1"/>
  <c r="D72" i="3" a="1"/>
  <c r="D72" i="3" s="1"/>
  <c r="D73" i="3" a="1"/>
  <c r="D73" i="3" s="1"/>
  <c r="P24" i="3"/>
  <c r="P29" i="3"/>
  <c r="P67" i="3"/>
  <c r="D74" i="3" a="1"/>
  <c r="D74" i="3" s="1"/>
  <c r="D75" i="4" a="1"/>
  <c r="D103" i="4" a="1"/>
  <c r="D98" i="4" a="1"/>
  <c r="D99" i="4" a="1"/>
  <c r="D84" i="4" a="1"/>
  <c r="D72" i="4" a="1"/>
  <c r="D58" i="4" a="1"/>
  <c r="D57" i="4" a="1"/>
  <c r="D80" i="4" a="1"/>
  <c r="D66" i="4" a="1"/>
  <c r="D102" i="4" a="1"/>
  <c r="D97" i="4" a="1"/>
  <c r="D76" i="4" a="1"/>
  <c r="D61" i="4" a="1"/>
  <c r="D55" i="4" a="1"/>
  <c r="D70" i="4" a="1"/>
  <c r="D89" i="4" a="1"/>
  <c r="D93" i="4" a="1"/>
  <c r="D65" i="4" a="1"/>
  <c r="D71" i="4" a="1"/>
  <c r="D94" i="4" a="1"/>
  <c r="D73" i="4" a="1"/>
  <c r="D104" i="4" a="1"/>
  <c r="E13" i="4" a="1"/>
  <c r="D78" i="4" a="1"/>
  <c r="D22" i="4" a="1"/>
  <c r="D77" i="4" a="1"/>
  <c r="D60" i="4" a="1"/>
  <c r="D68" i="4" a="1"/>
  <c r="D87" i="4" a="1"/>
  <c r="D59" i="4" a="1"/>
  <c r="D82" i="4" a="1"/>
  <c r="D100" i="4" a="1"/>
  <c r="D74" i="4" a="1"/>
  <c r="F13" i="4" a="1"/>
  <c r="D56" i="4" a="1"/>
  <c r="D62" i="4" a="1"/>
  <c r="D13" i="4" a="1"/>
  <c r="D91" i="4" a="1"/>
  <c r="D63" i="4" a="1"/>
  <c r="D69" i="4" a="1"/>
  <c r="D101" i="4" a="1"/>
  <c r="D79" i="4" a="1"/>
  <c r="D88" i="4" a="1"/>
  <c r="D83" i="4" a="1"/>
  <c r="D81" i="4" a="1"/>
  <c r="D92" i="4" a="1"/>
  <c r="D86" i="4" a="1"/>
  <c r="G13" i="4" a="1"/>
  <c r="D85" i="4" a="1"/>
  <c r="D64" i="4" a="1"/>
  <c r="D96" i="4" a="1"/>
  <c r="D95" i="4" a="1"/>
  <c r="D67" i="4" a="1"/>
  <c r="D90" i="4" a="1"/>
  <c r="E73" i="4" a="1"/>
  <c r="E72" i="4" a="1"/>
  <c r="E67" i="4" a="1"/>
  <c r="E78" i="4" a="1"/>
  <c r="E100" i="4" a="1"/>
  <c r="E104" i="4" a="1"/>
  <c r="E99" i="4" a="1"/>
  <c r="E102" i="4" a="1"/>
  <c r="E81" i="4" a="1"/>
  <c r="E103" i="4" a="1"/>
  <c r="E65" i="4" a="1"/>
  <c r="E71" i="4" a="1"/>
  <c r="E74" i="4" a="1"/>
  <c r="E75" i="4" a="1"/>
  <c r="E57" i="4" a="1"/>
  <c r="E64" i="4" a="1"/>
  <c r="E61" i="4" a="1"/>
  <c r="E70" i="4" a="1"/>
  <c r="E69" i="4" a="1"/>
  <c r="E68" i="4" a="1"/>
  <c r="E86" i="4" a="1"/>
  <c r="E85" i="4" a="1"/>
  <c r="E84" i="4" a="1"/>
  <c r="E79" i="4" a="1"/>
  <c r="G14" i="4" a="1"/>
  <c r="E89" i="4" a="1"/>
  <c r="E76" i="4" a="1"/>
  <c r="E14" i="4" a="1"/>
  <c r="E88" i="4" a="1"/>
  <c r="E83" i="4" a="1"/>
  <c r="E58" i="4" a="1"/>
  <c r="E90" i="4" a="1"/>
  <c r="E93" i="4" a="1"/>
  <c r="E80" i="4" a="1"/>
  <c r="D21" i="4" a="1"/>
  <c r="E55" i="4" a="1"/>
  <c r="E87" i="4" a="1"/>
  <c r="E82" i="4" a="1"/>
  <c r="E97" i="4" a="1"/>
  <c r="E94" i="4" a="1"/>
  <c r="E56" i="4" a="1"/>
  <c r="F14" i="4" a="1"/>
  <c r="E77" i="4" a="1"/>
  <c r="E62" i="4" a="1"/>
  <c r="E101" i="4" a="1"/>
  <c r="E92" i="4" a="1"/>
  <c r="E59" i="4" a="1"/>
  <c r="E91" i="4" a="1"/>
  <c r="E66" i="4" a="1"/>
  <c r="E98" i="4" a="1"/>
  <c r="D14" i="4" a="1"/>
  <c r="E96" i="4" a="1"/>
  <c r="E60" i="4" a="1"/>
  <c r="E63" i="4" a="1"/>
  <c r="E95" i="4" a="1"/>
  <c r="F65" i="4" a="1"/>
  <c r="F73" i="4" a="1"/>
  <c r="F77" i="4" a="1"/>
  <c r="F66" i="4" a="1"/>
  <c r="F78" i="4" a="1"/>
  <c r="B6" i="4" a="1"/>
  <c r="F80" i="4" a="1"/>
  <c r="F74" i="4" a="1"/>
  <c r="F58" i="4" a="1"/>
  <c r="F83" i="4" a="1"/>
  <c r="F79" i="4" a="1"/>
  <c r="E15" i="4" a="1"/>
  <c r="F88" i="4" a="1"/>
  <c r="F90" i="4" a="1"/>
  <c r="G15" i="4" a="1"/>
  <c r="F84" i="4" a="1"/>
  <c r="F62" i="4" a="1"/>
  <c r="F76" i="4" a="1"/>
  <c r="F101" i="4" a="1"/>
  <c r="D15" i="4" a="1"/>
  <c r="F69" i="4" a="1"/>
  <c r="F61" i="4" a="1"/>
  <c r="F55" i="4" a="1"/>
  <c r="F56" i="4" a="1"/>
  <c r="F81" i="4" a="1"/>
  <c r="F87" i="4" a="1"/>
  <c r="F72" i="4" a="1"/>
  <c r="F100" i="4" a="1"/>
  <c r="F68" i="4" a="1"/>
  <c r="F102" i="4" a="1"/>
  <c r="F93" i="4" a="1"/>
  <c r="F70" i="4" a="1"/>
  <c r="F99" i="4" a="1"/>
  <c r="F67" i="4" a="1"/>
  <c r="F15" i="4" a="1"/>
  <c r="F104" i="4" a="1"/>
  <c r="F97" i="4" a="1"/>
  <c r="F98" i="4" a="1"/>
  <c r="F89" i="4" a="1"/>
  <c r="F95" i="4" a="1"/>
  <c r="F75" i="4" a="1"/>
  <c r="F57" i="4" a="1"/>
  <c r="F86" i="4" a="1"/>
  <c r="F103" i="4" a="1"/>
  <c r="F71" i="4" a="1"/>
  <c r="F96" i="4" a="1"/>
  <c r="F64" i="4" a="1"/>
  <c r="D20" i="4" a="1"/>
  <c r="F63" i="4" a="1"/>
  <c r="F92" i="4" a="1"/>
  <c r="F60" i="4" a="1"/>
  <c r="F94" i="4" a="1"/>
  <c r="F85" i="4" a="1"/>
  <c r="F82" i="4" a="1"/>
  <c r="F91" i="4" a="1"/>
  <c r="F59" i="4" a="1"/>
  <c r="F59" i="4" l="1"/>
  <c r="F91" i="4"/>
  <c r="F82" i="4"/>
  <c r="F85" i="4"/>
  <c r="F94" i="4"/>
  <c r="F60" i="4"/>
  <c r="F92" i="4"/>
  <c r="F63" i="4"/>
  <c r="D20" i="4"/>
  <c r="F64" i="4"/>
  <c r="F96" i="4"/>
  <c r="F71" i="4"/>
  <c r="F103" i="4"/>
  <c r="F86" i="4"/>
  <c r="F57" i="4"/>
  <c r="F75" i="4"/>
  <c r="F95" i="4"/>
  <c r="F89" i="4"/>
  <c r="F98" i="4"/>
  <c r="F97" i="4"/>
  <c r="F104" i="4"/>
  <c r="F15" i="4"/>
  <c r="F67" i="4"/>
  <c r="F99" i="4"/>
  <c r="F70" i="4"/>
  <c r="F93" i="4"/>
  <c r="F102" i="4"/>
  <c r="F68" i="4"/>
  <c r="F100" i="4"/>
  <c r="F72" i="4"/>
  <c r="F87" i="4"/>
  <c r="F81" i="4"/>
  <c r="F56" i="4"/>
  <c r="F55" i="4"/>
  <c r="F61" i="4"/>
  <c r="F69" i="4"/>
  <c r="D15" i="4"/>
  <c r="F101" i="4"/>
  <c r="F76" i="4"/>
  <c r="F62" i="4"/>
  <c r="F84" i="4"/>
  <c r="G15" i="4"/>
  <c r="F90" i="4"/>
  <c r="F88" i="4"/>
  <c r="E15" i="4"/>
  <c r="F79" i="4"/>
  <c r="F83" i="4"/>
  <c r="F58" i="4"/>
  <c r="F74" i="4"/>
  <c r="F80" i="4"/>
  <c r="B6" i="4"/>
  <c r="F78" i="4"/>
  <c r="F66" i="4"/>
  <c r="F77" i="4"/>
  <c r="F73" i="4"/>
  <c r="F65" i="4"/>
  <c r="E95" i="4"/>
  <c r="E63" i="4"/>
  <c r="E60" i="4"/>
  <c r="E96" i="4"/>
  <c r="D14" i="4"/>
  <c r="E98" i="4"/>
  <c r="E66" i="4"/>
  <c r="E91" i="4"/>
  <c r="E59" i="4"/>
  <c r="E92" i="4"/>
  <c r="E101" i="4"/>
  <c r="E62" i="4"/>
  <c r="E77" i="4"/>
  <c r="F14" i="4"/>
  <c r="E56" i="4"/>
  <c r="E94" i="4"/>
  <c r="E97" i="4"/>
  <c r="E82" i="4"/>
  <c r="E87" i="4"/>
  <c r="E55" i="4"/>
  <c r="D21" i="4"/>
  <c r="E80" i="4"/>
  <c r="E93" i="4"/>
  <c r="E90" i="4"/>
  <c r="E58" i="4"/>
  <c r="E83" i="4"/>
  <c r="E88" i="4"/>
  <c r="E14" i="4"/>
  <c r="E76" i="4"/>
  <c r="E89" i="4"/>
  <c r="G14" i="4"/>
  <c r="E79" i="4"/>
  <c r="E84" i="4"/>
  <c r="E85" i="4"/>
  <c r="E86" i="4"/>
  <c r="E68" i="4"/>
  <c r="E69" i="4"/>
  <c r="E70" i="4"/>
  <c r="E61" i="4"/>
  <c r="E64" i="4"/>
  <c r="E57" i="4"/>
  <c r="E75" i="4"/>
  <c r="E74" i="4"/>
  <c r="E71" i="4"/>
  <c r="E65" i="4"/>
  <c r="E103" i="4"/>
  <c r="E81" i="4"/>
  <c r="E102" i="4"/>
  <c r="E99" i="4"/>
  <c r="E104" i="4"/>
  <c r="E100" i="4"/>
  <c r="E78" i="4"/>
  <c r="E67" i="4"/>
  <c r="E72" i="4"/>
  <c r="E73" i="4"/>
  <c r="D90" i="4"/>
  <c r="D67" i="4"/>
  <c r="D95" i="4"/>
  <c r="D96" i="4"/>
  <c r="D64" i="4"/>
  <c r="D85" i="4"/>
  <c r="G13" i="4"/>
  <c r="D86" i="4"/>
  <c r="D92" i="4"/>
  <c r="D81" i="4"/>
  <c r="D83" i="4"/>
  <c r="D88" i="4"/>
  <c r="D79" i="4"/>
  <c r="D101" i="4"/>
  <c r="D69" i="4"/>
  <c r="D63" i="4"/>
  <c r="D91" i="4"/>
  <c r="D13" i="4"/>
  <c r="D62" i="4"/>
  <c r="D56" i="4"/>
  <c r="F13" i="4"/>
  <c r="D74" i="4"/>
  <c r="D100" i="4"/>
  <c r="D82" i="4"/>
  <c r="D59" i="4"/>
  <c r="D87" i="4"/>
  <c r="D68" i="4"/>
  <c r="D60" i="4"/>
  <c r="D77" i="4"/>
  <c r="D22" i="4"/>
  <c r="D78" i="4"/>
  <c r="E13" i="4"/>
  <c r="D104" i="4"/>
  <c r="D73" i="4"/>
  <c r="D94" i="4"/>
  <c r="D71" i="4"/>
  <c r="D65" i="4"/>
  <c r="D93" i="4"/>
  <c r="D89" i="4"/>
  <c r="D70" i="4"/>
  <c r="D55" i="4"/>
  <c r="D61" i="4"/>
  <c r="D76" i="4"/>
  <c r="D97" i="4"/>
  <c r="D102" i="4"/>
  <c r="D66" i="4"/>
  <c r="D80" i="4"/>
  <c r="D57" i="4"/>
  <c r="D58" i="4"/>
  <c r="D72" i="4"/>
  <c r="D84" i="4"/>
  <c r="D99" i="4"/>
  <c r="D98" i="4"/>
  <c r="D103" i="4"/>
  <c r="D75" i="4"/>
  <c r="D67" i="3"/>
  <c r="D77" i="3"/>
  <c r="C15" i="4" s="1"/>
  <c r="D76" i="3"/>
  <c r="C14" i="4" s="1"/>
  <c r="D29" i="3"/>
  <c r="D75" i="3"/>
  <c r="C13" i="4" s="1"/>
  <c r="D24" i="3"/>
  <c r="D23" i="4" l="1"/>
  <c r="D24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<sst xmlns="http://schemas.openxmlformats.org/spreadsheetml/2006/main" count="373" uniqueCount="259">
  <si>
    <t xml:space="preserve">Реальные опционы: расширить или отказаться</t>
  </si>
  <si>
    <t xml:space="preserve">Пример МоделРиск  ·  Корпоративные финансы  ·  CF-08</t>
  </si>
  <si>
    <t xml:space="preserve">Строить большой завод сейчас или начать с малого и решить позже?  Ценность гибкости при неопределенном спросе.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</si>
  <si>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</si>
  <si>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</si>
  <si>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</si>
  <si>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</si>
  <si>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</si>
  <si>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★★★★★   Три инвестиционные стратегии на одних и тех же смоделированных траекториях спроса; правило расширения или отказа применяется внутри каждой итерации.</t>
  </si>
  <si>
    <t xml:space="preserve">Вопрос бизнеса</t>
  </si>
  <si>
    <t xml:space="preserve">Компания выходит на новый рынок. Можно построить большой завод сейчас или малый, который можно расширить через два года, если спрос будет сильным, или продать, если слабым. Бизнес-кейс на ожидаемом спросе выбирает большой завод. Какая стратегия ценнее с учетом неопределенности спроса и сколько стоит гибкость?</t>
  </si>
  <si>
    <t xml:space="preserve">Для кого</t>
  </si>
  <si>
    <t xml:space="preserve">Службам стратегии и корпоративного развития, инвестиционным комитетам, инициаторам проектов.</t>
  </si>
  <si>
    <t xml:space="preserve">Основные результаты</t>
  </si>
  <si>
    <t xml:space="preserve">NPV каждой стратегии: бизнес-кейс в сравнении с моделированием, диапазон и вероятность убытка · ценность опционов на расширение и отказ · как часто принимается каждое решение · диапазон спроса.</t>
  </si>
  <si>
    <t xml:space="preserve">Приемы МоделРиск</t>
  </si>
  <si>
    <t xml:space="preserve">Спрос как геометрическое броуновское движение (VoseTimeGBM) · три стратегии на одних и тех же траекториях спроса (общие случайные числа) · правила решения внутри каждой итерации (реальные опционы) · S-кривые NPV и веерная диаграмма спроса.</t>
  </si>
  <si>
    <t xml:space="preserve">Файл</t>
  </si>
  <si>
    <t xml:space="preserve">CF-08 Реальные опционы: расширить или отказаться  ·  Версия 1.0  ·  Ноябрь 2026  ·  создано в МоделРиск</t>
  </si>
  <si>
    <t xml:space="preserve">Вопрос бизнеса</t>
  </si>
  <si>
    <t xml:space="preserve">Производитель выходит на новый рынок, где спрос около 100 000 единиц в год и растет примерно на 3% в год, но очень неопределенно. Можно сейчас построить завод на 120 000 единиц за 90 млн долл. или завод на 60 000 единиц за 55 млн долл. Малый завод можно удвоить в начале 3-го года за 40 млн долл., когда два года продаж покажут, силен ли спрос. Если спрос рухнет, завод можно вместо этого продать за 35 млн долл. При ожидаемом спросе у большого завода NPV гораздо выше, и бизнес-кейс рекомендует его. Но мощность большого завода ценна, только если спрос растет, а если нет — затраты на него невозвратны. Модель разыгрывает десять лет спроса и оценивает три стратегии на одних и тех же траекториях, применяя правило решения поэтапной стратегии в каждой итерации.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</si>
  <si>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</si>
  <si>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</si>
  <si>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</si>
  <si>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Текущий спрос, его рост и волатильность; маржинальный доход на единицу; мощность, стоимость и постоянные затраты каждого завода; стоимость расширения и цена продажи; уровни спроса, при которых расширять или продавать; ставка дисконтирования.</t>
  </si>
  <si>
    <t xml:space="preserve">2  Стратегии</t>
  </si>
  <si>
    <t xml:space="preserve">VoseTimeGBM разыгрывает десять лет спроса. Каждая стратегия продает столько, сколько позволяют спрос и ее мощность. Поэтапная стратегия смотрит на спрос во 2-м году: выше уровня расширения она удваивает мощность с 3-го года, ниже уровня отказа продает завод в конце 2-го года, иначе работает дальше.</t>
  </si>
  <si>
    <t xml:space="preserve">3  Результаты</t>
  </si>
  <si>
    <t xml:space="preserve">NPV каждой стратегии при спросе из бизнес-кейса и в моделировании, его диапазон и вероятность убытка; ценность опционов; как часто завод расширяют или продают.</t>
  </si>
  <si>
    <t xml:space="preserve">Как пользоваться моделью</t>
  </si>
  <si>
    <t xml:space="preserve">Шаг 1</t>
  </si>
  <si>
    <t xml:space="preserve">Введите свой рынок, варианты заводов и затраты на листе «Исходные данные».</t>
  </si>
  <si>
    <t xml:space="preserve">Шаг 2</t>
  </si>
  <si>
    <t xml:space="preserve">Нажмите F9 на листе «Стратегии», чтобы увидеть, как три стратегии разыгрываются на одном и том же спросе.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</si>
  <si>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</si>
  <si>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</si>
  <si>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</si>
  <si>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Измените правила решения (уровни расширения и отказа) и запустите моделирование снова, чтобы найти лучшие.</t>
  </si>
  <si>
    <t xml:space="preserve">Структура модели</t>
  </si>
  <si>
    <t xml:space="preserve">Исходные данные</t>
  </si>
  <si>
    <t xml:space="preserve">Рынок, заводы, расширение и продажа, правила решения, ставка дисконтирования.</t>
  </si>
  <si>
    <t xml:space="preserve">Стратегии</t>
  </si>
  <si>
    <t xml:space="preserve">Спрос и мощность, продажи и денежный поток каждой стратегии по годам; выходы и проверки.</t>
  </si>
  <si>
    <t xml:space="preserve">Результаты</t>
  </si>
  <si>
    <t xml:space="preserve">Сравнение NPV, ценность гибкости, решения, веерная диаграмма спроса.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</si>
  <si>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</si>
  <si>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</si>
  <si>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</si>
  <si>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</si>
  <si>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</si>
  <si>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</si>
  <si>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</si>
  <si>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</si>
  <si>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</si>
  <si>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</si>
  <si>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</si>
  <si>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</si>
  <si>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</si>
  <si>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долл.), в текущих ценах; маржинальный доход в долларах США за единицу.</t>
  </si>
  <si>
    <t xml:space="preserve">Спрос</t>
  </si>
  <si>
    <t xml:space="preserve">Тысячи единиц в год.</t>
  </si>
  <si>
    <t xml:space="preserve">Годы</t>
  </si>
  <si>
    <t xml:space="preserve">Год 0 — инвестиции; денежные потоки на конец 1–10-го годов.</t>
  </si>
  <si>
    <t xml:space="preserve">Бизнес-кейс</t>
  </si>
  <si>
    <t xml:space="preserve">Тот же расчет со спросом, растущим ровно с ожидаемым темпом.</t>
  </si>
  <si>
    <t xml:space="preserve">Основные допущения и ограничения</t>
  </si>
  <si>
    <t xml:space="preserve">Геометрическое броуновское движение: рост устойчив, а диапазон расширяется с каждым годом.</t>
  </si>
  <si>
    <t xml:space="preserve">Решения</t>
  </si>
  <si>
    <t xml:space="preserve">Принимается один раз, в конце 2-го года, по спросу 2-го года; расширение готово к 3-му году.</t>
  </si>
  <si>
    <t xml:space="preserve">Заводы</t>
  </si>
  <si>
    <t xml:space="preserve">Без остаточной стоимости после 10-го года; постоянные затраты прекращаются после продажи завода.</t>
  </si>
  <si>
    <t xml:space="preserve">Данные</t>
  </si>
  <si>
    <t xml:space="preserve">Компания и все цифры придуманы для этого примера.</t>
  </si>
  <si>
    <t xml:space="preserve">Функции МоделРиск в модели</t>
  </si>
  <si>
    <t>VoseTimeGBM</t>
  </si>
  <si>
    <t xml:space="preserve">Десять лет спроса: растущий, неопределенный, устойчивый ряд.</t>
  </si>
  <si>
    <t>VoseOutput</t>
  </si>
  <si>
    <t xml:space="preserve">NPV каждой стратегии, решения и спрос каждого года как выходы.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</si>
  <si>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</si>
  <si>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</si>
  <si>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 xml:space="preserve">Что почитать</t>
  </si>
  <si>
    <t xml:space="preserve">Реальные опционы</t>
  </si>
  <si>
    <t>Dixit, A. K. &amp; Pindyck, R. S. (1994). Investment under Uncertainty. Princeton University Press.</t>
  </si>
  <si>
    <t xml:space="preserve">Гибкость</t>
  </si>
  <si>
    <t>de Neufville, R. &amp; Scholtes, S. (2011). Flexibility in Engineering Design. MIT Press.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</si>
  <si>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</si>
  <si>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</si>
  <si>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</si>
  <si>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Стратегии  ▸</t>
  </si>
  <si>
    <t xml:space="preserve">Как читать этот лист:  желтые ячейки — исходные данные.</t>
  </si>
  <si>
    <t xml:space="preserve">1   Рынок</t>
  </si>
  <si>
    <t xml:space="preserve">Спрос на продукт и доход с каждой единицы.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</si>
  <si>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</si>
  <si>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</si>
  <si>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</si>
  <si>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</si>
  <si>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</si>
  <si>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Спрос сегодня</t>
  </si>
  <si>
    <t xml:space="preserve">тыс. единиц в год</t>
  </si>
  <si>
    <t xml:space="preserve">Константа</t>
  </si>
  <si>
    <t xml:space="preserve">Исследование рынка.</t>
  </si>
  <si>
    <t xml:space="preserve">Ожидаемый рост спроса</t>
  </si>
  <si>
    <t xml:space="preserve">в год</t>
  </si>
  <si>
    <t xml:space="preserve">Волатильность спроса</t>
  </si>
  <si>
    <t xml:space="preserve">Новый рынок: спрос может удвоиться или упасть вдвое за несколько лет.</t>
  </si>
  <si>
    <t xml:space="preserve">Маржинальный доход на единицу</t>
  </si>
  <si>
    <t xml:space="preserve">долл. за единицу</t>
  </si>
  <si>
    <t xml:space="preserve">Цена за вычетом переменных затрат.</t>
  </si>
  <si>
    <t xml:space="preserve">2   Заводы</t>
  </si>
  <si>
    <t xml:space="preserve">Два размера завода, расширение и продажа.</t>
  </si>
  <si>
    <t xml:space="preserve">Большой завод: мощность</t>
  </si>
  <si>
    <t xml:space="preserve">Большой завод: инвестиции</t>
  </si>
  <si>
    <t xml:space="preserve">млн долл.</t>
  </si>
  <si>
    <t xml:space="preserve">Большой завод: постоянные затраты</t>
  </si>
  <si>
    <t xml:space="preserve">млн долл. в год</t>
  </si>
  <si>
    <t xml:space="preserve">Малый завод: мощность</t>
  </si>
  <si>
    <t xml:space="preserve">Малый завод: инвестиции</t>
  </si>
  <si>
    <t xml:space="preserve">Малый завод: постоянные затраты</t>
  </si>
  <si>
    <t xml:space="preserve">Расширение до мощности большого завода</t>
  </si>
  <si>
    <t xml:space="preserve">Оплачивается в год после решения; у удвоенного завода постоянные затраты как у большого.</t>
  </si>
  <si>
    <t xml:space="preserve">Продажа малого завода</t>
  </si>
  <si>
    <t xml:space="preserve">Поступает в конце года решения.</t>
  </si>
  <si>
    <t xml:space="preserve">3   Правила решения</t>
  </si>
  <si>
    <t xml:space="preserve">Применяются к поэтапной стратегии в конце года решения.</t>
  </si>
  <si>
    <t xml:space="preserve">Решение в конце года</t>
  </si>
  <si>
    <t xml:space="preserve">год</t>
  </si>
  <si>
    <t xml:space="preserve">После двух лет продаж; расширение готово в следующем году.</t>
  </si>
  <si>
    <t xml:space="preserve">Расширять, если спрос в год решения не меньше</t>
  </si>
  <si>
    <t xml:space="preserve">тыс. единиц</t>
  </si>
  <si>
    <t xml:space="preserve">Продать завод, если спрос в год решения не больше</t>
  </si>
  <si>
    <t xml:space="preserve">4   Финансирование</t>
  </si>
  <si>
    <t xml:space="preserve">Ставка дисконтирования</t>
  </si>
  <si>
    <t xml:space="preserve">Стоимость капитала, реальная.</t>
  </si>
  <si>
    <t xml:space="preserve">СТРАТЕГИИ   ·   Десять лет спроса и продажи и денежный поток каждой стратегии при этом спросе (млн долл.).</t>
  </si>
  <si>
    <t xml:space="preserve">◂  Исходные данные</t>
  </si>
  <si>
    <t xml:space="preserve">Далее:  Результаты  ▸</t>
  </si>
  <si>
    <t xml:space="preserve">Год</t>
  </si>
  <si>
    <t xml:space="preserve">Итого</t>
  </si>
  <si>
    <t xml:space="preserve">1   Единичные значения этой итерации</t>
  </si>
  <si>
    <t xml:space="preserve">Величина</t>
  </si>
  <si>
    <t xml:space="preserve">Значение</t>
  </si>
  <si>
    <t xml:space="preserve">Как рассчитывается</t>
  </si>
  <si>
    <t xml:space="preserve">Снос логарифма спроса</t>
  </si>
  <si>
    <t xml:space="preserve">Поддерживает рост ожидаемого спроса с ожидаемым темпом</t>
  </si>
  <si>
    <t xml:space="preserve">Маржинальный доход на тысячу единиц</t>
  </si>
  <si>
    <t xml:space="preserve">2   Спрос</t>
  </si>
  <si>
    <t xml:space="preserve">VoseTimeGBM: десять лет спроса, одинакового для всех трех стратегий.</t>
  </si>
  <si>
    <t xml:space="preserve">Спрос  (выход для веерной диаграммы)</t>
  </si>
  <si>
    <t xml:space="preserve">Спрос по бизнес-кейсу  (растет с ожидаемым темпом)</t>
  </si>
  <si>
    <t xml:space="preserve">Коэффициент дисконтирования</t>
  </si>
  <si>
    <t xml:space="preserve">3   Стратегия A: большой завод сейчас</t>
  </si>
  <si>
    <t xml:space="preserve">Мощность</t>
  </si>
  <si>
    <t xml:space="preserve">Денежный поток</t>
  </si>
  <si>
    <t xml:space="preserve">Денежный поток, бизнес-кейс</t>
  </si>
  <si>
    <t xml:space="preserve">4   Стратегия B: малый завод без расширения</t>
  </si>
  <si>
    <t xml:space="preserve">5   Стратегия C: малый завод, решение позже</t>
  </si>
  <si>
    <t xml:space="preserve">В конце года решения: расширять, если спрос не ниже уровня расширения, продавать, если не выше уровня отказа, иначе работать дальше.</t>
  </si>
  <si>
    <t xml:space="preserve">Спрос в год решения</t>
  </si>
  <si>
    <t xml:space="preserve">Строка спроса в год решения</t>
  </si>
  <si>
    <t xml:space="preserve">Решение</t>
  </si>
  <si>
    <t xml:space="preserve">Правило с листа «Исходные данные»</t>
  </si>
  <si>
    <t xml:space="preserve">Расширить?  (1 — да)</t>
  </si>
  <si>
    <t>1 / 0</t>
  </si>
  <si>
    <t xml:space="preserve">Продать завод?  (1 — да)</t>
  </si>
  <si>
    <t xml:space="preserve">Бизнес-кейс: спрос в год решения</t>
  </si>
  <si>
    <t xml:space="preserve">Строка спроса по бизнес-кейсу</t>
  </si>
  <si>
    <t xml:space="preserve">Бизнес-кейс: решение</t>
  </si>
  <si>
    <t xml:space="preserve">То же правило. В исходной версии оно не срабатывает: спрос 106 лежит между двумя уровнями</t>
  </si>
  <si>
    <t xml:space="preserve">Что означает каждое решение</t>
  </si>
  <si>
    <t xml:space="preserve">Постоянные затраты</t>
  </si>
  <si>
    <t xml:space="preserve">Денежные средства</t>
  </si>
  <si>
    <t xml:space="preserve">Инвестиции</t>
  </si>
  <si>
    <t xml:space="preserve">после</t>
  </si>
  <si>
    <t xml:space="preserve">в год решения</t>
  </si>
  <si>
    <t xml:space="preserve">в следующем году</t>
  </si>
  <si>
    <t xml:space="preserve">Работать дальше</t>
  </si>
  <si>
    <t xml:space="preserve">Расширить</t>
  </si>
  <si>
    <t xml:space="preserve">Продать</t>
  </si>
  <si>
    <t xml:space="preserve">Эта итерация: мощность после решения</t>
  </si>
  <si>
    <t xml:space="preserve">Из таблицы, по решению</t>
  </si>
  <si>
    <t xml:space="preserve">Эта итерация: постоянные затраты после решения</t>
  </si>
  <si>
    <t xml:space="preserve">Эта итерация: деньги в год решения</t>
  </si>
  <si>
    <t xml:space="preserve">Эта итерация: инвестиции в следующем году</t>
  </si>
  <si>
    <t xml:space="preserve">Бизнес-кейс: мощность после решения</t>
  </si>
  <si>
    <t xml:space="preserve">Бизнес-кейс: постоянные затраты после решения</t>
  </si>
  <si>
    <t xml:space="preserve">Бизнес-кейс: деньги в год решения</t>
  </si>
  <si>
    <t xml:space="preserve">Бизнес-кейс: инвестиции в следующем году</t>
  </si>
  <si>
    <t xml:space="preserve">Продажа завода</t>
  </si>
  <si>
    <t xml:space="preserve">Расширение</t>
  </si>
  <si>
    <t xml:space="preserve">Бизнес-кейс: мощность</t>
  </si>
  <si>
    <t xml:space="preserve">Бизнес-кейс: постоянные затраты</t>
  </si>
  <si>
    <t xml:space="preserve">Бизнес-кейс: продажа завода</t>
  </si>
  <si>
    <t xml:space="preserve">Бизнес-кейс: расширение</t>
  </si>
  <si>
    <t xml:space="preserve">Бизнес-кейс: денежный поток</t>
  </si>
  <si>
    <t xml:space="preserve">6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</si>
  <si>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</si>
  <si>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</si>
  <si>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</si>
  <si>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NPV: большой завод сейчас</t>
  </si>
  <si>
    <t xml:space="preserve">NPV: малый завод без расширения</t>
  </si>
  <si>
    <t xml:space="preserve">NPV: малый завод, решение позже</t>
  </si>
  <si>
    <t xml:space="preserve">NPV бизнес-кейса: большой завод сейчас</t>
  </si>
  <si>
    <t xml:space="preserve">Спрос растет ровно с ожидаемым темпом.</t>
  </si>
  <si>
    <t xml:space="preserve">NPV бизнес-кейса: малый завод</t>
  </si>
  <si>
    <t xml:space="preserve">NPV бизнес-кейса: малый завод, решение позже</t>
  </si>
  <si>
    <t xml:space="preserve">Правило решения, примененное к спросу по бизнес-кейсу.</t>
  </si>
  <si>
    <t xml:space="preserve">7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</si>
  <si>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</si>
  <si>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Уровень расширения выше уровня отказа</t>
  </si>
  <si>
    <t xml:space="preserve">Большой завод больше малого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</si>
  <si>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</si>
  <si>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Стратегии</t>
  </si>
  <si>
    <t xml:space="preserve">1   Какая стратегия?</t>
  </si>
  <si>
    <t xml:space="preserve">NPV каждой стратегии — накопленная вероятность</t>
  </si>
  <si>
    <t xml:space="preserve">NPV (млн долл.) при спросе из бизнес-кейса и по смоделированным сценариям.</t>
  </si>
  <si>
    <t xml:space="preserve">Стратегия</t>
  </si>
  <si>
    <t xml:space="preserve">Бизнес</t>
  </si>
  <si>
    <t xml:space="preserve">Среднее</t>
  </si>
  <si>
    <t xml:space="preserve">10-й проц.</t>
  </si>
  <si>
    <t xml:space="preserve">90-й проц.</t>
  </si>
  <si>
    <t xml:space="preserve">Вероятность</t>
  </si>
  <si>
    <t xml:space="preserve">кейс</t>
  </si>
  <si>
    <t xml:space="preserve">по моделированию</t>
  </si>
  <si>
    <t xml:space="preserve">убытка</t>
  </si>
  <si>
    <t xml:space="preserve">Строить большой сейчас</t>
  </si>
  <si>
    <t xml:space="preserve">Строить малый и не расширять</t>
  </si>
  <si>
    <t xml:space="preserve">Строить малый, решить позже</t>
  </si>
  <si>
    <t xml:space="preserve">2   Ценность гибкости</t>
  </si>
  <si>
    <t xml:space="preserve">Что добавляют опционы на расширение и продажу и как часто ими пользуются.</t>
  </si>
  <si>
    <t xml:space="preserve">Показатель</t>
  </si>
  <si>
    <t xml:space="preserve">Среднее NPV, малый завод и решение позже</t>
  </si>
  <si>
    <t xml:space="preserve">Среднее NPV, малый завод без расширения</t>
  </si>
  <si>
    <t xml:space="preserve">Среднее NPV, большой завод сейчас</t>
  </si>
  <si>
    <t xml:space="preserve">Ценность опционов  (решить позже − не расширять)</t>
  </si>
  <si>
    <t xml:space="preserve">Ценность ожидания  (решить позже − большой сейчас)</t>
  </si>
  <si>
    <t xml:space="preserve">Вероятность, что завод расширят</t>
  </si>
  <si>
    <t xml:space="preserve">вероятность</t>
  </si>
  <si>
    <t xml:space="preserve">Вероятность, что завод продадут</t>
  </si>
  <si>
    <t xml:space="preserve">Спрос по годам — от 10-го до 90-го процентиля</t>
  </si>
  <si>
    <t xml:space="preserve">3   Как читать результаты</t>
  </si>
  <si>
    <t xml:space="preserve">•  В бизнес-кейсе спрос растет равномерно и большой завод загружается: его NPV далеко впереди. Но спрос неопределенен, и дополнительная мощность большого завода окупается, только если спрос растет. В среднем по возможным сценариям его NPV гораздо ниже, а вероятность потерять деньги высока.</t>
  </si>
  <si>
    <t xml:space="preserve">•  Малый старт оставляет решение открытым. Если через два года спрос силен, компания расширяется; если рухнул — продает завод. Опционы превращают часть потерь в выигрыш: у поэтапной стратегии самое высокое среднее NPV.</t>
  </si>
  <si>
    <t xml:space="preserve">•  Ценность ожидания не бесплатна: расширение позже в сумме стоит дороже, чем сразу построить большой завод, а два года сильного спроса теряются из-за малой мощности. Моделирование взвешивает эти затраты против защиты.</t>
  </si>
  <si>
    <t xml:space="preserve">•  Правила решения важны. Расширение при слишком низком спросе или слишком легкая продажа уничтожают ценность опционов: попробуйте другие уровни на листе «Исходные данные» и запустите моделирование снова. Веерная диаграмма показывает оба уровня на фоне разброса спроса.</t>
  </si>
  <si>
    <t xml:space="preserve">•  В бизнес-кейсе спрос во 2-м году — около 106 тыс. единиц: между двумя уровнями, поэтому завод работает дальше и ни один опцион не используется. Опционы существуют только потому, что спрос неопределенен, поэтому бизнес-кейс и не видит их ценности.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</si>
  <si>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</si>
  <si>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</si>
  <si>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</si>
  <si>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</si>
  <si>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NPV_A</t>
  </si>
  <si>
    <t>NPV_B</t>
  </si>
  <si>
    <t>NPV_C</t>
  </si>
  <si>
    <t xml:space="preserve">Период</t>
  </si>
  <si>
    <t xml:space="preserve">10-й процентиль</t>
  </si>
  <si>
    <t xml:space="preserve">Медиана</t>
  </si>
  <si>
    <t xml:space="preserve">90-й процентиль</t>
  </si>
  <si>
    <t xml:space="preserve">Расширять от</t>
  </si>
  <si>
    <t xml:space="preserve">Продавать до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</si>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</sst>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&quot;–&quot;_)"/>
    <numFmt numFmtId="165" formatCode="0.0%"/>
    <numFmt numFmtId="166" formatCode="#,##0.0_);\(#,##0.0\);&quot;–&quot;_)"/>
    <numFmt numFmtId="167" formatCode="0.000"/>
    <numFmt numFmtId="168" formatCode="#,##0.0_);\(#,##0.0\);&quot;–&quot;_);&quot;–&quot;"/>
    <numFmt numFmtId="169" formatCode="0.0%;\-0.0%;0.0%;&quot;–&quot;"/>
  </numFmts>
  <fonts count="26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sz val="8"/>
      <color rgb="FF55585F"/>
      <name val="Calibri"/>
    </font>
    <font>
      <b/>
      <sz val="10"/>
      <color rgb="FF15803D"/>
      <name val="Calibri"/>
    </font>
    <font>
      <b/>
      <sz val="13"/>
      <color rgb="FF1F2328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3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0" fillId="7" borderId="0" xfId="0" applyFont="1" applyFill="1" applyAlignment="1">
      <alignment horizontal="right" vertical="center"/>
    </xf>
    <xf numFmtId="1" fontId="19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0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6" fontId="12" fillId="0" borderId="8" xfId="3" applyNumberFormat="1" applyFont="1" applyBorder="1">
      <alignment horizontal="right" vertical="center"/>
    </xf>
    <xf numFmtId="0" fontId="3" fillId="0" borderId="8" xfId="3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0" fillId="7" borderId="2" xfId="0" applyFill="1" applyBorder="1"/>
    <xf numFmtId="0" fontId="17" fillId="7" borderId="2" xfId="0" applyFont="1" applyFill="1" applyBorder="1" applyAlignment="1">
      <alignment horizontal="right" vertical="center"/>
    </xf>
    <xf numFmtId="0" fontId="21" fillId="7" borderId="4" xfId="0" applyFont="1" applyFill="1" applyBorder="1" applyAlignment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5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68" fontId="23" fillId="5" borderId="7" xfId="5" applyNumberFormat="1" applyFon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24" fillId="0" borderId="0" xfId="0" applyFont="1" applyAlignment="1">
      <alignment horizontal="left" vertical="center" indent="1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Строить большой сейчас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'Результаты'!$D$55:$D$104</c:f>
              <c:numCache>
                <c:formatCode>#,##0.00</c:formatCode>
                <c:ptCount val="50"/>
                <c:pt idx="0">
                  <c:v>-92.088817181684902</c:v>
                </c:pt>
                <c:pt idx="1">
                  <c:v>-78.669986731865947</c:v>
                </c:pt>
                <c:pt idx="2">
                  <c:v>-70.4515916651537</c:v>
                </c:pt>
                <c:pt idx="3">
                  <c:v>-63.462754776496141</c:v>
                </c:pt>
                <c:pt idx="4">
                  <c:v>-58.121346841195255</c:v>
                </c:pt>
                <c:pt idx="5">
                  <c:v>-52.785234549702849</c:v>
                </c:pt>
                <c:pt idx="6">
                  <c:v>-47.903772677857141</c:v>
                </c:pt>
                <c:pt idx="7">
                  <c:v>-43.439415355330084</c:v>
                </c:pt>
                <c:pt idx="8">
                  <c:v>-39.181188886973345</c:v>
                </c:pt>
                <c:pt idx="9">
                  <c:v>-35.002228711059068</c:v>
                </c:pt>
                <c:pt idx="10">
                  <c:v>-30.741723900462176</c:v>
                </c:pt>
                <c:pt idx="11">
                  <c:v>-26.892036970695891</c:v>
                </c:pt>
                <c:pt idx="12">
                  <c:v>-22.289546413868514</c:v>
                </c:pt>
                <c:pt idx="13">
                  <c:v>-18.504310314654912</c:v>
                </c:pt>
                <c:pt idx="14">
                  <c:v>-14.504564542429927</c:v>
                </c:pt>
                <c:pt idx="15">
                  <c:v>-10.664143695448377</c:v>
                </c:pt>
                <c:pt idx="16">
                  <c:v>-6.8763486320506679</c:v>
                </c:pt>
                <c:pt idx="17">
                  <c:v>-2.6509814418700079</c:v>
                </c:pt>
                <c:pt idx="18">
                  <c:v>1.3798662457967339</c:v>
                </c:pt>
                <c:pt idx="19">
                  <c:v>5.0729858108314776</c:v>
                </c:pt>
                <c:pt idx="20">
                  <c:v>8.9502729519556787</c:v>
                </c:pt>
                <c:pt idx="21">
                  <c:v>12.290840532172867</c:v>
                </c:pt>
                <c:pt idx="22">
                  <c:v>15.62620281155959</c:v>
                </c:pt>
                <c:pt idx="23">
                  <c:v>19.379825454023035</c:v>
                </c:pt>
                <c:pt idx="24">
                  <c:v>22.812527784103722</c:v>
                </c:pt>
                <c:pt idx="25">
                  <c:v>26.226321088447161</c:v>
                </c:pt>
                <c:pt idx="26">
                  <c:v>29.154392375766758</c:v>
                </c:pt>
                <c:pt idx="27">
                  <c:v>32.371797790100118</c:v>
                </c:pt>
                <c:pt idx="28">
                  <c:v>35.480375669486975</c:v>
                </c:pt>
                <c:pt idx="29">
                  <c:v>38.526025413231388</c:v>
                </c:pt>
                <c:pt idx="30">
                  <c:v>41.655079592384539</c:v>
                </c:pt>
                <c:pt idx="31">
                  <c:v>44.824787978720103</c:v>
                </c:pt>
                <c:pt idx="32">
                  <c:v>47.762211642238555</c:v>
                </c:pt>
                <c:pt idx="33">
                  <c:v>50.652639392160509</c:v>
                </c:pt>
                <c:pt idx="34">
                  <c:v>53.17023693379992</c:v>
                </c:pt>
                <c:pt idx="35">
                  <c:v>55.639663018740464</c:v>
                </c:pt>
                <c:pt idx="36">
                  <c:v>58.053337440827129</c:v>
                </c:pt>
                <c:pt idx="37">
                  <c:v>60.470584528100041</c:v>
                </c:pt>
                <c:pt idx="38">
                  <c:v>62.851918057844458</c:v>
                </c:pt>
                <c:pt idx="39">
                  <c:v>64.759105633537729</c:v>
                </c:pt>
                <c:pt idx="40">
                  <c:v>66.88870891074265</c:v>
                </c:pt>
                <c:pt idx="41">
                  <c:v>68.804596558327702</c:v>
                </c:pt>
                <c:pt idx="42">
                  <c:v>70.507548539790378</c:v>
                </c:pt>
                <c:pt idx="43">
                  <c:v>72.070298881914056</c:v>
                </c:pt>
                <c:pt idx="44">
                  <c:v>73.544287582849648</c:v>
                </c:pt>
                <c:pt idx="45">
                  <c:v>75.084588909839766</c:v>
                </c:pt>
                <c:pt idx="46">
                  <c:v>76.577384088394211</c:v>
                </c:pt>
                <c:pt idx="47">
                  <c:v>76.859100230134203</c:v>
                </c:pt>
                <c:pt idx="48">
                  <c:v>76.859100230134203</c:v>
                </c:pt>
                <c:pt idx="49">
                  <c:v>76.859100230134203</c:v>
                </c:pt>
              </c:numCache>
            </c:numRef>
          </c:xVal>
          <c:yVal>
            <c:numRef>
              <c:f>'Результаты'!$B$55:$B$104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9E0-446D-8E62-FF155793FE63}"/>
            </c:ext>
          </c:extLst>
        </c:ser>
        <c:ser>
          <c:idx val="1"/>
          <c:order val="1"/>
          <c:tx>
            <c:v>Малый завод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'Результаты'!$E$55:$E$104</c:f>
              <c:numCache>
                <c:formatCode>#,##0.00</c:formatCode>
                <c:ptCount val="50"/>
                <c:pt idx="0">
                  <c:v>-27.354594577856826</c:v>
                </c:pt>
                <c:pt idx="1">
                  <c:v>-17.65342780580497</c:v>
                </c:pt>
                <c:pt idx="2">
                  <c:v>-10.849071864860125</c:v>
                </c:pt>
                <c:pt idx="3">
                  <c:v>-5.4033630529692029</c:v>
                </c:pt>
                <c:pt idx="4">
                  <c:v>-1.7582609136776952</c:v>
                </c:pt>
                <c:pt idx="5">
                  <c:v>1.7190852373869592</c:v>
                </c:pt>
                <c:pt idx="6">
                  <c:v>4.9485468046019427</c:v>
                </c:pt>
                <c:pt idx="7">
                  <c:v>7.3952612647415421</c:v>
                </c:pt>
                <c:pt idx="8">
                  <c:v>9.6989158308947019</c:v>
                </c:pt>
                <c:pt idx="9">
                  <c:v>12.056815550137904</c:v>
                </c:pt>
                <c:pt idx="10">
                  <c:v>14.045232337216554</c:v>
                </c:pt>
                <c:pt idx="11">
                  <c:v>15.661690504890196</c:v>
                </c:pt>
                <c:pt idx="12">
                  <c:v>17.37164718428593</c:v>
                </c:pt>
                <c:pt idx="13">
                  <c:v>18.777384781831859</c:v>
                </c:pt>
                <c:pt idx="14">
                  <c:v>20.211004014896488</c:v>
                </c:pt>
                <c:pt idx="15">
                  <c:v>21.389523964487072</c:v>
                </c:pt>
                <c:pt idx="16">
                  <c:v>22.449313636231178</c:v>
                </c:pt>
                <c:pt idx="17">
                  <c:v>23.416332612467901</c:v>
                </c:pt>
                <c:pt idx="18">
                  <c:v>24.411763220067989</c:v>
                </c:pt>
                <c:pt idx="19">
                  <c:v>25.235690856020032</c:v>
                </c:pt>
                <c:pt idx="20">
                  <c:v>25.842188117745238</c:v>
                </c:pt>
                <c:pt idx="21">
                  <c:v>26.395478445372394</c:v>
                </c:pt>
                <c:pt idx="22">
                  <c:v>26.904219422005788</c:v>
                </c:pt>
                <c:pt idx="23">
                  <c:v>27.350340973259453</c:v>
                </c:pt>
                <c:pt idx="24">
                  <c:v>27.761692013589276</c:v>
                </c:pt>
                <c:pt idx="25">
                  <c:v>28.143823576495652</c:v>
                </c:pt>
                <c:pt idx="26">
                  <c:v>28.429550115067105</c:v>
                </c:pt>
                <c:pt idx="27">
                  <c:v>28.429550115067105</c:v>
                </c:pt>
                <c:pt idx="28">
                  <c:v>28.429550115067105</c:v>
                </c:pt>
                <c:pt idx="29">
                  <c:v>28.429550115067105</c:v>
                </c:pt>
                <c:pt idx="30">
                  <c:v>28.429550115067105</c:v>
                </c:pt>
                <c:pt idx="31">
                  <c:v>28.429550115067105</c:v>
                </c:pt>
                <c:pt idx="32">
                  <c:v>28.429550115067105</c:v>
                </c:pt>
                <c:pt idx="33">
                  <c:v>28.429550115067105</c:v>
                </c:pt>
                <c:pt idx="34">
                  <c:v>28.429550115067105</c:v>
                </c:pt>
                <c:pt idx="35">
                  <c:v>28.429550115067105</c:v>
                </c:pt>
                <c:pt idx="36">
                  <c:v>28.429550115067105</c:v>
                </c:pt>
                <c:pt idx="37">
                  <c:v>28.429550115067105</c:v>
                </c:pt>
                <c:pt idx="38">
                  <c:v>28.429550115067105</c:v>
                </c:pt>
                <c:pt idx="39">
                  <c:v>28.429550115067105</c:v>
                </c:pt>
                <c:pt idx="40">
                  <c:v>28.429550115067105</c:v>
                </c:pt>
                <c:pt idx="41">
                  <c:v>28.429550115067105</c:v>
                </c:pt>
                <c:pt idx="42">
                  <c:v>28.429550115067105</c:v>
                </c:pt>
                <c:pt idx="43">
                  <c:v>28.429550115067105</c:v>
                </c:pt>
                <c:pt idx="44">
                  <c:v>28.429550115067105</c:v>
                </c:pt>
                <c:pt idx="45">
                  <c:v>28.429550115067105</c:v>
                </c:pt>
                <c:pt idx="46">
                  <c:v>28.429550115067105</c:v>
                </c:pt>
                <c:pt idx="47">
                  <c:v>28.429550115067105</c:v>
                </c:pt>
                <c:pt idx="48">
                  <c:v>28.429550115067105</c:v>
                </c:pt>
                <c:pt idx="49">
                  <c:v>28.429550115067105</c:v>
                </c:pt>
              </c:numCache>
            </c:numRef>
          </c:xVal>
          <c:yVal>
            <c:numRef>
              <c:f>'Результаты'!$B$55:$B$104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9E0-446D-8E62-FF155793FE63}"/>
            </c:ext>
          </c:extLst>
        </c:ser>
        <c:ser>
          <c:idx val="2"/>
          <c:order val="2"/>
          <c:tx>
            <c:v>Строить малый, решить позже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'Результаты'!$F$55:$F$104</c:f>
              <c:numCache>
                <c:formatCode>#,##0.00</c:formatCode>
                <c:ptCount val="50"/>
                <c:pt idx="0">
                  <c:v>-32.292910856078606</c:v>
                </c:pt>
                <c:pt idx="1">
                  <c:v>-20.573675717933796</c:v>
                </c:pt>
                <c:pt idx="2">
                  <c:v>-14.731308851208468</c:v>
                </c:pt>
                <c:pt idx="3">
                  <c:v>-10.714372580113807</c:v>
                </c:pt>
                <c:pt idx="4">
                  <c:v>-7.8797282530184845</c:v>
                </c:pt>
                <c:pt idx="5">
                  <c:v>-4.0381302291621033</c:v>
                </c:pt>
                <c:pt idx="6">
                  <c:v>-0.60923067525668451</c:v>
                </c:pt>
                <c:pt idx="7">
                  <c:v>2.3775214940108649</c:v>
                </c:pt>
                <c:pt idx="8">
                  <c:v>5.4065219113495848</c:v>
                </c:pt>
                <c:pt idx="9">
                  <c:v>7.6365788929278153</c:v>
                </c:pt>
                <c:pt idx="10">
                  <c:v>9.7720420883814789</c:v>
                </c:pt>
                <c:pt idx="11">
                  <c:v>12.103512176020352</c:v>
                </c:pt>
                <c:pt idx="12">
                  <c:v>13.969273319874244</c:v>
                </c:pt>
                <c:pt idx="13">
                  <c:v>15.622839970044112</c:v>
                </c:pt>
                <c:pt idx="14">
                  <c:v>17.307990481810002</c:v>
                </c:pt>
                <c:pt idx="15">
                  <c:v>18.798476909263467</c:v>
                </c:pt>
                <c:pt idx="16">
                  <c:v>20.27070200140508</c:v>
                </c:pt>
                <c:pt idx="17">
                  <c:v>21.498234087168566</c:v>
                </c:pt>
                <c:pt idx="18">
                  <c:v>22.637024039346276</c:v>
                </c:pt>
                <c:pt idx="19">
                  <c:v>23.757501223057236</c:v>
                </c:pt>
                <c:pt idx="20">
                  <c:v>24.771702107277054</c:v>
                </c:pt>
                <c:pt idx="21">
                  <c:v>25.569774728355849</c:v>
                </c:pt>
                <c:pt idx="22">
                  <c:v>26.227644294467304</c:v>
                </c:pt>
                <c:pt idx="23">
                  <c:v>26.829738326987236</c:v>
                </c:pt>
                <c:pt idx="24">
                  <c:v>27.396220383873267</c:v>
                </c:pt>
                <c:pt idx="25">
                  <c:v>27.908181254975521</c:v>
                </c:pt>
                <c:pt idx="26">
                  <c:v>28.378484631759072</c:v>
                </c:pt>
                <c:pt idx="27">
                  <c:v>28.429550115067105</c:v>
                </c:pt>
                <c:pt idx="28">
                  <c:v>28.429550115067105</c:v>
                </c:pt>
                <c:pt idx="29">
                  <c:v>28.429550115067105</c:v>
                </c:pt>
                <c:pt idx="30">
                  <c:v>28.429550115067105</c:v>
                </c:pt>
                <c:pt idx="31">
                  <c:v>28.429550115067105</c:v>
                </c:pt>
                <c:pt idx="32">
                  <c:v>28.429550115067105</c:v>
                </c:pt>
                <c:pt idx="33">
                  <c:v>28.429550115067105</c:v>
                </c:pt>
                <c:pt idx="34">
                  <c:v>28.429550115067105</c:v>
                </c:pt>
                <c:pt idx="35">
                  <c:v>28.429550115067105</c:v>
                </c:pt>
                <c:pt idx="36">
                  <c:v>28.429550115067105</c:v>
                </c:pt>
                <c:pt idx="37">
                  <c:v>28.429550115067105</c:v>
                </c:pt>
                <c:pt idx="38">
                  <c:v>32.283606031006116</c:v>
                </c:pt>
                <c:pt idx="39">
                  <c:v>39.826047425254295</c:v>
                </c:pt>
                <c:pt idx="40">
                  <c:v>45.634438534706149</c:v>
                </c:pt>
                <c:pt idx="41">
                  <c:v>50.535542048238796</c:v>
                </c:pt>
                <c:pt idx="42">
                  <c:v>53.580028587746526</c:v>
                </c:pt>
                <c:pt idx="43">
                  <c:v>56.033350360496335</c:v>
                </c:pt>
                <c:pt idx="44">
                  <c:v>58.103315610639193</c:v>
                </c:pt>
                <c:pt idx="45">
                  <c:v>58.103315610639193</c:v>
                </c:pt>
                <c:pt idx="46">
                  <c:v>58.103315610639193</c:v>
                </c:pt>
                <c:pt idx="47">
                  <c:v>58.103315610639193</c:v>
                </c:pt>
                <c:pt idx="48">
                  <c:v>58.103315610639193</c:v>
                </c:pt>
                <c:pt idx="49">
                  <c:v>58.103315610639193</c:v>
                </c:pt>
              </c:numCache>
            </c:numRef>
          </c:xVal>
          <c:yVal>
            <c:numRef>
              <c:f>'Результаты'!$B$55:$B$104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9E0-446D-8E62-FF155793F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NPV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'Результаты'!$B$107:$B$116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'Результаты'!$E$107:$E$116</c:f>
              <c:numCache>
                <c:formatCode>#,##0.00</c:formatCode>
                <c:ptCount val="10"/>
                <c:pt idx="0">
                  <c:v>144.64945109948076</c:v>
                </c:pt>
                <c:pt idx="1">
                  <c:v>167.97402577857309</c:v>
                </c:pt>
                <c:pt idx="2">
                  <c:v>188.47664597066742</c:v>
                </c:pt>
                <c:pt idx="3">
                  <c:v>204.05343604122538</c:v>
                </c:pt>
                <c:pt idx="4">
                  <c:v>219.09044575263295</c:v>
                </c:pt>
                <c:pt idx="5">
                  <c:v>232.54170401229115</c:v>
                </c:pt>
                <c:pt idx="6">
                  <c:v>244.05543285482463</c:v>
                </c:pt>
                <c:pt idx="7">
                  <c:v>257.94704701213197</c:v>
                </c:pt>
                <c:pt idx="8">
                  <c:v>274.37705990786509</c:v>
                </c:pt>
                <c:pt idx="9">
                  <c:v>291.9615316013502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C8-4447-BA7C-08066AFBF4A2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'Результаты'!$B$107:$B$116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'Результаты'!$D$107:$D$116</c:f>
              <c:numCache>
                <c:formatCode>#,##0.00</c:formatCode>
                <c:ptCount val="10"/>
                <c:pt idx="0">
                  <c:v>98.081885718678791</c:v>
                </c:pt>
                <c:pt idx="1">
                  <c:v>96.917779179091426</c:v>
                </c:pt>
                <c:pt idx="2">
                  <c:v>95.558978234768105</c:v>
                </c:pt>
                <c:pt idx="3">
                  <c:v>94.621343961708263</c:v>
                </c:pt>
                <c:pt idx="4">
                  <c:v>93.677590998580158</c:v>
                </c:pt>
                <c:pt idx="5">
                  <c:v>92.329572427772803</c:v>
                </c:pt>
                <c:pt idx="6">
                  <c:v>90.064690219460701</c:v>
                </c:pt>
                <c:pt idx="7">
                  <c:v>88.790164030634898</c:v>
                </c:pt>
                <c:pt idx="8">
                  <c:v>87.270258347229671</c:v>
                </c:pt>
                <c:pt idx="9">
                  <c:v>87.561468572755388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C8-4447-BA7C-08066AFBF4A2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'Результаты'!$B$107:$B$116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'Результаты'!$F$107:$F$116</c:f>
              <c:numCache>
                <c:formatCode>#,##0.00</c:formatCode>
                <c:ptCount val="10"/>
                <c:pt idx="0">
                  <c:v>102.9130080606286</c:v>
                </c:pt>
                <c:pt idx="1">
                  <c:v>106.70853514576251</c:v>
                </c:pt>
                <c:pt idx="2">
                  <c:v>110.32819911880657</c:v>
                </c:pt>
                <c:pt idx="3">
                  <c:v>113.06480710826887</c:v>
                </c:pt>
                <c:pt idx="4">
                  <c:v>116.95319944280781</c:v>
                </c:pt>
                <c:pt idx="5">
                  <c:v>119.49283129143686</c:v>
                </c:pt>
                <c:pt idx="6">
                  <c:v>122.55947552837296</c:v>
                </c:pt>
                <c:pt idx="7">
                  <c:v>125.32455935701283</c:v>
                </c:pt>
                <c:pt idx="8">
                  <c:v>129.00242955134914</c:v>
                </c:pt>
                <c:pt idx="9">
                  <c:v>133.39599437692036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C8-4447-BA7C-08066AFBF4A2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'Результаты'!$B$107:$B$116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'Результаты'!$C$107:$C$116</c:f>
              <c:numCache>
                <c:formatCode>#,##0.00</c:formatCode>
                <c:ptCount val="10"/>
                <c:pt idx="0">
                  <c:v>67.062442042855508</c:v>
                </c:pt>
                <c:pt idx="1">
                  <c:v>56.686718465416277</c:v>
                </c:pt>
                <c:pt idx="2">
                  <c:v>49.133618885970854</c:v>
                </c:pt>
                <c:pt idx="3">
                  <c:v>43.625187346625516</c:v>
                </c:pt>
                <c:pt idx="4">
                  <c:v>38.882204586347264</c:v>
                </c:pt>
                <c:pt idx="5">
                  <c:v>35.360653018016315</c:v>
                </c:pt>
                <c:pt idx="6">
                  <c:v>32.75975980002012</c:v>
                </c:pt>
                <c:pt idx="7">
                  <c:v>30.225853672909146</c:v>
                </c:pt>
                <c:pt idx="8">
                  <c:v>27.98289905591648</c:v>
                </c:pt>
                <c:pt idx="9">
                  <c:v>25.680404567840043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C8-4447-BA7C-08066AFBF4A2}"/>
            </c:ext>
          </c:extLst>
        </c:ser>
        <c:ser>
          <c:idx val="4"/>
          <c:order val="4"/>
          <c:tx>
            <c:v>Расширять от</c:v>
          </c:tx>
          <c:spPr>
            <a:ln w="22225">
              <a:solidFill>
                <a:srgbClr val="15803D"/>
              </a:solidFill>
              <a:prstDash val="solid"/>
            </a:ln>
          </c:spPr>
          <c:marker>
            <c:symbol val="none"/>
          </c:marker>
          <c:cat>
            <c:numRef>
              <c:f>'Результаты'!$B$107:$B$116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'Результаты'!$G$107:$G$116</c:f>
              <c:numCache>
                <c:formatCode>#,##0.00</c:formatCode>
                <c:ptCount val="10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C8-4447-BA7C-08066AFBF4A2}"/>
            </c:ext>
          </c:extLst>
        </c:ser>
        <c:ser>
          <c:idx val="5"/>
          <c:order val="5"/>
          <c:tx>
            <c:v>Продавать до</c:v>
          </c:tx>
          <c:spPr>
            <a:ln w="22225">
              <a:solidFill>
                <a:srgbClr val="15803D"/>
              </a:solidFill>
              <a:prstDash val="sysDash"/>
            </a:ln>
          </c:spPr>
          <c:marker>
            <c:symbol val="none"/>
          </c:marker>
          <c:cat>
            <c:numRef>
              <c:f>'Результаты'!$B$107:$B$116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'Результаты'!$H$107:$H$116</c:f>
              <c:numCache>
                <c:formatCode>#,##0.00</c:formatCode>
                <c:ptCount val="10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C8-4447-BA7C-08066AFBF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единиц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28</xdr:row>
      <xdr:rowOff>0</xdr:rowOff>
    </xdr:from>
    <xdr:ext cx="6263999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1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70" t="s">
        <v>20</v>
      </c>
      <c r="C16" s="69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59</v>
      </c>
      <c r="C57" s="10" t="s">
        <v>66</v>
      </c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x14ac:dyDescent="0.45">
      <c r="B60" s="9" t="s">
        <v>71</v>
      </c>
      <c r="C60" s="10" t="s">
        <v>72</v>
      </c>
    </row>
    <row r="61" spans="2:3" ht="12" customHeight="1" x14ac:dyDescent="0.45"/>
    <row r="62" spans="2:3" ht="22.05" customHeight="1" x14ac:dyDescent="0.5">
      <c r="B62" s="7" t="s">
        <v>73</v>
      </c>
      <c r="C62" s="8"/>
    </row>
    <row r="63" spans="2:3" x14ac:dyDescent="0.45">
      <c r="B63" s="20" t="s">
        <v>74</v>
      </c>
      <c r="C63" s="10" t="s">
        <v>75</v>
      </c>
    </row>
    <row r="64" spans="2:3" x14ac:dyDescent="0.45">
      <c r="B64" s="20" t="s">
        <v>76</v>
      </c>
      <c r="C64" s="10" t="s">
        <v>77</v>
      </c>
    </row>
    <row r="65" spans="2:3" ht="39.4" x14ac:dyDescent="0.45">
      <c r="B65" s="20" t="s">
        <v>78</v>
      </c>
      <c r="C65" s="10" t="s">
        <v>79</v>
      </c>
    </row>
    <row r="66" spans="2:3" ht="12" customHeight="1" x14ac:dyDescent="0.45"/>
    <row r="67" spans="2:3" ht="22.05" customHeight="1" x14ac:dyDescent="0.5">
      <c r="B67" s="7" t="s">
        <v>80</v>
      </c>
      <c r="C67" s="8"/>
    </row>
    <row r="68" spans="2:3" x14ac:dyDescent="0.45">
      <c r="B68" s="9" t="s">
        <v>81</v>
      </c>
      <c r="C68" s="10" t="s">
        <v>82</v>
      </c>
    </row>
    <row r="69" spans="2:3" x14ac:dyDescent="0.45">
      <c r="B69" s="9" t="s">
        <v>83</v>
      </c>
      <c r="C69" s="10" t="s">
        <v>84</v>
      </c>
    </row>
    <row r="70" spans="2:3" ht="16.05" customHeight="1" x14ac:dyDescent="0.45"/>
    <row r="71" spans="2:3" x14ac:dyDescent="0.45">
      <c r="B71" s="68" t="s">
        <v>85</v>
      </c>
      <c r="C71" s="69"/>
    </row>
  </sheetData>
  <mergeCells count="2">
    <mergeCell ref="B71:C71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Стратегии'!A1" display="Стратегии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8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86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87</v>
      </c>
      <c r="C4" s="5"/>
      <c r="D4" s="5"/>
      <c r="E4" s="5"/>
      <c r="F4" s="5"/>
      <c r="G4" s="5"/>
      <c r="H4" s="5"/>
      <c r="I4" s="5"/>
      <c r="J4" s="6" t="s">
        <v>88</v>
      </c>
    </row>
    <row r="5" spans="1:10" ht="8" customHeight="1" x14ac:dyDescent="0.45"/>
    <row r="6" spans="1:10" ht="20" customHeight="1" x14ac:dyDescent="0.45">
      <c r="B6" s="71" t="s">
        <v>89</v>
      </c>
      <c r="C6" s="69"/>
      <c r="D6" s="69"/>
      <c r="E6" s="69"/>
      <c r="F6" s="69"/>
      <c r="G6" s="69"/>
      <c r="H6" s="69"/>
      <c r="I6" s="69"/>
      <c r="J6" s="69"/>
    </row>
    <row r="7" spans="1:10" ht="6" customHeight="1" x14ac:dyDescent="0.45"/>
    <row r="8" spans="1:10" ht="22.05" customHeight="1" x14ac:dyDescent="0.5">
      <c r="B8" s="7" t="s">
        <v>90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91</v>
      </c>
    </row>
    <row r="10" spans="1:10" ht="18" customHeight="1" x14ac:dyDescent="0.45">
      <c r="B10" s="23" t="s">
        <v>92</v>
      </c>
      <c r="C10" s="23" t="s">
        <v>93</v>
      </c>
      <c r="D10" s="24" t="s">
        <v>94</v>
      </c>
      <c r="E10" s="23" t="s">
        <v>95</v>
      </c>
      <c r="F10" s="5"/>
      <c r="G10" s="5"/>
      <c r="H10" s="5"/>
      <c r="I10" s="5"/>
      <c r="J10" s="23" t="s">
        <v>96</v>
      </c>
    </row>
    <row r="11" spans="1:10" x14ac:dyDescent="0.45">
      <c r="B11" s="25" t="s">
        <v>97</v>
      </c>
      <c r="C11" s="26" t="s">
        <v>98</v>
      </c>
      <c r="D11" s="27">
        <v>100</v>
      </c>
      <c r="E11" s="26" t="s">
        <v>99</v>
      </c>
      <c r="F11" s="28"/>
      <c r="G11" s="28"/>
      <c r="H11" s="28"/>
      <c r="I11" s="28"/>
      <c r="J11" s="29" t="s">
        <v>100</v>
      </c>
    </row>
    <row r="12" spans="1:10" x14ac:dyDescent="0.45">
      <c r="B12" s="25" t="s">
        <v>101</v>
      </c>
      <c r="C12" s="26" t="s">
        <v>102</v>
      </c>
      <c r="D12" s="30">
        <v>0.03</v>
      </c>
      <c r="E12" s="26" t="s">
        <v>99</v>
      </c>
      <c r="F12" s="28"/>
      <c r="G12" s="28"/>
      <c r="H12" s="28"/>
      <c r="I12" s="28"/>
      <c r="J12" s="29"/>
    </row>
    <row r="13" spans="1:10" x14ac:dyDescent="0.45">
      <c r="B13" s="25" t="s">
        <v>103</v>
      </c>
      <c r="C13" s="26" t="s">
        <v>102</v>
      </c>
      <c r="D13" s="31">
        <v>0.3</v>
      </c>
      <c r="E13" s="26" t="s">
        <v>99</v>
      </c>
      <c r="F13" s="28"/>
      <c r="G13" s="28"/>
      <c r="H13" s="28"/>
      <c r="I13" s="28"/>
      <c r="J13" s="29" t="s">
        <v>104</v>
      </c>
    </row>
    <row r="14" spans="1:10" x14ac:dyDescent="0.45">
      <c r="B14" s="25" t="s">
        <v>105</v>
      </c>
      <c r="C14" s="26" t="s">
        <v>106</v>
      </c>
      <c r="D14" s="27">
        <v>300</v>
      </c>
      <c r="E14" s="26" t="s">
        <v>99</v>
      </c>
      <c r="F14" s="28"/>
      <c r="G14" s="28"/>
      <c r="H14" s="28"/>
      <c r="I14" s="28"/>
      <c r="J14" s="29" t="s">
        <v>107</v>
      </c>
    </row>
    <row r="15" spans="1:10" ht="8" customHeight="1" x14ac:dyDescent="0.45"/>
    <row r="16" spans="1:10" ht="22.05" customHeight="1" x14ac:dyDescent="0.5">
      <c r="B16" s="7" t="s">
        <v>108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109</v>
      </c>
    </row>
    <row r="18" spans="2:10" ht="18" customHeight="1" x14ac:dyDescent="0.45">
      <c r="B18" s="23" t="s">
        <v>92</v>
      </c>
      <c r="C18" s="23" t="s">
        <v>93</v>
      </c>
      <c r="D18" s="24" t="s">
        <v>94</v>
      </c>
      <c r="E18" s="23" t="s">
        <v>95</v>
      </c>
      <c r="F18" s="5"/>
      <c r="G18" s="5"/>
      <c r="H18" s="5"/>
      <c r="I18" s="5"/>
      <c r="J18" s="23" t="s">
        <v>96</v>
      </c>
    </row>
    <row r="19" spans="2:10" x14ac:dyDescent="0.45">
      <c r="B19" s="25" t="s">
        <v>110</v>
      </c>
      <c r="C19" s="26" t="s">
        <v>98</v>
      </c>
      <c r="D19" s="27">
        <v>120</v>
      </c>
      <c r="E19" s="26" t="s">
        <v>99</v>
      </c>
      <c r="F19" s="28"/>
      <c r="G19" s="28"/>
      <c r="H19" s="28"/>
      <c r="I19" s="28"/>
      <c r="J19" s="29"/>
    </row>
    <row r="20" spans="2:10" x14ac:dyDescent="0.45">
      <c r="B20" s="25" t="s">
        <v>111</v>
      </c>
      <c r="C20" s="26" t="s">
        <v>112</v>
      </c>
      <c r="D20" s="27">
        <v>90</v>
      </c>
      <c r="E20" s="26" t="s">
        <v>99</v>
      </c>
      <c r="F20" s="28"/>
      <c r="G20" s="28"/>
      <c r="H20" s="28"/>
      <c r="I20" s="28"/>
      <c r="J20" s="29"/>
    </row>
    <row r="21" spans="2:10" x14ac:dyDescent="0.45">
      <c r="B21" s="25" t="s">
        <v>113</v>
      </c>
      <c r="C21" s="26" t="s">
        <v>114</v>
      </c>
      <c r="D21" s="32">
        <v>10</v>
      </c>
      <c r="E21" s="26" t="s">
        <v>99</v>
      </c>
      <c r="F21" s="28"/>
      <c r="G21" s="28"/>
      <c r="H21" s="28"/>
      <c r="I21" s="28"/>
      <c r="J21" s="29"/>
    </row>
    <row r="22" spans="2:10" x14ac:dyDescent="0.45">
      <c r="B22" s="25" t="s">
        <v>115</v>
      </c>
      <c r="C22" s="26" t="s">
        <v>98</v>
      </c>
      <c r="D22" s="27">
        <v>60</v>
      </c>
      <c r="E22" s="26" t="s">
        <v>99</v>
      </c>
      <c r="F22" s="28"/>
      <c r="G22" s="28"/>
      <c r="H22" s="28"/>
      <c r="I22" s="28"/>
      <c r="J22" s="29"/>
    </row>
    <row r="23" spans="2:10" x14ac:dyDescent="0.45">
      <c r="B23" s="25" t="s">
        <v>116</v>
      </c>
      <c r="C23" s="26" t="s">
        <v>112</v>
      </c>
      <c r="D23" s="27">
        <v>55</v>
      </c>
      <c r="E23" s="26" t="s">
        <v>99</v>
      </c>
      <c r="F23" s="28"/>
      <c r="G23" s="28"/>
      <c r="H23" s="28"/>
      <c r="I23" s="28"/>
      <c r="J23" s="29"/>
    </row>
    <row r="24" spans="2:10" x14ac:dyDescent="0.45">
      <c r="B24" s="25" t="s">
        <v>117</v>
      </c>
      <c r="C24" s="26" t="s">
        <v>114</v>
      </c>
      <c r="D24" s="32">
        <v>5</v>
      </c>
      <c r="E24" s="26" t="s">
        <v>99</v>
      </c>
      <c r="F24" s="28"/>
      <c r="G24" s="28"/>
      <c r="H24" s="28"/>
      <c r="I24" s="28"/>
      <c r="J24" s="29"/>
    </row>
    <row r="25" spans="2:10" x14ac:dyDescent="0.45">
      <c r="B25" s="25" t="s">
        <v>118</v>
      </c>
      <c r="C25" s="26" t="s">
        <v>112</v>
      </c>
      <c r="D25" s="27">
        <v>40</v>
      </c>
      <c r="E25" s="26" t="s">
        <v>99</v>
      </c>
      <c r="F25" s="28"/>
      <c r="G25" s="28"/>
      <c r="H25" s="28"/>
      <c r="I25" s="28"/>
      <c r="J25" s="29" t="s">
        <v>119</v>
      </c>
    </row>
    <row r="26" spans="2:10" x14ac:dyDescent="0.45">
      <c r="B26" s="25" t="s">
        <v>120</v>
      </c>
      <c r="C26" s="26" t="s">
        <v>112</v>
      </c>
      <c r="D26" s="27">
        <v>35</v>
      </c>
      <c r="E26" s="26" t="s">
        <v>99</v>
      </c>
      <c r="F26" s="28"/>
      <c r="G26" s="28"/>
      <c r="H26" s="28"/>
      <c r="I26" s="28"/>
      <c r="J26" s="29" t="s">
        <v>121</v>
      </c>
    </row>
    <row r="27" spans="2:10" ht="8" customHeight="1" x14ac:dyDescent="0.45"/>
    <row r="28" spans="2:10" ht="22.05" customHeight="1" x14ac:dyDescent="0.5">
      <c r="B28" s="7" t="s">
        <v>122</v>
      </c>
      <c r="C28" s="8"/>
      <c r="D28" s="8"/>
      <c r="E28" s="8"/>
      <c r="F28" s="8"/>
      <c r="G28" s="8"/>
      <c r="H28" s="8"/>
      <c r="I28" s="8"/>
      <c r="J28" s="8"/>
    </row>
    <row r="29" spans="2:10" ht="18" customHeight="1" x14ac:dyDescent="0.45">
      <c r="B29" s="13" t="s">
        <v>123</v>
      </c>
    </row>
    <row r="30" spans="2:10" ht="18" customHeight="1" x14ac:dyDescent="0.45">
      <c r="B30" s="23" t="s">
        <v>92</v>
      </c>
      <c r="C30" s="23" t="s">
        <v>93</v>
      </c>
      <c r="D30" s="24" t="s">
        <v>94</v>
      </c>
      <c r="E30" s="23" t="s">
        <v>95</v>
      </c>
      <c r="F30" s="5"/>
      <c r="G30" s="5"/>
      <c r="H30" s="5"/>
      <c r="I30" s="5"/>
      <c r="J30" s="23" t="s">
        <v>96</v>
      </c>
    </row>
    <row r="31" spans="2:10" x14ac:dyDescent="0.45">
      <c r="B31" s="25" t="s">
        <v>124</v>
      </c>
      <c r="C31" s="26" t="s">
        <v>125</v>
      </c>
      <c r="D31" s="33">
        <v>2</v>
      </c>
      <c r="E31" s="26" t="s">
        <v>99</v>
      </c>
      <c r="F31" s="28"/>
      <c r="G31" s="28"/>
      <c r="H31" s="28"/>
      <c r="I31" s="28"/>
      <c r="J31" s="29" t="s">
        <v>126</v>
      </c>
    </row>
    <row r="32" spans="2:10" x14ac:dyDescent="0.45">
      <c r="B32" s="25" t="s">
        <v>127</v>
      </c>
      <c r="C32" s="26" t="s">
        <v>128</v>
      </c>
      <c r="D32" s="27">
        <v>120</v>
      </c>
      <c r="E32" s="26" t="s">
        <v>99</v>
      </c>
      <c r="F32" s="28"/>
      <c r="G32" s="28"/>
      <c r="H32" s="28"/>
      <c r="I32" s="28"/>
      <c r="J32" s="29"/>
    </row>
    <row r="33" spans="2:10" x14ac:dyDescent="0.45">
      <c r="B33" s="25" t="s">
        <v>129</v>
      </c>
      <c r="C33" s="26" t="s">
        <v>128</v>
      </c>
      <c r="D33" s="27">
        <v>40</v>
      </c>
      <c r="E33" s="26" t="s">
        <v>99</v>
      </c>
      <c r="F33" s="28"/>
      <c r="G33" s="28"/>
      <c r="H33" s="28"/>
      <c r="I33" s="28"/>
      <c r="J33" s="29"/>
    </row>
    <row r="34" spans="2:10" ht="8" customHeight="1" x14ac:dyDescent="0.45"/>
    <row r="35" spans="2:10" ht="22.05" customHeight="1" x14ac:dyDescent="0.5">
      <c r="B35" s="7" t="s">
        <v>130</v>
      </c>
      <c r="C35" s="8"/>
      <c r="D35" s="8"/>
      <c r="E35" s="8"/>
      <c r="F35" s="8"/>
      <c r="G35" s="8"/>
      <c r="H35" s="8"/>
      <c r="I35" s="8"/>
      <c r="J35" s="8"/>
    </row>
    <row r="36" spans="2:10" ht="18" customHeight="1" x14ac:dyDescent="0.45">
      <c r="B36" s="23" t="s">
        <v>92</v>
      </c>
      <c r="C36" s="23" t="s">
        <v>93</v>
      </c>
      <c r="D36" s="24" t="s">
        <v>94</v>
      </c>
      <c r="E36" s="23" t="s">
        <v>95</v>
      </c>
      <c r="F36" s="5"/>
      <c r="G36" s="5"/>
      <c r="H36" s="5"/>
      <c r="I36" s="5"/>
      <c r="J36" s="23" t="s">
        <v>96</v>
      </c>
    </row>
    <row r="37" spans="2:10" x14ac:dyDescent="0.45">
      <c r="B37" s="25" t="s">
        <v>131</v>
      </c>
      <c r="C37" s="26" t="s">
        <v>102</v>
      </c>
      <c r="D37" s="30">
        <v>0.09</v>
      </c>
      <c r="E37" s="26" t="s">
        <v>99</v>
      </c>
      <c r="F37" s="28"/>
      <c r="G37" s="28"/>
      <c r="H37" s="28"/>
      <c r="I37" s="28"/>
      <c r="J37" s="29" t="s">
        <v>132</v>
      </c>
    </row>
    <row r="38" spans="2:10" ht="8" customHeight="1" x14ac:dyDescent="0.45"/>
  </sheetData>
  <mergeCells count="1">
    <mergeCell ref="B6:J6"/>
  </mergeCells>
  <dataValidations count="4">
    <dataValidation type="decimal" operator="greaterThan" showErrorMessage="1" errorTitle="Положительное значение" error="Введите значение больше нуля." sqref="D11 D22 D19 D13:D14" xr:uid="{00000000-0002-0000-0100-000000000000}">
      <formula1>0</formula1>
    </dataValidation>
    <dataValidation type="decimal" showErrorMessage="1" errorTitle="Значение" error="Введите значение не меньше нуля." sqref="D32:D33 D23:D26 D20:D21" xr:uid="{00000000-0002-0000-0100-000004000000}">
      <formula1>0</formula1>
      <formula2>1000000000000</formula2>
    </dataValidation>
    <dataValidation type="whole" showErrorMessage="1" errorTitle="Целое число" error="Введите целое число от 1 до 9." sqref="D31" xr:uid="{00000000-0002-0000-0100-00000B000000}">
      <formula1>1</formula1>
      <formula2>9</formula2>
    </dataValidation>
    <dataValidation type="decimal" showErrorMessage="1" errorTitle="Вероятность" error="Введите значение от 0% до 100%." sqref="D37" xr:uid="{00000000-0002-0000-0100-00000E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Стратегии'!A1" display="Далее:  Стратеги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P83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1" customWidth="1"/>
    <col min="4" max="4" width="10" customWidth="1"/>
    <col min="5" max="5" width="3" customWidth="1"/>
    <col min="6" max="16" width="8.3984375" customWidth="1"/>
  </cols>
  <sheetData>
    <row r="1" spans="1:16" ht="6" customHeight="1" x14ac:dyDescent="0.45"/>
    <row r="2" spans="1:16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 t="s">
        <v>1</v>
      </c>
    </row>
    <row r="3" spans="1:16" ht="20" customHeight="1" x14ac:dyDescent="0.45">
      <c r="A3" s="1"/>
      <c r="B3" s="4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" customHeight="1" x14ac:dyDescent="0.45">
      <c r="A4" s="5"/>
      <c r="B4" s="22" t="s">
        <v>134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 t="s">
        <v>135</v>
      </c>
    </row>
    <row r="5" spans="1:16" ht="8" customHeight="1" x14ac:dyDescent="0.45"/>
    <row r="6" spans="1:16" ht="16.05" customHeight="1" x14ac:dyDescent="0.45">
      <c r="B6" s="34" t="s">
        <v>136</v>
      </c>
      <c r="C6" s="35"/>
      <c r="D6" s="36" t="s">
        <v>137</v>
      </c>
      <c r="E6" s="37"/>
      <c r="F6" s="38">
        <v>0</v>
      </c>
      <c r="G6" s="38">
        <f t="shared" ref="G6:P6" si="0">F6+1</f>
        <v>1</v>
      </c>
      <c r="H6" s="38">
        <f t="shared" si="0"/>
        <v>2</v>
      </c>
      <c r="I6" s="38">
        <f t="shared" si="0"/>
        <v>3</v>
      </c>
      <c r="J6" s="38">
        <f t="shared" si="0"/>
        <v>4</v>
      </c>
      <c r="K6" s="38">
        <f t="shared" si="0"/>
        <v>5</v>
      </c>
      <c r="L6" s="38">
        <f t="shared" si="0"/>
        <v>6</v>
      </c>
      <c r="M6" s="38">
        <f t="shared" si="0"/>
        <v>7</v>
      </c>
      <c r="N6" s="38">
        <f t="shared" si="0"/>
        <v>8</v>
      </c>
      <c r="O6" s="38">
        <f t="shared" si="0"/>
        <v>9</v>
      </c>
      <c r="P6" s="38">
        <f t="shared" si="0"/>
        <v>10</v>
      </c>
    </row>
    <row r="7" spans="1:16" ht="16.05" customHeight="1" x14ac:dyDescent="0.4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6" customHeight="1" x14ac:dyDescent="0.45"/>
    <row r="9" spans="1:16" ht="22.05" customHeight="1" x14ac:dyDescent="0.5">
      <c r="B9" s="7" t="s">
        <v>138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ht="18" customHeight="1" x14ac:dyDescent="0.45">
      <c r="B10" s="39" t="s">
        <v>139</v>
      </c>
      <c r="C10" s="39" t="s">
        <v>93</v>
      </c>
      <c r="D10" s="40" t="s">
        <v>140</v>
      </c>
      <c r="E10" s="5"/>
      <c r="F10" s="39" t="s">
        <v>141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45">
      <c r="B11" s="25" t="s">
        <v>142</v>
      </c>
      <c r="C11" s="26" t="s">
        <v>102</v>
      </c>
      <c r="D11" s="41">
        <f>LN(1+Growth)-0.5*Vol^2</f>
        <v>-1.5441197758455569E-2</v>
      </c>
      <c r="E11" s="28"/>
      <c r="F11" s="26" t="s">
        <v>143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x14ac:dyDescent="0.45">
      <c r="B12" s="25" t="s">
        <v>144</v>
      </c>
      <c r="C12" s="26" t="s">
        <v>112</v>
      </c>
      <c r="D12" s="42">
        <f>Contrib/1000</f>
        <v>0.3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8" customHeight="1" x14ac:dyDescent="0.45"/>
    <row r="14" spans="1:16" ht="22.05" customHeight="1" x14ac:dyDescent="0.5">
      <c r="B14" s="7" t="s">
        <v>145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18" customHeight="1" x14ac:dyDescent="0.45">
      <c r="B15" s="13" t="s">
        <v>146</v>
      </c>
    </row>
    <row r="16" spans="1:16" x14ac:dyDescent="0.45">
      <c r="B16" s="25" t="s">
        <v>59</v>
      </c>
      <c r="C16" s="26" t="s">
        <v>128</v>
      </c>
      <c r="D16" s="28"/>
      <c r="E16" s="28"/>
      <c r="F16" s="43">
        <f>D0</f>
        <v>100</v>
      </c>
      <c r="G16" s="44">
        <f t="array" aca="1" ref="G16:P16" ca="1">_xll.VoseTimeGBM(Mu,Vol,D0)</f>
        <v>69.296592376675036</v>
      </c>
      <c r="H16" s="44">
        <f ca="1"/>
        <v>59.131438553056363</v>
      </c>
      <c r="I16" s="44">
        <f ca="1"/>
        <v>60.059031933768253</v>
      </c>
      <c r="J16" s="44">
        <f ca="1"/>
        <v>24.636534906807587</v>
      </c>
      <c r="K16" s="44">
        <f ca="1"/>
        <v>15.42230284399287</v>
      </c>
      <c r="L16" s="44">
        <f ca="1"/>
        <v>17.397975684590826</v>
      </c>
      <c r="M16" s="44">
        <f ca="1"/>
        <v>13.406684751635721</v>
      </c>
      <c r="N16" s="44">
        <f ca="1"/>
        <v>18.142780947164717</v>
      </c>
      <c r="O16" s="44">
        <f ca="1"/>
        <v>18.054290971891522</v>
      </c>
      <c r="P16" s="44">
        <f ca="1"/>
        <v>23.182915324844824</v>
      </c>
    </row>
    <row r="17" spans="2:16" x14ac:dyDescent="0.45">
      <c r="B17" s="25" t="s">
        <v>147</v>
      </c>
      <c r="C17" s="26" t="s">
        <v>128</v>
      </c>
      <c r="D17" s="28"/>
      <c r="E17" s="28"/>
      <c r="F17" s="45"/>
      <c r="G17" s="45" cm="1">
        <f t="array" aca="1" ref="G17" ca="1">_xll.VoseOutput("Спрос, год 1","тыс. единиц")+G16</f>
        <v>69.296592376675036</v>
      </c>
      <c r="H17" s="45" cm="1">
        <f t="array" aca="1" ref="H17" ca="1">_xll.VoseOutput("Спрос, год 2","тыс. единиц")+H16</f>
        <v>59.131438553056363</v>
      </c>
      <c r="I17" s="45" cm="1">
        <f t="array" aca="1" ref="I17" ca="1">_xll.VoseOutput("Спрос, год 3","тыс. единиц")+I16</f>
        <v>60.059031933768253</v>
      </c>
      <c r="J17" s="45" cm="1">
        <f t="array" aca="1" ref="J17" ca="1">_xll.VoseOutput("Спрос, год 4","тыс. единиц")+J16</f>
        <v>24.636534906807587</v>
      </c>
      <c r="K17" s="45" cm="1">
        <f t="array" aca="1" ref="K17" ca="1">_xll.VoseOutput("Спрос, год 5","тыс. единиц")+K16</f>
        <v>15.42230284399287</v>
      </c>
      <c r="L17" s="45" cm="1">
        <f t="array" aca="1" ref="L17" ca="1">_xll.VoseOutput("Спрос, год 6","тыс. единиц")+L16</f>
        <v>17.397975684590826</v>
      </c>
      <c r="M17" s="45" cm="1">
        <f t="array" aca="1" ref="M17" ca="1">_xll.VoseOutput("Спрос, год 7","тыс. единиц")+M16</f>
        <v>13.406684751635721</v>
      </c>
      <c r="N17" s="45" cm="1">
        <f t="array" aca="1" ref="N17" ca="1">_xll.VoseOutput("Спрос, год 8","тыс. единиц")+N16</f>
        <v>18.142780947164717</v>
      </c>
      <c r="O17" s="45" cm="1">
        <f t="array" aca="1" ref="O17" ca="1">_xll.VoseOutput("Спрос, год 9","тыс. единиц")+O16</f>
        <v>18.054290971891522</v>
      </c>
      <c r="P17" s="45" cm="1">
        <f t="array" aca="1" ref="P17" ca="1">_xll.VoseOutput("Спрос, год 10","тыс. единиц")+P16</f>
        <v>23.182915324844824</v>
      </c>
    </row>
    <row r="18" spans="2:16" x14ac:dyDescent="0.45">
      <c r="B18" s="25" t="s">
        <v>148</v>
      </c>
      <c r="C18" s="26" t="s">
        <v>128</v>
      </c>
      <c r="D18" s="28"/>
      <c r="E18" s="28"/>
      <c r="F18" s="43">
        <f>D0</f>
        <v>100</v>
      </c>
      <c r="G18" s="43">
        <f t="shared" ref="G18:P18" si="1">D0*(1+Growth)^G$6</f>
        <v>103</v>
      </c>
      <c r="H18" s="43">
        <f t="shared" si="1"/>
        <v>106.08999999999999</v>
      </c>
      <c r="I18" s="43">
        <f t="shared" si="1"/>
        <v>109.2727</v>
      </c>
      <c r="J18" s="43">
        <f t="shared" si="1"/>
        <v>112.55088099999999</v>
      </c>
      <c r="K18" s="43">
        <f t="shared" si="1"/>
        <v>115.92740742999999</v>
      </c>
      <c r="L18" s="43">
        <f t="shared" si="1"/>
        <v>119.40522965289999</v>
      </c>
      <c r="M18" s="43">
        <f t="shared" si="1"/>
        <v>122.987386542487</v>
      </c>
      <c r="N18" s="43">
        <f t="shared" si="1"/>
        <v>126.67700813876159</v>
      </c>
      <c r="O18" s="43">
        <f t="shared" si="1"/>
        <v>130.47731838292444</v>
      </c>
      <c r="P18" s="43">
        <f t="shared" si="1"/>
        <v>134.39163793441219</v>
      </c>
    </row>
    <row r="19" spans="2:16" x14ac:dyDescent="0.45">
      <c r="B19" s="25" t="s">
        <v>149</v>
      </c>
      <c r="C19" s="26"/>
      <c r="D19" s="28"/>
      <c r="E19" s="28"/>
      <c r="F19" s="42">
        <f>1</f>
        <v>1</v>
      </c>
      <c r="G19" s="42">
        <f t="shared" ref="G19:P19" si="2">1/(1+DiscRate)^G$6</f>
        <v>0.9174311926605504</v>
      </c>
      <c r="H19" s="42">
        <f t="shared" si="2"/>
        <v>0.84167999326655996</v>
      </c>
      <c r="I19" s="42">
        <f t="shared" si="2"/>
        <v>0.77218348006106419</v>
      </c>
      <c r="J19" s="42">
        <f t="shared" si="2"/>
        <v>0.7084252110651964</v>
      </c>
      <c r="K19" s="42">
        <f t="shared" si="2"/>
        <v>0.64993138629834524</v>
      </c>
      <c r="L19" s="42">
        <f t="shared" si="2"/>
        <v>0.5962673268792158</v>
      </c>
      <c r="M19" s="42">
        <f t="shared" si="2"/>
        <v>0.54703424484331731</v>
      </c>
      <c r="N19" s="42">
        <f t="shared" si="2"/>
        <v>0.50186627967276809</v>
      </c>
      <c r="O19" s="42">
        <f t="shared" si="2"/>
        <v>0.46042777951630098</v>
      </c>
      <c r="P19" s="42">
        <f t="shared" si="2"/>
        <v>0.42241080689568894</v>
      </c>
    </row>
    <row r="20" spans="2:16" ht="8" customHeight="1" x14ac:dyDescent="0.45"/>
    <row r="21" spans="2:16" ht="22.05" customHeight="1" x14ac:dyDescent="0.5">
      <c r="B21" s="7" t="s">
        <v>150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2:16" x14ac:dyDescent="0.45">
      <c r="B22" s="25" t="s">
        <v>151</v>
      </c>
      <c r="C22" s="26" t="s">
        <v>128</v>
      </c>
      <c r="D22" s="28"/>
      <c r="E22" s="28"/>
      <c r="F22" s="46"/>
      <c r="G22" s="46">
        <f t="shared" ref="G22:P22" si="3">BigCap</f>
        <v>120</v>
      </c>
      <c r="H22" s="46">
        <f t="shared" si="3"/>
        <v>120</v>
      </c>
      <c r="I22" s="46">
        <f t="shared" si="3"/>
        <v>120</v>
      </c>
      <c r="J22" s="46">
        <f t="shared" si="3"/>
        <v>120</v>
      </c>
      <c r="K22" s="46">
        <f t="shared" si="3"/>
        <v>120</v>
      </c>
      <c r="L22" s="46">
        <f t="shared" si="3"/>
        <v>120</v>
      </c>
      <c r="M22" s="46">
        <f t="shared" si="3"/>
        <v>120</v>
      </c>
      <c r="N22" s="46">
        <f t="shared" si="3"/>
        <v>120</v>
      </c>
      <c r="O22" s="46">
        <f t="shared" si="3"/>
        <v>120</v>
      </c>
      <c r="P22" s="46">
        <f t="shared" si="3"/>
        <v>120</v>
      </c>
    </row>
    <row r="23" spans="2:16" x14ac:dyDescent="0.45">
      <c r="B23" s="47" t="s">
        <v>152</v>
      </c>
      <c r="C23" s="26" t="s">
        <v>112</v>
      </c>
      <c r="D23" s="48">
        <f ca="1">SUM(F23:P23)</f>
        <v>-94.380835511671705</v>
      </c>
      <c r="E23" s="28"/>
      <c r="F23" s="48">
        <f>-BigCapex</f>
        <v>-90</v>
      </c>
      <c r="G23" s="48">
        <f t="shared" ref="G23:P23" ca="1" si="4">Margin*MIN(G16,G22)-BigFixed</f>
        <v>10.78897771300251</v>
      </c>
      <c r="H23" s="48">
        <f t="shared" ca="1" si="4"/>
        <v>7.7394315659169095</v>
      </c>
      <c r="I23" s="48">
        <f t="shared" ca="1" si="4"/>
        <v>8.0177095801304752</v>
      </c>
      <c r="J23" s="48">
        <f t="shared" ca="1" si="4"/>
        <v>-2.6090395279577248</v>
      </c>
      <c r="K23" s="48">
        <f t="shared" ca="1" si="4"/>
        <v>-5.3733091468021392</v>
      </c>
      <c r="L23" s="48">
        <f t="shared" ca="1" si="4"/>
        <v>-4.7806072946227527</v>
      </c>
      <c r="M23" s="48">
        <f t="shared" ca="1" si="4"/>
        <v>-5.9779945745092835</v>
      </c>
      <c r="N23" s="48">
        <f t="shared" ca="1" si="4"/>
        <v>-4.5571657158505854</v>
      </c>
      <c r="O23" s="48">
        <f t="shared" ca="1" si="4"/>
        <v>-4.583712708432544</v>
      </c>
      <c r="P23" s="48">
        <f t="shared" ca="1" si="4"/>
        <v>-3.0451254025465531</v>
      </c>
    </row>
    <row r="24" spans="2:16" x14ac:dyDescent="0.45">
      <c r="B24" s="25" t="s">
        <v>153</v>
      </c>
      <c r="C24" s="26" t="s">
        <v>112</v>
      </c>
      <c r="D24" s="48">
        <f>SUM(F24:P24)</f>
        <v>153.87386542486999</v>
      </c>
      <c r="E24" s="28"/>
      <c r="F24" s="43">
        <f>-BigCapex</f>
        <v>-90</v>
      </c>
      <c r="G24" s="43">
        <f t="shared" ref="G24:P24" si="5">Margin*MIN(G18,BigCap)-BigFixed</f>
        <v>20.9</v>
      </c>
      <c r="H24" s="43">
        <f t="shared" si="5"/>
        <v>21.826999999999995</v>
      </c>
      <c r="I24" s="43">
        <f t="shared" si="5"/>
        <v>22.78181</v>
      </c>
      <c r="J24" s="43">
        <f t="shared" si="5"/>
        <v>23.765264299999998</v>
      </c>
      <c r="K24" s="43">
        <f t="shared" si="5"/>
        <v>24.778222228999994</v>
      </c>
      <c r="L24" s="43">
        <f t="shared" si="5"/>
        <v>25.821568895869994</v>
      </c>
      <c r="M24" s="43">
        <f t="shared" si="5"/>
        <v>26</v>
      </c>
      <c r="N24" s="43">
        <f t="shared" si="5"/>
        <v>26</v>
      </c>
      <c r="O24" s="43">
        <f t="shared" si="5"/>
        <v>26</v>
      </c>
      <c r="P24" s="43">
        <f t="shared" si="5"/>
        <v>26</v>
      </c>
    </row>
    <row r="25" spans="2:16" ht="8" customHeight="1" x14ac:dyDescent="0.45"/>
    <row r="26" spans="2:16" ht="22.05" customHeight="1" x14ac:dyDescent="0.5">
      <c r="B26" s="7" t="s">
        <v>154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2:16" x14ac:dyDescent="0.45">
      <c r="B27" s="25" t="s">
        <v>151</v>
      </c>
      <c r="C27" s="26" t="s">
        <v>128</v>
      </c>
      <c r="D27" s="28"/>
      <c r="E27" s="28"/>
      <c r="F27" s="46"/>
      <c r="G27" s="46">
        <f t="shared" ref="G27:P27" si="6">SmallCap</f>
        <v>60</v>
      </c>
      <c r="H27" s="46">
        <f t="shared" si="6"/>
        <v>60</v>
      </c>
      <c r="I27" s="46">
        <f t="shared" si="6"/>
        <v>60</v>
      </c>
      <c r="J27" s="46">
        <f t="shared" si="6"/>
        <v>60</v>
      </c>
      <c r="K27" s="46">
        <f t="shared" si="6"/>
        <v>60</v>
      </c>
      <c r="L27" s="46">
        <f t="shared" si="6"/>
        <v>60</v>
      </c>
      <c r="M27" s="46">
        <f t="shared" si="6"/>
        <v>60</v>
      </c>
      <c r="N27" s="46">
        <f t="shared" si="6"/>
        <v>60</v>
      </c>
      <c r="O27" s="46">
        <f t="shared" si="6"/>
        <v>60</v>
      </c>
      <c r="P27" s="46">
        <f t="shared" si="6"/>
        <v>60</v>
      </c>
    </row>
    <row r="28" spans="2:16" x14ac:dyDescent="0.45">
      <c r="B28" s="47" t="s">
        <v>152</v>
      </c>
      <c r="C28" s="26" t="s">
        <v>112</v>
      </c>
      <c r="D28" s="48">
        <f ca="1">SUM(F28:P28)</f>
        <v>-12.187522804804672</v>
      </c>
      <c r="E28" s="28"/>
      <c r="F28" s="48">
        <f>-SmallCapex</f>
        <v>-55</v>
      </c>
      <c r="G28" s="48">
        <f t="shared" ref="G28:P28" ca="1" si="7">Margin*MIN(G16,G27)-SmallFixed</f>
        <v>13</v>
      </c>
      <c r="H28" s="48">
        <f t="shared" ca="1" si="7"/>
        <v>12.73943156591691</v>
      </c>
      <c r="I28" s="48">
        <f t="shared" ca="1" si="7"/>
        <v>13</v>
      </c>
      <c r="J28" s="48">
        <f t="shared" ca="1" si="7"/>
        <v>2.3909604720422752</v>
      </c>
      <c r="K28" s="48">
        <f t="shared" ca="1" si="7"/>
        <v>-0.37330914680213922</v>
      </c>
      <c r="L28" s="48">
        <f t="shared" ca="1" si="7"/>
        <v>0.21939270537724731</v>
      </c>
      <c r="M28" s="48">
        <f t="shared" ca="1" si="7"/>
        <v>-0.97799457450928351</v>
      </c>
      <c r="N28" s="48">
        <f t="shared" ca="1" si="7"/>
        <v>0.44283428414941461</v>
      </c>
      <c r="O28" s="48">
        <f t="shared" ca="1" si="7"/>
        <v>0.41628729156745603</v>
      </c>
      <c r="P28" s="48">
        <f t="shared" ca="1" si="7"/>
        <v>1.9548745974534469</v>
      </c>
    </row>
    <row r="29" spans="2:16" x14ac:dyDescent="0.45">
      <c r="B29" s="25" t="s">
        <v>153</v>
      </c>
      <c r="C29" s="26" t="s">
        <v>112</v>
      </c>
      <c r="D29" s="48">
        <f>SUM(F29:P29)</f>
        <v>75</v>
      </c>
      <c r="E29" s="28"/>
      <c r="F29" s="43">
        <f>-SmallCapex</f>
        <v>-55</v>
      </c>
      <c r="G29" s="43">
        <f t="shared" ref="G29:P29" si="8">Margin*MIN(G18,SmallCap)-SmallFixed</f>
        <v>13</v>
      </c>
      <c r="H29" s="43">
        <f t="shared" si="8"/>
        <v>13</v>
      </c>
      <c r="I29" s="43">
        <f t="shared" si="8"/>
        <v>13</v>
      </c>
      <c r="J29" s="43">
        <f t="shared" si="8"/>
        <v>13</v>
      </c>
      <c r="K29" s="43">
        <f t="shared" si="8"/>
        <v>13</v>
      </c>
      <c r="L29" s="43">
        <f t="shared" si="8"/>
        <v>13</v>
      </c>
      <c r="M29" s="43">
        <f t="shared" si="8"/>
        <v>13</v>
      </c>
      <c r="N29" s="43">
        <f t="shared" si="8"/>
        <v>13</v>
      </c>
      <c r="O29" s="43">
        <f t="shared" si="8"/>
        <v>13</v>
      </c>
      <c r="P29" s="43">
        <f t="shared" si="8"/>
        <v>13</v>
      </c>
    </row>
    <row r="30" spans="2:16" ht="8" customHeight="1" x14ac:dyDescent="0.45"/>
    <row r="31" spans="2:16" ht="22.05" customHeight="1" x14ac:dyDescent="0.5">
      <c r="B31" s="7" t="s">
        <v>155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2:16" ht="18" customHeight="1" x14ac:dyDescent="0.45">
      <c r="B32" s="13" t="s">
        <v>156</v>
      </c>
    </row>
    <row r="33" spans="2:16" ht="18" customHeight="1" x14ac:dyDescent="0.45">
      <c r="B33" s="39" t="s">
        <v>139</v>
      </c>
      <c r="C33" s="39" t="s">
        <v>93</v>
      </c>
      <c r="D33" s="40" t="s">
        <v>140</v>
      </c>
      <c r="E33" s="5"/>
      <c r="F33" s="39" t="s">
        <v>141</v>
      </c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2:16" x14ac:dyDescent="0.45">
      <c r="B34" s="25" t="s">
        <v>157</v>
      </c>
      <c r="C34" s="26" t="s">
        <v>128</v>
      </c>
      <c r="D34" s="43" cm="1">
        <f t="array" aca="1" ref="D34" ca="1">INDEX(F16:P16,DecideYear+1)</f>
        <v>59.131438553056363</v>
      </c>
      <c r="E34" s="28"/>
      <c r="F34" s="26" t="s">
        <v>158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2:16" x14ac:dyDescent="0.45">
      <c r="B35" s="25" t="s">
        <v>159</v>
      </c>
      <c r="C35" s="26"/>
      <c r="D35" s="49" t="str">
        <f ca="1">IF(DemDec&gt;=ExpandAt,"Расширить",IF(DemDec&lt;=AbandonAt,"Продать","Работать дальше"))</f>
        <v>Работать дальше</v>
      </c>
      <c r="E35" s="28"/>
      <c r="F35" s="26" t="s">
        <v>160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2:16" x14ac:dyDescent="0.45">
      <c r="B36" s="25" t="s">
        <v>161</v>
      </c>
      <c r="C36" s="26" t="s">
        <v>162</v>
      </c>
      <c r="D36" s="50" cm="1">
        <f t="array" aca="1" ref="D36" ca="1">_xll.VoseOutput("Расширен","1 = да")+IF(Decision="Расширить",1,0)</f>
        <v>0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2:16" x14ac:dyDescent="0.45">
      <c r="B37" s="25" t="s">
        <v>163</v>
      </c>
      <c r="C37" s="26" t="s">
        <v>162</v>
      </c>
      <c r="D37" s="50" cm="1">
        <f t="array" aca="1" ref="D37" ca="1">_xll.VoseOutput("Завод продан","1 = да")+IF(Decision="Продать",1,0)</f>
        <v>0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6" x14ac:dyDescent="0.45">
      <c r="B38" s="25" t="s">
        <v>164</v>
      </c>
      <c r="C38" s="26" t="s">
        <v>128</v>
      </c>
      <c r="D38" s="43" cm="1">
        <f t="array" ref="D38">INDEX(F18:P18,DecideYear+1)</f>
        <v>106.08999999999999</v>
      </c>
      <c r="E38" s="28"/>
      <c r="F38" s="26" t="s">
        <v>165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2:16" x14ac:dyDescent="0.45">
      <c r="B39" s="25" t="s">
        <v>166</v>
      </c>
      <c r="C39" s="26"/>
      <c r="D39" s="49" t="str">
        <f>IF(DemDecB&gt;=ExpandAt,"Расширить",IF(DemDecB&lt;=AbandonAt,"Продать","Работать дальше"))</f>
        <v>Работать дальше</v>
      </c>
      <c r="E39" s="28"/>
      <c r="F39" s="26" t="s">
        <v>167</v>
      </c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2:16" ht="6" customHeight="1" x14ac:dyDescent="0.45"/>
    <row r="41" spans="2:16" ht="18" customHeight="1" x14ac:dyDescent="0.45">
      <c r="B41" s="51" t="s">
        <v>168</v>
      </c>
      <c r="C41" s="52"/>
      <c r="D41" s="52"/>
      <c r="E41" s="52"/>
      <c r="F41" s="53" t="s">
        <v>151</v>
      </c>
      <c r="G41" s="53" t="s">
        <v>169</v>
      </c>
      <c r="H41" s="53" t="s">
        <v>170</v>
      </c>
      <c r="I41" s="53" t="s">
        <v>171</v>
      </c>
      <c r="J41" s="5"/>
      <c r="K41" s="5"/>
      <c r="L41" s="5"/>
      <c r="M41" s="5"/>
      <c r="N41" s="5"/>
      <c r="O41" s="5"/>
      <c r="P41" s="5"/>
    </row>
    <row r="42" spans="2:16" x14ac:dyDescent="0.45">
      <c r="B42" s="54"/>
      <c r="C42" s="54"/>
      <c r="D42" s="54"/>
      <c r="E42" s="54"/>
      <c r="F42" s="54" t="s">
        <v>172</v>
      </c>
      <c r="G42" s="54" t="s">
        <v>172</v>
      </c>
      <c r="H42" s="54" t="s">
        <v>173</v>
      </c>
      <c r="I42" s="54" t="s">
        <v>174</v>
      </c>
    </row>
    <row r="43" spans="2:16" x14ac:dyDescent="0.45">
      <c r="B43" s="25" t="s">
        <v>175</v>
      </c>
      <c r="C43" s="28"/>
      <c r="D43" s="28"/>
      <c r="E43" s="28"/>
      <c r="F43" s="46">
        <f>SmallCap</f>
        <v>60</v>
      </c>
      <c r="G43" s="43">
        <f>SmallFixed</f>
        <v>5</v>
      </c>
      <c r="H43" s="43">
        <v>0</v>
      </c>
      <c r="I43" s="43">
        <v>0</v>
      </c>
      <c r="J43" s="28"/>
      <c r="K43" s="28"/>
      <c r="L43" s="28"/>
      <c r="M43" s="28"/>
      <c r="N43" s="28"/>
      <c r="O43" s="28"/>
      <c r="P43" s="28"/>
    </row>
    <row r="44" spans="2:16" x14ac:dyDescent="0.45">
      <c r="B44" s="25" t="s">
        <v>176</v>
      </c>
      <c r="C44" s="28"/>
      <c r="D44" s="28"/>
      <c r="E44" s="28"/>
      <c r="F44" s="46">
        <f>BigCap</f>
        <v>120</v>
      </c>
      <c r="G44" s="43">
        <f>BigFixed</f>
        <v>10</v>
      </c>
      <c r="H44" s="43">
        <v>0</v>
      </c>
      <c r="I44" s="43">
        <f>ExpCapex</f>
        <v>40</v>
      </c>
      <c r="J44" s="28"/>
      <c r="K44" s="28"/>
      <c r="L44" s="28"/>
      <c r="M44" s="28"/>
      <c r="N44" s="28"/>
      <c r="O44" s="28"/>
      <c r="P44" s="28"/>
    </row>
    <row r="45" spans="2:16" x14ac:dyDescent="0.45">
      <c r="B45" s="25" t="s">
        <v>177</v>
      </c>
      <c r="C45" s="28"/>
      <c r="D45" s="28"/>
      <c r="E45" s="28"/>
      <c r="F45" s="46">
        <v>0</v>
      </c>
      <c r="G45" s="43">
        <v>0</v>
      </c>
      <c r="H45" s="43">
        <f>Salvage</f>
        <v>35</v>
      </c>
      <c r="I45" s="43">
        <v>0</v>
      </c>
      <c r="J45" s="28"/>
      <c r="K45" s="28"/>
      <c r="L45" s="28"/>
      <c r="M45" s="28"/>
      <c r="N45" s="28"/>
      <c r="O45" s="28"/>
      <c r="P45" s="28"/>
    </row>
    <row r="46" spans="2:16" ht="6" customHeight="1" x14ac:dyDescent="0.45"/>
    <row r="47" spans="2:16" ht="18" customHeight="1" x14ac:dyDescent="0.45">
      <c r="B47" s="39" t="s">
        <v>139</v>
      </c>
      <c r="C47" s="39" t="s">
        <v>93</v>
      </c>
      <c r="D47" s="40" t="s">
        <v>140</v>
      </c>
      <c r="E47" s="5"/>
      <c r="F47" s="39" t="s">
        <v>141</v>
      </c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2:16" x14ac:dyDescent="0.45">
      <c r="B48" s="25" t="s">
        <v>178</v>
      </c>
      <c r="C48" s="26" t="s">
        <v>128</v>
      </c>
      <c r="D48" s="46">
        <f ca="1">INDEX(DecCap,MATCH(Decision,DecNames,0))</f>
        <v>60</v>
      </c>
      <c r="E48" s="28"/>
      <c r="F48" s="26" t="s">
        <v>179</v>
      </c>
      <c r="G48" s="28"/>
      <c r="H48" s="28"/>
      <c r="I48" s="28"/>
      <c r="J48" s="28"/>
      <c r="K48" s="28"/>
      <c r="L48" s="28"/>
      <c r="M48" s="28"/>
      <c r="N48" s="28"/>
      <c r="O48" s="28"/>
      <c r="P48" s="28"/>
    </row>
    <row r="49" spans="2:16" x14ac:dyDescent="0.45">
      <c r="B49" s="25" t="s">
        <v>180</v>
      </c>
      <c r="C49" s="26" t="s">
        <v>112</v>
      </c>
      <c r="D49" s="43">
        <f ca="1">INDEX(DecFixed,MATCH(Decision,DecNames,0))</f>
        <v>5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2:16" x14ac:dyDescent="0.45">
      <c r="B50" s="25" t="s">
        <v>181</v>
      </c>
      <c r="C50" s="26" t="s">
        <v>112</v>
      </c>
      <c r="D50" s="43">
        <f ca="1">INDEX(DecCash,MATCH(Decision,DecNames,0))</f>
        <v>0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2:16" x14ac:dyDescent="0.45">
      <c r="B51" s="25" t="s">
        <v>182</v>
      </c>
      <c r="C51" s="26" t="s">
        <v>112</v>
      </c>
      <c r="D51" s="43">
        <f ca="1">INDEX(DecInvest,MATCH(Decision,DecNames,0))</f>
        <v>0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2:16" x14ac:dyDescent="0.45">
      <c r="B52" s="25" t="s">
        <v>183</v>
      </c>
      <c r="C52" s="26" t="s">
        <v>128</v>
      </c>
      <c r="D52" s="46">
        <f>INDEX(DecCap,MATCH(DecisionB,DecNames,0))</f>
        <v>60</v>
      </c>
      <c r="E52" s="28"/>
      <c r="F52" s="26" t="s">
        <v>179</v>
      </c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2:16" x14ac:dyDescent="0.45">
      <c r="B53" s="25" t="s">
        <v>184</v>
      </c>
      <c r="C53" s="26" t="s">
        <v>112</v>
      </c>
      <c r="D53" s="43">
        <f>INDEX(DecFixed,MATCH(DecisionB,DecNames,0))</f>
        <v>5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2:16" x14ac:dyDescent="0.45">
      <c r="B54" s="25" t="s">
        <v>185</v>
      </c>
      <c r="C54" s="26" t="s">
        <v>112</v>
      </c>
      <c r="D54" s="43">
        <f>INDEX(DecCash,MATCH(DecisionB,DecNames,0))</f>
        <v>0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2:16" x14ac:dyDescent="0.45">
      <c r="B55" s="25" t="s">
        <v>186</v>
      </c>
      <c r="C55" s="26" t="s">
        <v>112</v>
      </c>
      <c r="D55" s="43">
        <f>INDEX(DecInvest,MATCH(DecisionB,DecNames,0))</f>
        <v>0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2:16" ht="6" customHeight="1" x14ac:dyDescent="0.45"/>
    <row r="57" spans="2:16" x14ac:dyDescent="0.45">
      <c r="B57" s="25" t="s">
        <v>151</v>
      </c>
      <c r="C57" s="26" t="s">
        <v>128</v>
      </c>
      <c r="D57" s="28"/>
      <c r="E57" s="28"/>
      <c r="F57" s="46"/>
      <c r="G57" s="46">
        <f t="shared" ref="G57:P57" si="9">IF(G$6&lt;=DecideYear,SmallCap,CapAfter)</f>
        <v>60</v>
      </c>
      <c r="H57" s="46">
        <f t="shared" si="9"/>
        <v>60</v>
      </c>
      <c r="I57" s="46">
        <f t="shared" ca="1" si="9"/>
        <v>60</v>
      </c>
      <c r="J57" s="46">
        <f t="shared" ca="1" si="9"/>
        <v>60</v>
      </c>
      <c r="K57" s="46">
        <f t="shared" ca="1" si="9"/>
        <v>60</v>
      </c>
      <c r="L57" s="46">
        <f t="shared" ca="1" si="9"/>
        <v>60</v>
      </c>
      <c r="M57" s="46">
        <f t="shared" ca="1" si="9"/>
        <v>60</v>
      </c>
      <c r="N57" s="46">
        <f t="shared" ca="1" si="9"/>
        <v>60</v>
      </c>
      <c r="O57" s="46">
        <f t="shared" ca="1" si="9"/>
        <v>60</v>
      </c>
      <c r="P57" s="46">
        <f t="shared" ca="1" si="9"/>
        <v>60</v>
      </c>
    </row>
    <row r="58" spans="2:16" x14ac:dyDescent="0.45">
      <c r="B58" s="25" t="s">
        <v>169</v>
      </c>
      <c r="C58" s="26" t="s">
        <v>112</v>
      </c>
      <c r="D58" s="28"/>
      <c r="E58" s="28"/>
      <c r="F58" s="43"/>
      <c r="G58" s="43">
        <f t="shared" ref="G58:P58" si="10">IF(G$6&lt;=DecideYear,SmallFixed,FixAfter)</f>
        <v>5</v>
      </c>
      <c r="H58" s="43">
        <f t="shared" si="10"/>
        <v>5</v>
      </c>
      <c r="I58" s="43">
        <f t="shared" ca="1" si="10"/>
        <v>5</v>
      </c>
      <c r="J58" s="43">
        <f t="shared" ca="1" si="10"/>
        <v>5</v>
      </c>
      <c r="K58" s="43">
        <f t="shared" ca="1" si="10"/>
        <v>5</v>
      </c>
      <c r="L58" s="43">
        <f t="shared" ca="1" si="10"/>
        <v>5</v>
      </c>
      <c r="M58" s="43">
        <f t="shared" ca="1" si="10"/>
        <v>5</v>
      </c>
      <c r="N58" s="43">
        <f t="shared" ca="1" si="10"/>
        <v>5</v>
      </c>
      <c r="O58" s="43">
        <f t="shared" ca="1" si="10"/>
        <v>5</v>
      </c>
      <c r="P58" s="43">
        <f t="shared" ca="1" si="10"/>
        <v>5</v>
      </c>
    </row>
    <row r="59" spans="2:16" x14ac:dyDescent="0.45">
      <c r="B59" s="25" t="s">
        <v>187</v>
      </c>
      <c r="C59" s="26" t="s">
        <v>112</v>
      </c>
      <c r="D59" s="28"/>
      <c r="E59" s="28"/>
      <c r="F59" s="43"/>
      <c r="G59" s="43">
        <f t="shared" ref="G59:P59" si="11">IF(G$6=DecideYear,CashAt,0)</f>
        <v>0</v>
      </c>
      <c r="H59" s="43">
        <f t="shared" ca="1" si="11"/>
        <v>0</v>
      </c>
      <c r="I59" s="43">
        <f t="shared" si="11"/>
        <v>0</v>
      </c>
      <c r="J59" s="43">
        <f t="shared" si="11"/>
        <v>0</v>
      </c>
      <c r="K59" s="43">
        <f t="shared" si="11"/>
        <v>0</v>
      </c>
      <c r="L59" s="43">
        <f t="shared" si="11"/>
        <v>0</v>
      </c>
      <c r="M59" s="43">
        <f t="shared" si="11"/>
        <v>0</v>
      </c>
      <c r="N59" s="43">
        <f t="shared" si="11"/>
        <v>0</v>
      </c>
      <c r="O59" s="43">
        <f t="shared" si="11"/>
        <v>0</v>
      </c>
      <c r="P59" s="43">
        <f t="shared" si="11"/>
        <v>0</v>
      </c>
    </row>
    <row r="60" spans="2:16" x14ac:dyDescent="0.45">
      <c r="B60" s="25" t="s">
        <v>188</v>
      </c>
      <c r="C60" s="26" t="s">
        <v>112</v>
      </c>
      <c r="D60" s="28"/>
      <c r="E60" s="28"/>
      <c r="F60" s="43"/>
      <c r="G60" s="43">
        <f t="shared" ref="G60:P60" si="12">IF(G$6=DecideYear+1,-InvestAfter,0)</f>
        <v>0</v>
      </c>
      <c r="H60" s="43">
        <f t="shared" si="12"/>
        <v>0</v>
      </c>
      <c r="I60" s="43">
        <f t="shared" ca="1" si="12"/>
        <v>0</v>
      </c>
      <c r="J60" s="43">
        <f t="shared" si="12"/>
        <v>0</v>
      </c>
      <c r="K60" s="43">
        <f t="shared" si="12"/>
        <v>0</v>
      </c>
      <c r="L60" s="43">
        <f t="shared" si="12"/>
        <v>0</v>
      </c>
      <c r="M60" s="43">
        <f t="shared" si="12"/>
        <v>0</v>
      </c>
      <c r="N60" s="43">
        <f t="shared" si="12"/>
        <v>0</v>
      </c>
      <c r="O60" s="43">
        <f t="shared" si="12"/>
        <v>0</v>
      </c>
      <c r="P60" s="43">
        <f t="shared" si="12"/>
        <v>0</v>
      </c>
    </row>
    <row r="61" spans="2:16" x14ac:dyDescent="0.45">
      <c r="B61" s="47" t="s">
        <v>152</v>
      </c>
      <c r="C61" s="26" t="s">
        <v>112</v>
      </c>
      <c r="D61" s="48">
        <f ca="1">SUM(F61:P61)</f>
        <v>-12.187522804804672</v>
      </c>
      <c r="E61" s="28"/>
      <c r="F61" s="48">
        <f>-SmallCapex</f>
        <v>-55</v>
      </c>
      <c r="G61" s="48">
        <f t="shared" ref="G61:P61" ca="1" si="13">Margin*MIN(G16,G57)-G58+G59+G60</f>
        <v>13</v>
      </c>
      <c r="H61" s="48">
        <f t="shared" ca="1" si="13"/>
        <v>12.73943156591691</v>
      </c>
      <c r="I61" s="48">
        <f t="shared" ca="1" si="13"/>
        <v>13</v>
      </c>
      <c r="J61" s="48">
        <f t="shared" ca="1" si="13"/>
        <v>2.3909604720422752</v>
      </c>
      <c r="K61" s="48">
        <f t="shared" ca="1" si="13"/>
        <v>-0.37330914680213922</v>
      </c>
      <c r="L61" s="48">
        <f t="shared" ca="1" si="13"/>
        <v>0.21939270537724731</v>
      </c>
      <c r="M61" s="48">
        <f t="shared" ca="1" si="13"/>
        <v>-0.97799457450928351</v>
      </c>
      <c r="N61" s="48">
        <f t="shared" ca="1" si="13"/>
        <v>0.44283428414941461</v>
      </c>
      <c r="O61" s="48">
        <f t="shared" ca="1" si="13"/>
        <v>0.41628729156745603</v>
      </c>
      <c r="P61" s="48">
        <f t="shared" ca="1" si="13"/>
        <v>1.9548745974534469</v>
      </c>
    </row>
    <row r="62" spans="2:16" ht="6" customHeight="1" x14ac:dyDescent="0.45"/>
    <row r="63" spans="2:16" x14ac:dyDescent="0.45">
      <c r="B63" s="25" t="s">
        <v>189</v>
      </c>
      <c r="C63" s="26" t="s">
        <v>128</v>
      </c>
      <c r="D63" s="28"/>
      <c r="E63" s="28"/>
      <c r="F63" s="46"/>
      <c r="G63" s="46">
        <f t="shared" ref="G63:P63" si="14">IF(G$6&lt;=DecideYear,SmallCap,CapAfterB)</f>
        <v>60</v>
      </c>
      <c r="H63" s="46">
        <f t="shared" si="14"/>
        <v>60</v>
      </c>
      <c r="I63" s="46">
        <f t="shared" si="14"/>
        <v>60</v>
      </c>
      <c r="J63" s="46">
        <f t="shared" si="14"/>
        <v>60</v>
      </c>
      <c r="K63" s="46">
        <f t="shared" si="14"/>
        <v>60</v>
      </c>
      <c r="L63" s="46">
        <f t="shared" si="14"/>
        <v>60</v>
      </c>
      <c r="M63" s="46">
        <f t="shared" si="14"/>
        <v>60</v>
      </c>
      <c r="N63" s="46">
        <f t="shared" si="14"/>
        <v>60</v>
      </c>
      <c r="O63" s="46">
        <f t="shared" si="14"/>
        <v>60</v>
      </c>
      <c r="P63" s="46">
        <f t="shared" si="14"/>
        <v>60</v>
      </c>
    </row>
    <row r="64" spans="2:16" x14ac:dyDescent="0.45">
      <c r="B64" s="25" t="s">
        <v>190</v>
      </c>
      <c r="C64" s="26" t="s">
        <v>112</v>
      </c>
      <c r="D64" s="28"/>
      <c r="E64" s="28"/>
      <c r="F64" s="43"/>
      <c r="G64" s="43">
        <f t="shared" ref="G64:P64" si="15">IF(G$6&lt;=DecideYear,SmallFixed,FixAfterB)</f>
        <v>5</v>
      </c>
      <c r="H64" s="43">
        <f t="shared" si="15"/>
        <v>5</v>
      </c>
      <c r="I64" s="43">
        <f t="shared" si="15"/>
        <v>5</v>
      </c>
      <c r="J64" s="43">
        <f t="shared" si="15"/>
        <v>5</v>
      </c>
      <c r="K64" s="43">
        <f t="shared" si="15"/>
        <v>5</v>
      </c>
      <c r="L64" s="43">
        <f t="shared" si="15"/>
        <v>5</v>
      </c>
      <c r="M64" s="43">
        <f t="shared" si="15"/>
        <v>5</v>
      </c>
      <c r="N64" s="43">
        <f t="shared" si="15"/>
        <v>5</v>
      </c>
      <c r="O64" s="43">
        <f t="shared" si="15"/>
        <v>5</v>
      </c>
      <c r="P64" s="43">
        <f t="shared" si="15"/>
        <v>5</v>
      </c>
    </row>
    <row r="65" spans="2:16" x14ac:dyDescent="0.45">
      <c r="B65" s="25" t="s">
        <v>191</v>
      </c>
      <c r="C65" s="26" t="s">
        <v>112</v>
      </c>
      <c r="D65" s="28"/>
      <c r="E65" s="28"/>
      <c r="F65" s="43"/>
      <c r="G65" s="43">
        <f t="shared" ref="G65:P65" si="16">IF(G$6=DecideYear,CashAtB,0)</f>
        <v>0</v>
      </c>
      <c r="H65" s="43">
        <f t="shared" si="16"/>
        <v>0</v>
      </c>
      <c r="I65" s="43">
        <f t="shared" si="16"/>
        <v>0</v>
      </c>
      <c r="J65" s="43">
        <f t="shared" si="16"/>
        <v>0</v>
      </c>
      <c r="K65" s="43">
        <f t="shared" si="16"/>
        <v>0</v>
      </c>
      <c r="L65" s="43">
        <f t="shared" si="16"/>
        <v>0</v>
      </c>
      <c r="M65" s="43">
        <f t="shared" si="16"/>
        <v>0</v>
      </c>
      <c r="N65" s="43">
        <f t="shared" si="16"/>
        <v>0</v>
      </c>
      <c r="O65" s="43">
        <f t="shared" si="16"/>
        <v>0</v>
      </c>
      <c r="P65" s="43">
        <f t="shared" si="16"/>
        <v>0</v>
      </c>
    </row>
    <row r="66" spans="2:16" x14ac:dyDescent="0.45">
      <c r="B66" s="25" t="s">
        <v>192</v>
      </c>
      <c r="C66" s="26" t="s">
        <v>112</v>
      </c>
      <c r="D66" s="28"/>
      <c r="E66" s="28"/>
      <c r="F66" s="43"/>
      <c r="G66" s="43">
        <f t="shared" ref="G66:P66" si="17">IF(G$6=DecideYear+1,-InvestAfterB,0)</f>
        <v>0</v>
      </c>
      <c r="H66" s="43">
        <f t="shared" si="17"/>
        <v>0</v>
      </c>
      <c r="I66" s="43">
        <f t="shared" si="17"/>
        <v>0</v>
      </c>
      <c r="J66" s="43">
        <f t="shared" si="17"/>
        <v>0</v>
      </c>
      <c r="K66" s="43">
        <f t="shared" si="17"/>
        <v>0</v>
      </c>
      <c r="L66" s="43">
        <f t="shared" si="17"/>
        <v>0</v>
      </c>
      <c r="M66" s="43">
        <f t="shared" si="17"/>
        <v>0</v>
      </c>
      <c r="N66" s="43">
        <f t="shared" si="17"/>
        <v>0</v>
      </c>
      <c r="O66" s="43">
        <f t="shared" si="17"/>
        <v>0</v>
      </c>
      <c r="P66" s="43">
        <f t="shared" si="17"/>
        <v>0</v>
      </c>
    </row>
    <row r="67" spans="2:16" x14ac:dyDescent="0.45">
      <c r="B67" s="25" t="s">
        <v>193</v>
      </c>
      <c r="C67" s="26" t="s">
        <v>112</v>
      </c>
      <c r="D67" s="48">
        <f>SUM(F67:P67)</f>
        <v>75</v>
      </c>
      <c r="E67" s="28"/>
      <c r="F67" s="43">
        <f>-SmallCapex</f>
        <v>-55</v>
      </c>
      <c r="G67" s="43">
        <f t="shared" ref="G67:P67" si="18">Margin*MIN(G18,G63)-G64+G65+G66</f>
        <v>13</v>
      </c>
      <c r="H67" s="43">
        <f t="shared" si="18"/>
        <v>13</v>
      </c>
      <c r="I67" s="43">
        <f t="shared" si="18"/>
        <v>13</v>
      </c>
      <c r="J67" s="43">
        <f t="shared" si="18"/>
        <v>13</v>
      </c>
      <c r="K67" s="43">
        <f t="shared" si="18"/>
        <v>13</v>
      </c>
      <c r="L67" s="43">
        <f t="shared" si="18"/>
        <v>13</v>
      </c>
      <c r="M67" s="43">
        <f t="shared" si="18"/>
        <v>13</v>
      </c>
      <c r="N67" s="43">
        <f t="shared" si="18"/>
        <v>13</v>
      </c>
      <c r="O67" s="43">
        <f t="shared" si="18"/>
        <v>13</v>
      </c>
      <c r="P67" s="43">
        <f t="shared" si="18"/>
        <v>13</v>
      </c>
    </row>
    <row r="68" spans="2:16" ht="8" customHeight="1" x14ac:dyDescent="0.45"/>
    <row r="69" spans="2:16" ht="22.05" customHeight="1" x14ac:dyDescent="0.5">
      <c r="B69" s="7" t="s">
        <v>194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2:16" ht="18" customHeight="1" x14ac:dyDescent="0.45">
      <c r="B70" s="13" t="s">
        <v>195</v>
      </c>
    </row>
    <row r="71" spans="2:16" ht="18" customHeight="1" x14ac:dyDescent="0.45">
      <c r="B71" s="39" t="s">
        <v>196</v>
      </c>
      <c r="C71" s="39" t="s">
        <v>93</v>
      </c>
      <c r="D71" s="40" t="s">
        <v>140</v>
      </c>
      <c r="E71" s="5"/>
      <c r="F71" s="39" t="s">
        <v>197</v>
      </c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2:16" x14ac:dyDescent="0.45">
      <c r="B72" s="25" t="s">
        <v>198</v>
      </c>
      <c r="C72" s="26" t="s">
        <v>112</v>
      </c>
      <c r="D72" s="45" cm="1">
        <f t="array" aca="1" ref="D72" ca="1">_xll.VoseOutput("NPV большой завод сейчас","млн долл.")+SUMPRODUCT(F23:P23,F19:P19)</f>
        <v>-84.541717382748416</v>
      </c>
      <c r="E72" s="28"/>
      <c r="F72" s="26"/>
      <c r="G72" s="28"/>
      <c r="H72" s="28"/>
      <c r="I72" s="28"/>
      <c r="J72" s="28"/>
      <c r="K72" s="28"/>
      <c r="L72" s="28"/>
      <c r="M72" s="28"/>
      <c r="N72" s="28"/>
      <c r="O72" s="28"/>
      <c r="P72" s="28"/>
    </row>
    <row r="73" spans="2:16" x14ac:dyDescent="0.45">
      <c r="B73" s="25" t="s">
        <v>199</v>
      </c>
      <c r="C73" s="26" t="s">
        <v>112</v>
      </c>
      <c r="D73" s="45" cm="1">
        <f t="array" aca="1" ref="D73" ca="1">_xll.VoseOutput("NPV малый завод","млн долл.")+SUMPRODUCT(F28:P28,F19:P19)</f>
        <v>-20.025799071712523</v>
      </c>
      <c r="E73" s="28"/>
      <c r="F73" s="26"/>
      <c r="G73" s="28"/>
      <c r="H73" s="28"/>
      <c r="I73" s="28"/>
      <c r="J73" s="28"/>
      <c r="K73" s="28"/>
      <c r="L73" s="28"/>
      <c r="M73" s="28"/>
      <c r="N73" s="28"/>
      <c r="O73" s="28"/>
      <c r="P73" s="28"/>
    </row>
    <row r="74" spans="2:16" x14ac:dyDescent="0.45">
      <c r="B74" s="25" t="s">
        <v>200</v>
      </c>
      <c r="C74" s="26" t="s">
        <v>112</v>
      </c>
      <c r="D74" s="45" cm="1">
        <f t="array" aca="1" ref="D74" ca="1">_xll.VoseOutput("NPV поэтапно с опционами","млн долл.")+SUMPRODUCT(F61:P61,F19:P19)</f>
        <v>-20.025799071712523</v>
      </c>
      <c r="E74" s="28"/>
      <c r="F74" s="26"/>
      <c r="G74" s="28"/>
      <c r="H74" s="28"/>
      <c r="I74" s="28"/>
      <c r="J74" s="28"/>
      <c r="K74" s="28"/>
      <c r="L74" s="28"/>
      <c r="M74" s="28"/>
      <c r="N74" s="28"/>
      <c r="O74" s="28"/>
      <c r="P74" s="28"/>
    </row>
    <row r="75" spans="2:16" x14ac:dyDescent="0.45">
      <c r="B75" s="25" t="s">
        <v>201</v>
      </c>
      <c r="C75" s="26" t="s">
        <v>112</v>
      </c>
      <c r="D75" s="43">
        <f>SUMPRODUCT(F24:P24,F19:P19)</f>
        <v>63.699229914072625</v>
      </c>
      <c r="E75" s="28"/>
      <c r="F75" s="26" t="s">
        <v>202</v>
      </c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2:16" x14ac:dyDescent="0.45">
      <c r="B76" s="25" t="s">
        <v>203</v>
      </c>
      <c r="C76" s="26" t="s">
        <v>112</v>
      </c>
      <c r="D76" s="43">
        <f>SUMPRODUCT(F29:P29,F19:P19)</f>
        <v>28.429550115067105</v>
      </c>
      <c r="E76" s="28"/>
      <c r="F76" s="26"/>
      <c r="G76" s="28"/>
      <c r="H76" s="28"/>
      <c r="I76" s="28"/>
      <c r="J76" s="28"/>
      <c r="K76" s="28"/>
      <c r="L76" s="28"/>
      <c r="M76" s="28"/>
      <c r="N76" s="28"/>
      <c r="O76" s="28"/>
      <c r="P76" s="28"/>
    </row>
    <row r="77" spans="2:16" x14ac:dyDescent="0.45">
      <c r="B77" s="25" t="s">
        <v>204</v>
      </c>
      <c r="C77" s="26" t="s">
        <v>112</v>
      </c>
      <c r="D77" s="43">
        <f>SUMPRODUCT(F67:P67,F19:P19)</f>
        <v>28.429550115067105</v>
      </c>
      <c r="E77" s="28"/>
      <c r="F77" s="26" t="s">
        <v>205</v>
      </c>
      <c r="G77" s="28"/>
      <c r="H77" s="28"/>
      <c r="I77" s="28"/>
      <c r="J77" s="28"/>
      <c r="K77" s="28"/>
      <c r="L77" s="28"/>
      <c r="M77" s="28"/>
      <c r="N77" s="28"/>
      <c r="O77" s="28"/>
      <c r="P77" s="28"/>
    </row>
    <row r="78" spans="2:16" ht="8" customHeight="1" x14ac:dyDescent="0.45"/>
    <row r="79" spans="2:16" ht="22.05" customHeight="1" x14ac:dyDescent="0.5">
      <c r="B79" s="7" t="s">
        <v>206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2:16" ht="18" customHeight="1" x14ac:dyDescent="0.45">
      <c r="B80" s="13" t="s">
        <v>207</v>
      </c>
    </row>
    <row r="81" spans="2:16" x14ac:dyDescent="0.45">
      <c r="B81" s="25" t="s">
        <v>208</v>
      </c>
      <c r="C81" s="28"/>
      <c r="D81" s="55" t="str">
        <f>IF(ExpandAt&gt;AbandonAt,"ОК","ПРОВЕРИТЬ")</f>
        <v>ОК</v>
      </c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</row>
    <row r="82" spans="2:16" x14ac:dyDescent="0.45">
      <c r="B82" s="25" t="s">
        <v>209</v>
      </c>
      <c r="C82" s="28"/>
      <c r="D82" s="55" t="str">
        <f>IF(BigCap&gt;SmallCap,"ОК","ПРОВЕРИТЬ")</f>
        <v>ОК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</row>
    <row r="83" spans="2:16" ht="14" customHeight="1" x14ac:dyDescent="0.45"/>
  </sheetData>
  <conditionalFormatting sqref="D81:D82">
    <cfRule type="expression" dxfId="4" priority="1">
      <formula>D81="CHECK"</formula>
    </cfRule>
  </conditionalFormatting>
  <hyperlinks>
    <hyperlink ref="B4" location="'Исходные данные'!A1" display="◂  Исходные данные" xr:uid="{00000000-0004-0000-0200-000000000000}"/>
    <hyperlink ref="P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0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16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6" t="str" cm="1">
        <f t="array" aca="1" ref="B6" ca="1">IF(ISNUMBER(_xll.VoseSimMean(NPV_C)),"✔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7"/>
      <c r="D6" s="57"/>
      <c r="E6" s="57"/>
      <c r="F6" s="57"/>
      <c r="G6" s="57"/>
    </row>
    <row r="7" spans="1:18" x14ac:dyDescent="0.45">
      <c r="B7" s="58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212</v>
      </c>
      <c r="C9" s="8"/>
      <c r="D9" s="8"/>
      <c r="E9" s="8"/>
      <c r="F9" s="8"/>
      <c r="G9" s="8"/>
      <c r="I9" s="59" t="s">
        <v>213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214</v>
      </c>
    </row>
    <row r="11" spans="1:18" ht="18" customHeight="1" x14ac:dyDescent="0.45">
      <c r="B11" s="60" t="s">
        <v>215</v>
      </c>
      <c r="C11" s="61" t="s">
        <v>216</v>
      </c>
      <c r="D11" s="61" t="s">
        <v>217</v>
      </c>
      <c r="E11" s="61" t="s">
        <v>218</v>
      </c>
      <c r="F11" s="61" t="s">
        <v>219</v>
      </c>
      <c r="G11" s="61" t="s">
        <v>220</v>
      </c>
    </row>
    <row r="12" spans="1:18" x14ac:dyDescent="0.45">
      <c r="B12" s="54"/>
      <c r="C12" s="54" t="s">
        <v>221</v>
      </c>
      <c r="D12" s="54" t="s">
        <v>222</v>
      </c>
      <c r="E12" s="54"/>
      <c r="F12" s="54"/>
      <c r="G12" s="54" t="s">
        <v>223</v>
      </c>
    </row>
    <row r="13" spans="1:18" x14ac:dyDescent="0.45">
      <c r="B13" s="25" t="s">
        <v>224</v>
      </c>
      <c r="C13" s="43">
        <f>Base_A</f>
        <v>63.699229914072625</v>
      </c>
      <c r="D13" s="62" cm="1">
        <f t="array" aca="1" ref="D13" ca="1">_xll.VoseSimMean(NPV_A)</f>
        <v>16.094900605356166</v>
      </c>
      <c r="E13" s="62" cm="1">
        <f t="array" aca="1" ref="E13" ca="1">_xll.VoseSimPercentile(NPV_A,0.1)</f>
        <v>-54.990253928375431</v>
      </c>
      <c r="F13" s="62" cm="1">
        <f t="array" aca="1" ref="F13" ca="1">_xll.VoseSimPercentile(NPV_A,0.9)</f>
        <v>74.340796191268623</v>
      </c>
      <c r="G13" s="63" cm="1">
        <f t="array" aca="1" ref="G13" ca="1">_xll.VoseSimProbability(NPV_A,0)</f>
        <v>0.36366363363663634</v>
      </c>
    </row>
    <row r="14" spans="1:18" x14ac:dyDescent="0.45">
      <c r="B14" s="25" t="s">
        <v>225</v>
      </c>
      <c r="C14" s="43">
        <f>Base_B</f>
        <v>28.429550115067105</v>
      </c>
      <c r="D14" s="62" cm="1">
        <f t="array" aca="1" ref="D14" ca="1">_xll.VoseSimMean(NPV_B)</f>
        <v>20.352448938278247</v>
      </c>
      <c r="E14" s="62" cm="1">
        <f t="array" aca="1" ref="E14" ca="1">_xll.VoseSimPercentile(NPV_B,0.1)</f>
        <v>0.24090362961212808</v>
      </c>
      <c r="F14" s="62" cm="1">
        <f t="array" aca="1" ref="F14" ca="1">_xll.VoseSimPercentile(NPV_B,0.9)</f>
        <v>28.429550115067105</v>
      </c>
      <c r="G14" s="63" cm="1">
        <f t="array" aca="1" ref="G14" ca="1">_xll.VoseSimProbability(NPV_B,0)</f>
        <v>9.8590140985901409E-2</v>
      </c>
    </row>
    <row r="15" spans="1:18" x14ac:dyDescent="0.45">
      <c r="B15" s="47" t="s">
        <v>226</v>
      </c>
      <c r="C15" s="43">
        <f>Base_C</f>
        <v>28.429550115067105</v>
      </c>
      <c r="D15" s="62" cm="1">
        <f t="array" aca="1" ref="D15" ca="1">_xll.VoseSimMean(NPV_C)</f>
        <v>24.471820476394019</v>
      </c>
      <c r="E15" s="62" cm="1">
        <f t="array" aca="1" ref="E15" ca="1">_xll.VoseSimPercentile(NPV_C,0.1)</f>
        <v>-5.8270023611862296</v>
      </c>
      <c r="F15" s="62" cm="1">
        <f t="array" aca="1" ref="F15" ca="1">_xll.VoseSimPercentile(NPV_C,0.9)</f>
        <v>58.103315610639193</v>
      </c>
      <c r="G15" s="63" cm="1">
        <f t="array" aca="1" ref="G15" ca="1">_xll.VoseSimProbability(NPV_C,0)</f>
        <v>0.13288671132886712</v>
      </c>
    </row>
    <row r="16" spans="1:18" ht="8" customHeight="1" x14ac:dyDescent="0.45"/>
    <row r="17" spans="2:18" ht="22.05" customHeight="1" x14ac:dyDescent="0.5">
      <c r="B17" s="7" t="s">
        <v>227</v>
      </c>
      <c r="C17" s="8"/>
      <c r="D17" s="8"/>
      <c r="E17" s="8"/>
      <c r="F17" s="8"/>
      <c r="G17" s="8"/>
    </row>
    <row r="18" spans="2:18" ht="18" customHeight="1" x14ac:dyDescent="0.45">
      <c r="B18" s="13" t="s">
        <v>228</v>
      </c>
    </row>
    <row r="19" spans="2:18" ht="18" customHeight="1" x14ac:dyDescent="0.45">
      <c r="B19" s="23" t="s">
        <v>229</v>
      </c>
      <c r="C19" s="23" t="s">
        <v>93</v>
      </c>
      <c r="D19" s="24" t="s">
        <v>140</v>
      </c>
      <c r="E19" s="5"/>
      <c r="F19" s="5"/>
      <c r="G19" s="5"/>
    </row>
    <row r="20" spans="2:18" ht="22.05" customHeight="1" x14ac:dyDescent="0.45">
      <c r="B20" s="47" t="s">
        <v>230</v>
      </c>
      <c r="C20" s="26" t="s">
        <v>112</v>
      </c>
      <c r="D20" s="64" cm="1">
        <f t="array" aca="1" ref="D20" ca="1">_xll.VoseSimMean(NPV_C)</f>
        <v>24.471820476394019</v>
      </c>
      <c r="E20" s="28"/>
      <c r="F20" s="28"/>
      <c r="G20" s="28"/>
    </row>
    <row r="21" spans="2:18" x14ac:dyDescent="0.45">
      <c r="B21" s="25" t="s">
        <v>231</v>
      </c>
      <c r="C21" s="26" t="s">
        <v>112</v>
      </c>
      <c r="D21" s="62" cm="1">
        <f t="array" aca="1" ref="D21" ca="1">_xll.VoseSimMean(NPV_B)</f>
        <v>20.352448938278247</v>
      </c>
      <c r="E21" s="28"/>
      <c r="F21" s="28"/>
      <c r="G21" s="28"/>
    </row>
    <row r="22" spans="2:18" x14ac:dyDescent="0.45">
      <c r="B22" s="25" t="s">
        <v>232</v>
      </c>
      <c r="C22" s="26" t="s">
        <v>112</v>
      </c>
      <c r="D22" s="62" cm="1">
        <f t="array" aca="1" ref="D22" ca="1">_xll.VoseSimMean(NPV_A)</f>
        <v>16.094900605356166</v>
      </c>
      <c r="E22" s="28"/>
      <c r="F22" s="28"/>
      <c r="G22" s="28"/>
    </row>
    <row r="23" spans="2:18" x14ac:dyDescent="0.45">
      <c r="B23" s="47" t="s">
        <v>233</v>
      </c>
      <c r="C23" s="26" t="s">
        <v>112</v>
      </c>
      <c r="D23" s="62">
        <f ca="1">IFERROR(D20-D21,"–")</f>
        <v>4.1193715381157716</v>
      </c>
      <c r="E23" s="28"/>
      <c r="F23" s="28"/>
      <c r="G23" s="28"/>
    </row>
    <row r="24" spans="2:18" x14ac:dyDescent="0.45">
      <c r="B24" s="25" t="s">
        <v>234</v>
      </c>
      <c r="C24" s="26" t="s">
        <v>112</v>
      </c>
      <c r="D24" s="62">
        <f ca="1">IFERROR(D20-D22,"–")</f>
        <v>8.3769198710378525</v>
      </c>
      <c r="E24" s="28"/>
      <c r="F24" s="28"/>
      <c r="G24" s="28"/>
    </row>
    <row r="25" spans="2:18" x14ac:dyDescent="0.45">
      <c r="B25" s="25" t="s">
        <v>235</v>
      </c>
      <c r="C25" s="26" t="s">
        <v>236</v>
      </c>
      <c r="D25" s="63" cm="1">
        <f t="array" aca="1" ref="D25" ca="1">_xll.VoseSimMean(Expand)</f>
        <v>0.31609999999999999</v>
      </c>
      <c r="E25" s="28"/>
      <c r="F25" s="28"/>
      <c r="G25" s="28"/>
    </row>
    <row r="26" spans="2:18" x14ac:dyDescent="0.45">
      <c r="B26" s="25" t="s">
        <v>237</v>
      </c>
      <c r="C26" s="26" t="s">
        <v>236</v>
      </c>
      <c r="D26" s="63" cm="1">
        <f t="array" aca="1" ref="D26" ca="1">_xll.VoseSimMean(Abandon)</f>
        <v>1.7500000000000002E-2</v>
      </c>
      <c r="E26" s="28"/>
      <c r="F26" s="28"/>
      <c r="G26" s="28"/>
    </row>
    <row r="27" spans="2:18" ht="8" customHeight="1" x14ac:dyDescent="0.45"/>
    <row r="28" spans="2:18" x14ac:dyDescent="0.45">
      <c r="I28" s="59" t="s">
        <v>238</v>
      </c>
      <c r="J28" s="8"/>
      <c r="K28" s="8"/>
      <c r="L28" s="8"/>
      <c r="M28" s="8"/>
      <c r="N28" s="8"/>
      <c r="O28" s="8"/>
      <c r="P28" s="8"/>
      <c r="Q28" s="8"/>
      <c r="R28" s="8"/>
    </row>
    <row r="44" spans="2:7" ht="22.05" customHeight="1" x14ac:dyDescent="0.5">
      <c r="B44" s="7" t="s">
        <v>239</v>
      </c>
      <c r="C44" s="8"/>
      <c r="D44" s="8"/>
      <c r="E44" s="8"/>
      <c r="F44" s="8"/>
      <c r="G44" s="8"/>
    </row>
    <row r="45" spans="2:7" ht="45" customHeight="1" x14ac:dyDescent="0.45">
      <c r="B45" s="70" t="s">
        <v>240</v>
      </c>
      <c r="C45" s="69"/>
      <c r="D45" s="69"/>
      <c r="E45" s="69"/>
      <c r="F45" s="69"/>
      <c r="G45" s="69"/>
    </row>
    <row r="46" spans="2:7" ht="32" customHeight="1" x14ac:dyDescent="0.45">
      <c r="B46" s="70" t="s">
        <v>241</v>
      </c>
      <c r="C46" s="69"/>
      <c r="D46" s="69"/>
      <c r="E46" s="69"/>
      <c r="F46" s="69"/>
      <c r="G46" s="69"/>
    </row>
    <row r="47" spans="2:7" ht="32" customHeight="1" x14ac:dyDescent="0.45">
      <c r="B47" s="70" t="s">
        <v>242</v>
      </c>
      <c r="C47" s="69"/>
      <c r="D47" s="69"/>
      <c r="E47" s="69"/>
      <c r="F47" s="69"/>
      <c r="G47" s="69"/>
    </row>
    <row r="48" spans="2:7" ht="32" customHeight="1" x14ac:dyDescent="0.45">
      <c r="B48" s="70" t="s">
        <v>243</v>
      </c>
      <c r="C48" s="69"/>
      <c r="D48" s="69"/>
      <c r="E48" s="69"/>
      <c r="F48" s="69"/>
      <c r="G48" s="69"/>
    </row>
    <row r="49" spans="2:7" ht="32" customHeight="1" x14ac:dyDescent="0.45">
      <c r="B49" s="70" t="s">
        <v>244</v>
      </c>
      <c r="C49" s="69"/>
      <c r="D49" s="69"/>
      <c r="E49" s="69"/>
      <c r="F49" s="69"/>
      <c r="G49" s="69"/>
    </row>
    <row r="50" spans="2:7" ht="14" customHeight="1" x14ac:dyDescent="0.45"/>
    <row r="51" spans="2:7" ht="14" customHeight="1" x14ac:dyDescent="0.45"/>
    <row r="52" spans="2:7" ht="22.05" customHeight="1" x14ac:dyDescent="0.5">
      <c r="B52" s="7" t="s">
        <v>245</v>
      </c>
      <c r="C52" s="8"/>
      <c r="D52" s="8"/>
      <c r="E52" s="8"/>
      <c r="F52" s="8"/>
      <c r="G52" s="8"/>
    </row>
    <row r="53" spans="2:7" ht="18" customHeight="1" x14ac:dyDescent="0.45">
      <c r="B53" s="13" t="s">
        <v>246</v>
      </c>
    </row>
    <row r="54" spans="2:7" ht="28.05" hidden="1" customHeight="1" outlineLevel="1" x14ac:dyDescent="0.45">
      <c r="B54" s="24" t="s">
        <v>247</v>
      </c>
      <c r="C54" s="24" t="s">
        <v>248</v>
      </c>
      <c r="D54" s="24" t="s">
        <v>249</v>
      </c>
      <c r="E54" s="24" t="s">
        <v>250</v>
      </c>
      <c r="F54" s="24" t="s">
        <v>251</v>
      </c>
      <c r="G54" s="5"/>
    </row>
    <row r="55" spans="2:7" hidden="1" outlineLevel="1" x14ac:dyDescent="0.45">
      <c r="B55" s="65">
        <v>0.01</v>
      </c>
      <c r="C55" s="65">
        <f t="shared" ref="C55:C86" si="0">1-B55</f>
        <v>0.99</v>
      </c>
      <c r="D55" s="66" cm="1">
        <f t="array" aca="1" ref="D55" ca="1">IF(ISNUMBER(_xll.VoseSimPercentile(NPV_A,$B55)),_xll.VoseSimPercentile(NPV_A,$B55),NA())</f>
        <v>-92.088817181684902</v>
      </c>
      <c r="E55" s="66" cm="1">
        <f t="array" aca="1" ref="E55" ca="1">IF(ISNUMBER(_xll.VoseSimPercentile(NPV_B,$B55)),_xll.VoseSimPercentile(NPV_B,$B55),NA())</f>
        <v>-27.354594577856826</v>
      </c>
      <c r="F55" s="66" cm="1">
        <f t="array" aca="1" ref="F55" ca="1">IF(ISNUMBER(_xll.VoseSimPercentile(NPV_C,$B55)),_xll.VoseSimPercentile(NPV_C,$B55),NA())</f>
        <v>-32.292910856078606</v>
      </c>
    </row>
    <row r="56" spans="2:7" hidden="1" outlineLevel="1" x14ac:dyDescent="0.45">
      <c r="B56" s="65">
        <v>0.03</v>
      </c>
      <c r="C56" s="65">
        <f t="shared" si="0"/>
        <v>0.97</v>
      </c>
      <c r="D56" s="66" cm="1">
        <f t="array" aca="1" ref="D56" ca="1">IF(ISNUMBER(_xll.VoseSimPercentile(NPV_A,$B56)),_xll.VoseSimPercentile(NPV_A,$B56),NA())</f>
        <v>-78.669986731865947</v>
      </c>
      <c r="E56" s="66" cm="1">
        <f t="array" aca="1" ref="E56" ca="1">IF(ISNUMBER(_xll.VoseSimPercentile(NPV_B,$B56)),_xll.VoseSimPercentile(NPV_B,$B56),NA())</f>
        <v>-17.65342780580497</v>
      </c>
      <c r="F56" s="66" cm="1">
        <f t="array" aca="1" ref="F56" ca="1">IF(ISNUMBER(_xll.VoseSimPercentile(NPV_C,$B56)),_xll.VoseSimPercentile(NPV_C,$B56),NA())</f>
        <v>-20.573675717933796</v>
      </c>
    </row>
    <row r="57" spans="2:7" hidden="1" outlineLevel="1" x14ac:dyDescent="0.45">
      <c r="B57" s="65">
        <v>0.05</v>
      </c>
      <c r="C57" s="65">
        <f t="shared" si="0"/>
        <v>0.95</v>
      </c>
      <c r="D57" s="66" cm="1">
        <f t="array" aca="1" ref="D57" ca="1">IF(ISNUMBER(_xll.VoseSimPercentile(NPV_A,$B57)),_xll.VoseSimPercentile(NPV_A,$B57),NA())</f>
        <v>-70.4515916651537</v>
      </c>
      <c r="E57" s="66" cm="1">
        <f t="array" aca="1" ref="E57" ca="1">IF(ISNUMBER(_xll.VoseSimPercentile(NPV_B,$B57)),_xll.VoseSimPercentile(NPV_B,$B57),NA())</f>
        <v>-10.849071864860125</v>
      </c>
      <c r="F57" s="66" cm="1">
        <f t="array" aca="1" ref="F57" ca="1">IF(ISNUMBER(_xll.VoseSimPercentile(NPV_C,$B57)),_xll.VoseSimPercentile(NPV_C,$B57),NA())</f>
        <v>-14.731308851208468</v>
      </c>
    </row>
    <row r="58" spans="2:7" hidden="1" outlineLevel="1" x14ac:dyDescent="0.45">
      <c r="B58" s="65">
        <v>7.0000000000000007E-2</v>
      </c>
      <c r="C58" s="65">
        <f t="shared" si="0"/>
        <v>0.92999999999999994</v>
      </c>
      <c r="D58" s="66" cm="1">
        <f t="array" aca="1" ref="D58" ca="1">IF(ISNUMBER(_xll.VoseSimPercentile(NPV_A,$B58)),_xll.VoseSimPercentile(NPV_A,$B58),NA())</f>
        <v>-63.462754776496141</v>
      </c>
      <c r="E58" s="66" cm="1">
        <f t="array" aca="1" ref="E58" ca="1">IF(ISNUMBER(_xll.VoseSimPercentile(NPV_B,$B58)),_xll.VoseSimPercentile(NPV_B,$B58),NA())</f>
        <v>-5.4033630529692029</v>
      </c>
      <c r="F58" s="66" cm="1">
        <f t="array" aca="1" ref="F58" ca="1">IF(ISNUMBER(_xll.VoseSimPercentile(NPV_C,$B58)),_xll.VoseSimPercentile(NPV_C,$B58),NA())</f>
        <v>-10.714372580113807</v>
      </c>
    </row>
    <row r="59" spans="2:7" hidden="1" outlineLevel="1" x14ac:dyDescent="0.45">
      <c r="B59" s="65">
        <v>0.09</v>
      </c>
      <c r="C59" s="65">
        <f t="shared" si="0"/>
        <v>0.91</v>
      </c>
      <c r="D59" s="66" cm="1">
        <f t="array" aca="1" ref="D59" ca="1">IF(ISNUMBER(_xll.VoseSimPercentile(NPV_A,$B59)),_xll.VoseSimPercentile(NPV_A,$B59),NA())</f>
        <v>-58.121346841195255</v>
      </c>
      <c r="E59" s="66" cm="1">
        <f t="array" aca="1" ref="E59" ca="1">IF(ISNUMBER(_xll.VoseSimPercentile(NPV_B,$B59)),_xll.VoseSimPercentile(NPV_B,$B59),NA())</f>
        <v>-1.7582609136776952</v>
      </c>
      <c r="F59" s="66" cm="1">
        <f t="array" aca="1" ref="F59" ca="1">IF(ISNUMBER(_xll.VoseSimPercentile(NPV_C,$B59)),_xll.VoseSimPercentile(NPV_C,$B59),NA())</f>
        <v>-7.8797282530184845</v>
      </c>
    </row>
    <row r="60" spans="2:7" hidden="1" outlineLevel="1" x14ac:dyDescent="0.45">
      <c r="B60" s="65">
        <v>0.11</v>
      </c>
      <c r="C60" s="65">
        <f t="shared" si="0"/>
        <v>0.89</v>
      </c>
      <c r="D60" s="66" cm="1">
        <f t="array" aca="1" ref="D60" ca="1">IF(ISNUMBER(_xll.VoseSimPercentile(NPV_A,$B60)),_xll.VoseSimPercentile(NPV_A,$B60),NA())</f>
        <v>-52.785234549702849</v>
      </c>
      <c r="E60" s="66" cm="1">
        <f t="array" aca="1" ref="E60" ca="1">IF(ISNUMBER(_xll.VoseSimPercentile(NPV_B,$B60)),_xll.VoseSimPercentile(NPV_B,$B60),NA())</f>
        <v>1.7190852373869592</v>
      </c>
      <c r="F60" s="66" cm="1">
        <f t="array" aca="1" ref="F60" ca="1">IF(ISNUMBER(_xll.VoseSimPercentile(NPV_C,$B60)),_xll.VoseSimPercentile(NPV_C,$B60),NA())</f>
        <v>-4.0381302291621033</v>
      </c>
    </row>
    <row r="61" spans="2:7" hidden="1" outlineLevel="1" x14ac:dyDescent="0.45">
      <c r="B61" s="65">
        <v>0.13</v>
      </c>
      <c r="C61" s="65">
        <f t="shared" si="0"/>
        <v>0.87</v>
      </c>
      <c r="D61" s="66" cm="1">
        <f t="array" aca="1" ref="D61" ca="1">IF(ISNUMBER(_xll.VoseSimPercentile(NPV_A,$B61)),_xll.VoseSimPercentile(NPV_A,$B61),NA())</f>
        <v>-47.903772677857141</v>
      </c>
      <c r="E61" s="66" cm="1">
        <f t="array" aca="1" ref="E61" ca="1">IF(ISNUMBER(_xll.VoseSimPercentile(NPV_B,$B61)),_xll.VoseSimPercentile(NPV_B,$B61),NA())</f>
        <v>4.9485468046019427</v>
      </c>
      <c r="F61" s="66" cm="1">
        <f t="array" aca="1" ref="F61" ca="1">IF(ISNUMBER(_xll.VoseSimPercentile(NPV_C,$B61)),_xll.VoseSimPercentile(NPV_C,$B61),NA())</f>
        <v>-0.60923067525668451</v>
      </c>
    </row>
    <row r="62" spans="2:7" hidden="1" outlineLevel="1" x14ac:dyDescent="0.45">
      <c r="B62" s="65">
        <v>0.15</v>
      </c>
      <c r="C62" s="65">
        <f t="shared" si="0"/>
        <v>0.85</v>
      </c>
      <c r="D62" s="66" cm="1">
        <f t="array" aca="1" ref="D62" ca="1">IF(ISNUMBER(_xll.VoseSimPercentile(NPV_A,$B62)),_xll.VoseSimPercentile(NPV_A,$B62),NA())</f>
        <v>-43.439415355330084</v>
      </c>
      <c r="E62" s="66" cm="1">
        <f t="array" aca="1" ref="E62" ca="1">IF(ISNUMBER(_xll.VoseSimPercentile(NPV_B,$B62)),_xll.VoseSimPercentile(NPV_B,$B62),NA())</f>
        <v>7.3952612647415421</v>
      </c>
      <c r="F62" s="66" cm="1">
        <f t="array" aca="1" ref="F62" ca="1">IF(ISNUMBER(_xll.VoseSimPercentile(NPV_C,$B62)),_xll.VoseSimPercentile(NPV_C,$B62),NA())</f>
        <v>2.3775214940108649</v>
      </c>
    </row>
    <row r="63" spans="2:7" hidden="1" outlineLevel="1" x14ac:dyDescent="0.45">
      <c r="B63" s="65">
        <v>0.17</v>
      </c>
      <c r="C63" s="65">
        <f t="shared" si="0"/>
        <v>0.83</v>
      </c>
      <c r="D63" s="66" cm="1">
        <f t="array" aca="1" ref="D63" ca="1">IF(ISNUMBER(_xll.VoseSimPercentile(NPV_A,$B63)),_xll.VoseSimPercentile(NPV_A,$B63),NA())</f>
        <v>-39.181188886973345</v>
      </c>
      <c r="E63" s="66" cm="1">
        <f t="array" aca="1" ref="E63" ca="1">IF(ISNUMBER(_xll.VoseSimPercentile(NPV_B,$B63)),_xll.VoseSimPercentile(NPV_B,$B63),NA())</f>
        <v>9.6989158308947019</v>
      </c>
      <c r="F63" s="66" cm="1">
        <f t="array" aca="1" ref="F63" ca="1">IF(ISNUMBER(_xll.VoseSimPercentile(NPV_C,$B63)),_xll.VoseSimPercentile(NPV_C,$B63),NA())</f>
        <v>5.4065219113495848</v>
      </c>
    </row>
    <row r="64" spans="2:7" hidden="1" outlineLevel="1" x14ac:dyDescent="0.45">
      <c r="B64" s="65">
        <v>0.19</v>
      </c>
      <c r="C64" s="65">
        <f t="shared" si="0"/>
        <v>0.81</v>
      </c>
      <c r="D64" s="66" cm="1">
        <f t="array" aca="1" ref="D64" ca="1">IF(ISNUMBER(_xll.VoseSimPercentile(NPV_A,$B64)),_xll.VoseSimPercentile(NPV_A,$B64),NA())</f>
        <v>-35.002228711059068</v>
      </c>
      <c r="E64" s="66" cm="1">
        <f t="array" aca="1" ref="E64" ca="1">IF(ISNUMBER(_xll.VoseSimPercentile(NPV_B,$B64)),_xll.VoseSimPercentile(NPV_B,$B64),NA())</f>
        <v>12.056815550137904</v>
      </c>
      <c r="F64" s="66" cm="1">
        <f t="array" aca="1" ref="F64" ca="1">IF(ISNUMBER(_xll.VoseSimPercentile(NPV_C,$B64)),_xll.VoseSimPercentile(NPV_C,$B64),NA())</f>
        <v>7.6365788929278153</v>
      </c>
    </row>
    <row r="65" spans="2:6" hidden="1" outlineLevel="1" x14ac:dyDescent="0.45">
      <c r="B65" s="65">
        <v>0.21</v>
      </c>
      <c r="C65" s="65">
        <f t="shared" si="0"/>
        <v>0.79</v>
      </c>
      <c r="D65" s="66" cm="1">
        <f t="array" aca="1" ref="D65" ca="1">IF(ISNUMBER(_xll.VoseSimPercentile(NPV_A,$B65)),_xll.VoseSimPercentile(NPV_A,$B65),NA())</f>
        <v>-30.741723900462176</v>
      </c>
      <c r="E65" s="66" cm="1">
        <f t="array" aca="1" ref="E65" ca="1">IF(ISNUMBER(_xll.VoseSimPercentile(NPV_B,$B65)),_xll.VoseSimPercentile(NPV_B,$B65),NA())</f>
        <v>14.045232337216554</v>
      </c>
      <c r="F65" s="66" cm="1">
        <f t="array" aca="1" ref="F65" ca="1">IF(ISNUMBER(_xll.VoseSimPercentile(NPV_C,$B65)),_xll.VoseSimPercentile(NPV_C,$B65),NA())</f>
        <v>9.7720420883814789</v>
      </c>
    </row>
    <row r="66" spans="2:6" hidden="1" outlineLevel="1" x14ac:dyDescent="0.45">
      <c r="B66" s="65">
        <v>0.23</v>
      </c>
      <c r="C66" s="65">
        <f t="shared" si="0"/>
        <v>0.77</v>
      </c>
      <c r="D66" s="66" cm="1">
        <f t="array" aca="1" ref="D66" ca="1">IF(ISNUMBER(_xll.VoseSimPercentile(NPV_A,$B66)),_xll.VoseSimPercentile(NPV_A,$B66),NA())</f>
        <v>-26.892036970695891</v>
      </c>
      <c r="E66" s="66" cm="1">
        <f t="array" aca="1" ref="E66" ca="1">IF(ISNUMBER(_xll.VoseSimPercentile(NPV_B,$B66)),_xll.VoseSimPercentile(NPV_B,$B66),NA())</f>
        <v>15.661690504890196</v>
      </c>
      <c r="F66" s="66" cm="1">
        <f t="array" aca="1" ref="F66" ca="1">IF(ISNUMBER(_xll.VoseSimPercentile(NPV_C,$B66)),_xll.VoseSimPercentile(NPV_C,$B66),NA())</f>
        <v>12.103512176020352</v>
      </c>
    </row>
    <row r="67" spans="2:6" hidden="1" outlineLevel="1" x14ac:dyDescent="0.45">
      <c r="B67" s="65">
        <v>0.25</v>
      </c>
      <c r="C67" s="65">
        <f t="shared" si="0"/>
        <v>0.75</v>
      </c>
      <c r="D67" s="66" cm="1">
        <f t="array" aca="1" ref="D67" ca="1">IF(ISNUMBER(_xll.VoseSimPercentile(NPV_A,$B67)),_xll.VoseSimPercentile(NPV_A,$B67),NA())</f>
        <v>-22.289546413868514</v>
      </c>
      <c r="E67" s="66" cm="1">
        <f t="array" aca="1" ref="E67" ca="1">IF(ISNUMBER(_xll.VoseSimPercentile(NPV_B,$B67)),_xll.VoseSimPercentile(NPV_B,$B67),NA())</f>
        <v>17.37164718428593</v>
      </c>
      <c r="F67" s="66" cm="1">
        <f t="array" aca="1" ref="F67" ca="1">IF(ISNUMBER(_xll.VoseSimPercentile(NPV_C,$B67)),_xll.VoseSimPercentile(NPV_C,$B67),NA())</f>
        <v>13.969273319874244</v>
      </c>
    </row>
    <row r="68" spans="2:6" hidden="1" outlineLevel="1" x14ac:dyDescent="0.45">
      <c r="B68" s="65">
        <v>0.27</v>
      </c>
      <c r="C68" s="65">
        <f t="shared" si="0"/>
        <v>0.73</v>
      </c>
      <c r="D68" s="66" cm="1">
        <f t="array" aca="1" ref="D68" ca="1">IF(ISNUMBER(_xll.VoseSimPercentile(NPV_A,$B68)),_xll.VoseSimPercentile(NPV_A,$B68),NA())</f>
        <v>-18.504310314654912</v>
      </c>
      <c r="E68" s="66" cm="1">
        <f t="array" aca="1" ref="E68" ca="1">IF(ISNUMBER(_xll.VoseSimPercentile(NPV_B,$B68)),_xll.VoseSimPercentile(NPV_B,$B68),NA())</f>
        <v>18.777384781831859</v>
      </c>
      <c r="F68" s="66" cm="1">
        <f t="array" aca="1" ref="F68" ca="1">IF(ISNUMBER(_xll.VoseSimPercentile(NPV_C,$B68)),_xll.VoseSimPercentile(NPV_C,$B68),NA())</f>
        <v>15.622839970044112</v>
      </c>
    </row>
    <row r="69" spans="2:6" hidden="1" outlineLevel="1" x14ac:dyDescent="0.45">
      <c r="B69" s="65">
        <v>0.28999999999999998</v>
      </c>
      <c r="C69" s="65">
        <f t="shared" si="0"/>
        <v>0.71</v>
      </c>
      <c r="D69" s="66" cm="1">
        <f t="array" aca="1" ref="D69" ca="1">IF(ISNUMBER(_xll.VoseSimPercentile(NPV_A,$B69)),_xll.VoseSimPercentile(NPV_A,$B69),NA())</f>
        <v>-14.504564542429927</v>
      </c>
      <c r="E69" s="66" cm="1">
        <f t="array" aca="1" ref="E69" ca="1">IF(ISNUMBER(_xll.VoseSimPercentile(NPV_B,$B69)),_xll.VoseSimPercentile(NPV_B,$B69),NA())</f>
        <v>20.211004014896488</v>
      </c>
      <c r="F69" s="66" cm="1">
        <f t="array" aca="1" ref="F69" ca="1">IF(ISNUMBER(_xll.VoseSimPercentile(NPV_C,$B69)),_xll.VoseSimPercentile(NPV_C,$B69),NA())</f>
        <v>17.307990481810002</v>
      </c>
    </row>
    <row r="70" spans="2:6" hidden="1" outlineLevel="1" x14ac:dyDescent="0.45">
      <c r="B70" s="65">
        <v>0.31</v>
      </c>
      <c r="C70" s="65">
        <f t="shared" si="0"/>
        <v>0.69</v>
      </c>
      <c r="D70" s="66" cm="1">
        <f t="array" aca="1" ref="D70" ca="1">IF(ISNUMBER(_xll.VoseSimPercentile(NPV_A,$B70)),_xll.VoseSimPercentile(NPV_A,$B70),NA())</f>
        <v>-10.664143695448377</v>
      </c>
      <c r="E70" s="66" cm="1">
        <f t="array" aca="1" ref="E70" ca="1">IF(ISNUMBER(_xll.VoseSimPercentile(NPV_B,$B70)),_xll.VoseSimPercentile(NPV_B,$B70),NA())</f>
        <v>21.389523964487072</v>
      </c>
      <c r="F70" s="66" cm="1">
        <f t="array" aca="1" ref="F70" ca="1">IF(ISNUMBER(_xll.VoseSimPercentile(NPV_C,$B70)),_xll.VoseSimPercentile(NPV_C,$B70),NA())</f>
        <v>18.798476909263467</v>
      </c>
    </row>
    <row r="71" spans="2:6" hidden="1" outlineLevel="1" x14ac:dyDescent="0.45">
      <c r="B71" s="65">
        <v>0.33</v>
      </c>
      <c r="C71" s="65">
        <f t="shared" si="0"/>
        <v>0.66999999999999993</v>
      </c>
      <c r="D71" s="66" cm="1">
        <f t="array" aca="1" ref="D71" ca="1">IF(ISNUMBER(_xll.VoseSimPercentile(NPV_A,$B71)),_xll.VoseSimPercentile(NPV_A,$B71),NA())</f>
        <v>-6.8763486320506679</v>
      </c>
      <c r="E71" s="66" cm="1">
        <f t="array" aca="1" ref="E71" ca="1">IF(ISNUMBER(_xll.VoseSimPercentile(NPV_B,$B71)),_xll.VoseSimPercentile(NPV_B,$B71),NA())</f>
        <v>22.449313636231178</v>
      </c>
      <c r="F71" s="66" cm="1">
        <f t="array" aca="1" ref="F71" ca="1">IF(ISNUMBER(_xll.VoseSimPercentile(NPV_C,$B71)),_xll.VoseSimPercentile(NPV_C,$B71),NA())</f>
        <v>20.27070200140508</v>
      </c>
    </row>
    <row r="72" spans="2:6" hidden="1" outlineLevel="1" x14ac:dyDescent="0.45">
      <c r="B72" s="65">
        <v>0.35</v>
      </c>
      <c r="C72" s="65">
        <f t="shared" si="0"/>
        <v>0.65</v>
      </c>
      <c r="D72" s="66" cm="1">
        <f t="array" aca="1" ref="D72" ca="1">IF(ISNUMBER(_xll.VoseSimPercentile(NPV_A,$B72)),_xll.VoseSimPercentile(NPV_A,$B72),NA())</f>
        <v>-2.6509814418700079</v>
      </c>
      <c r="E72" s="66" cm="1">
        <f t="array" aca="1" ref="E72" ca="1">IF(ISNUMBER(_xll.VoseSimPercentile(NPV_B,$B72)),_xll.VoseSimPercentile(NPV_B,$B72),NA())</f>
        <v>23.416332612467901</v>
      </c>
      <c r="F72" s="66" cm="1">
        <f t="array" aca="1" ref="F72" ca="1">IF(ISNUMBER(_xll.VoseSimPercentile(NPV_C,$B72)),_xll.VoseSimPercentile(NPV_C,$B72),NA())</f>
        <v>21.498234087168566</v>
      </c>
    </row>
    <row r="73" spans="2:6" hidden="1" outlineLevel="1" x14ac:dyDescent="0.45">
      <c r="B73" s="65">
        <v>0.37</v>
      </c>
      <c r="C73" s="65">
        <f t="shared" si="0"/>
        <v>0.63</v>
      </c>
      <c r="D73" s="66" cm="1">
        <f t="array" aca="1" ref="D73" ca="1">IF(ISNUMBER(_xll.VoseSimPercentile(NPV_A,$B73)),_xll.VoseSimPercentile(NPV_A,$B73),NA())</f>
        <v>1.3798662457967339</v>
      </c>
      <c r="E73" s="66" cm="1">
        <f t="array" aca="1" ref="E73" ca="1">IF(ISNUMBER(_xll.VoseSimPercentile(NPV_B,$B73)),_xll.VoseSimPercentile(NPV_B,$B73),NA())</f>
        <v>24.411763220067989</v>
      </c>
      <c r="F73" s="66" cm="1">
        <f t="array" aca="1" ref="F73" ca="1">IF(ISNUMBER(_xll.VoseSimPercentile(NPV_C,$B73)),_xll.VoseSimPercentile(NPV_C,$B73),NA())</f>
        <v>22.637024039346276</v>
      </c>
    </row>
    <row r="74" spans="2:6" hidden="1" outlineLevel="1" x14ac:dyDescent="0.45">
      <c r="B74" s="65">
        <v>0.39</v>
      </c>
      <c r="C74" s="65">
        <f t="shared" si="0"/>
        <v>0.61</v>
      </c>
      <c r="D74" s="66" cm="1">
        <f t="array" aca="1" ref="D74" ca="1">IF(ISNUMBER(_xll.VoseSimPercentile(NPV_A,$B74)),_xll.VoseSimPercentile(NPV_A,$B74),NA())</f>
        <v>5.0729858108314776</v>
      </c>
      <c r="E74" s="66" cm="1">
        <f t="array" aca="1" ref="E74" ca="1">IF(ISNUMBER(_xll.VoseSimPercentile(NPV_B,$B74)),_xll.VoseSimPercentile(NPV_B,$B74),NA())</f>
        <v>25.235690856020032</v>
      </c>
      <c r="F74" s="66" cm="1">
        <f t="array" aca="1" ref="F74" ca="1">IF(ISNUMBER(_xll.VoseSimPercentile(NPV_C,$B74)),_xll.VoseSimPercentile(NPV_C,$B74),NA())</f>
        <v>23.757501223057236</v>
      </c>
    </row>
    <row r="75" spans="2:6" hidden="1" outlineLevel="1" x14ac:dyDescent="0.45">
      <c r="B75" s="65">
        <v>0.41</v>
      </c>
      <c r="C75" s="65">
        <f t="shared" si="0"/>
        <v>0.59000000000000008</v>
      </c>
      <c r="D75" s="66" cm="1">
        <f t="array" aca="1" ref="D75" ca="1">IF(ISNUMBER(_xll.VoseSimPercentile(NPV_A,$B75)),_xll.VoseSimPercentile(NPV_A,$B75),NA())</f>
        <v>8.9502729519556787</v>
      </c>
      <c r="E75" s="66" cm="1">
        <f t="array" aca="1" ref="E75" ca="1">IF(ISNUMBER(_xll.VoseSimPercentile(NPV_B,$B75)),_xll.VoseSimPercentile(NPV_B,$B75),NA())</f>
        <v>25.842188117745238</v>
      </c>
      <c r="F75" s="66" cm="1">
        <f t="array" aca="1" ref="F75" ca="1">IF(ISNUMBER(_xll.VoseSimPercentile(NPV_C,$B75)),_xll.VoseSimPercentile(NPV_C,$B75),NA())</f>
        <v>24.771702107277054</v>
      </c>
    </row>
    <row r="76" spans="2:6" hidden="1" outlineLevel="1" x14ac:dyDescent="0.45">
      <c r="B76" s="65">
        <v>0.43</v>
      </c>
      <c r="C76" s="65">
        <f t="shared" si="0"/>
        <v>0.57000000000000006</v>
      </c>
      <c r="D76" s="66" cm="1">
        <f t="array" aca="1" ref="D76" ca="1">IF(ISNUMBER(_xll.VoseSimPercentile(NPV_A,$B76)),_xll.VoseSimPercentile(NPV_A,$B76),NA())</f>
        <v>12.290840532172867</v>
      </c>
      <c r="E76" s="66" cm="1">
        <f t="array" aca="1" ref="E76" ca="1">IF(ISNUMBER(_xll.VoseSimPercentile(NPV_B,$B76)),_xll.VoseSimPercentile(NPV_B,$B76),NA())</f>
        <v>26.395478445372394</v>
      </c>
      <c r="F76" s="66" cm="1">
        <f t="array" aca="1" ref="F76" ca="1">IF(ISNUMBER(_xll.VoseSimPercentile(NPV_C,$B76)),_xll.VoseSimPercentile(NPV_C,$B76),NA())</f>
        <v>25.569774728355849</v>
      </c>
    </row>
    <row r="77" spans="2:6" hidden="1" outlineLevel="1" x14ac:dyDescent="0.45">
      <c r="B77" s="65">
        <v>0.45</v>
      </c>
      <c r="C77" s="65">
        <f t="shared" si="0"/>
        <v>0.55000000000000004</v>
      </c>
      <c r="D77" s="66" cm="1">
        <f t="array" aca="1" ref="D77" ca="1">IF(ISNUMBER(_xll.VoseSimPercentile(NPV_A,$B77)),_xll.VoseSimPercentile(NPV_A,$B77),NA())</f>
        <v>15.62620281155959</v>
      </c>
      <c r="E77" s="66" cm="1">
        <f t="array" aca="1" ref="E77" ca="1">IF(ISNUMBER(_xll.VoseSimPercentile(NPV_B,$B77)),_xll.VoseSimPercentile(NPV_B,$B77),NA())</f>
        <v>26.904219422005788</v>
      </c>
      <c r="F77" s="66" cm="1">
        <f t="array" aca="1" ref="F77" ca="1">IF(ISNUMBER(_xll.VoseSimPercentile(NPV_C,$B77)),_xll.VoseSimPercentile(NPV_C,$B77),NA())</f>
        <v>26.227644294467304</v>
      </c>
    </row>
    <row r="78" spans="2:6" hidden="1" outlineLevel="1" x14ac:dyDescent="0.45">
      <c r="B78" s="65">
        <v>0.47</v>
      </c>
      <c r="C78" s="65">
        <f t="shared" si="0"/>
        <v>0.53</v>
      </c>
      <c r="D78" s="66" cm="1">
        <f t="array" aca="1" ref="D78" ca="1">IF(ISNUMBER(_xll.VoseSimPercentile(NPV_A,$B78)),_xll.VoseSimPercentile(NPV_A,$B78),NA())</f>
        <v>19.379825454023035</v>
      </c>
      <c r="E78" s="66" cm="1">
        <f t="array" aca="1" ref="E78" ca="1">IF(ISNUMBER(_xll.VoseSimPercentile(NPV_B,$B78)),_xll.VoseSimPercentile(NPV_B,$B78),NA())</f>
        <v>27.350340973259453</v>
      </c>
      <c r="F78" s="66" cm="1">
        <f t="array" aca="1" ref="F78" ca="1">IF(ISNUMBER(_xll.VoseSimPercentile(NPV_C,$B78)),_xll.VoseSimPercentile(NPV_C,$B78),NA())</f>
        <v>26.829738326987236</v>
      </c>
    </row>
    <row r="79" spans="2:6" hidden="1" outlineLevel="1" x14ac:dyDescent="0.45">
      <c r="B79" s="65">
        <v>0.49</v>
      </c>
      <c r="C79" s="65">
        <f t="shared" si="0"/>
        <v>0.51</v>
      </c>
      <c r="D79" s="66" cm="1">
        <f t="array" aca="1" ref="D79" ca="1">IF(ISNUMBER(_xll.VoseSimPercentile(NPV_A,$B79)),_xll.VoseSimPercentile(NPV_A,$B79),NA())</f>
        <v>22.812527784103722</v>
      </c>
      <c r="E79" s="66" cm="1">
        <f t="array" aca="1" ref="E79" ca="1">IF(ISNUMBER(_xll.VoseSimPercentile(NPV_B,$B79)),_xll.VoseSimPercentile(NPV_B,$B79),NA())</f>
        <v>27.761692013589276</v>
      </c>
      <c r="F79" s="66" cm="1">
        <f t="array" aca="1" ref="F79" ca="1">IF(ISNUMBER(_xll.VoseSimPercentile(NPV_C,$B79)),_xll.VoseSimPercentile(NPV_C,$B79),NA())</f>
        <v>27.396220383873267</v>
      </c>
    </row>
    <row r="80" spans="2:6" hidden="1" outlineLevel="1" x14ac:dyDescent="0.45">
      <c r="B80" s="65">
        <v>0.51</v>
      </c>
      <c r="C80" s="65">
        <f t="shared" si="0"/>
        <v>0.49</v>
      </c>
      <c r="D80" s="66" cm="1">
        <f t="array" aca="1" ref="D80" ca="1">IF(ISNUMBER(_xll.VoseSimPercentile(NPV_A,$B80)),_xll.VoseSimPercentile(NPV_A,$B80),NA())</f>
        <v>26.226321088447161</v>
      </c>
      <c r="E80" s="66" cm="1">
        <f t="array" aca="1" ref="E80" ca="1">IF(ISNUMBER(_xll.VoseSimPercentile(NPV_B,$B80)),_xll.VoseSimPercentile(NPV_B,$B80),NA())</f>
        <v>28.143823576495652</v>
      </c>
      <c r="F80" s="66" cm="1">
        <f t="array" aca="1" ref="F80" ca="1">IF(ISNUMBER(_xll.VoseSimPercentile(NPV_C,$B80)),_xll.VoseSimPercentile(NPV_C,$B80),NA())</f>
        <v>27.908181254975521</v>
      </c>
    </row>
    <row r="81" spans="2:6" hidden="1" outlineLevel="1" x14ac:dyDescent="0.45">
      <c r="B81" s="65">
        <v>0.53</v>
      </c>
      <c r="C81" s="65">
        <f t="shared" si="0"/>
        <v>0.47</v>
      </c>
      <c r="D81" s="66" cm="1">
        <f t="array" aca="1" ref="D81" ca="1">IF(ISNUMBER(_xll.VoseSimPercentile(NPV_A,$B81)),_xll.VoseSimPercentile(NPV_A,$B81),NA())</f>
        <v>29.154392375766758</v>
      </c>
      <c r="E81" s="66" cm="1">
        <f t="array" aca="1" ref="E81" ca="1">IF(ISNUMBER(_xll.VoseSimPercentile(NPV_B,$B81)),_xll.VoseSimPercentile(NPV_B,$B81),NA())</f>
        <v>28.429550115067105</v>
      </c>
      <c r="F81" s="66" cm="1">
        <f t="array" aca="1" ref="F81" ca="1">IF(ISNUMBER(_xll.VoseSimPercentile(NPV_C,$B81)),_xll.VoseSimPercentile(NPV_C,$B81),NA())</f>
        <v>28.378484631759072</v>
      </c>
    </row>
    <row r="82" spans="2:6" hidden="1" outlineLevel="1" x14ac:dyDescent="0.45">
      <c r="B82" s="65">
        <v>0.55000000000000004</v>
      </c>
      <c r="C82" s="65">
        <f t="shared" si="0"/>
        <v>0.44999999999999996</v>
      </c>
      <c r="D82" s="66" cm="1">
        <f t="array" aca="1" ref="D82" ca="1">IF(ISNUMBER(_xll.VoseSimPercentile(NPV_A,$B82)),_xll.VoseSimPercentile(NPV_A,$B82),NA())</f>
        <v>32.371797790100118</v>
      </c>
      <c r="E82" s="66" cm="1">
        <f t="array" aca="1" ref="E82" ca="1">IF(ISNUMBER(_xll.VoseSimPercentile(NPV_B,$B82)),_xll.VoseSimPercentile(NPV_B,$B82),NA())</f>
        <v>28.429550115067105</v>
      </c>
      <c r="F82" s="66" cm="1">
        <f t="array" aca="1" ref="F82" ca="1">IF(ISNUMBER(_xll.VoseSimPercentile(NPV_C,$B82)),_xll.VoseSimPercentile(NPV_C,$B82),NA())</f>
        <v>28.429550115067105</v>
      </c>
    </row>
    <row r="83" spans="2:6" hidden="1" outlineLevel="1" x14ac:dyDescent="0.45">
      <c r="B83" s="65">
        <v>0.56999999999999995</v>
      </c>
      <c r="C83" s="65">
        <f t="shared" si="0"/>
        <v>0.43000000000000005</v>
      </c>
      <c r="D83" s="66" cm="1">
        <f t="array" aca="1" ref="D83" ca="1">IF(ISNUMBER(_xll.VoseSimPercentile(NPV_A,$B83)),_xll.VoseSimPercentile(NPV_A,$B83),NA())</f>
        <v>35.480375669486975</v>
      </c>
      <c r="E83" s="66" cm="1">
        <f t="array" aca="1" ref="E83" ca="1">IF(ISNUMBER(_xll.VoseSimPercentile(NPV_B,$B83)),_xll.VoseSimPercentile(NPV_B,$B83),NA())</f>
        <v>28.429550115067105</v>
      </c>
      <c r="F83" s="66" cm="1">
        <f t="array" aca="1" ref="F83" ca="1">IF(ISNUMBER(_xll.VoseSimPercentile(NPV_C,$B83)),_xll.VoseSimPercentile(NPV_C,$B83),NA())</f>
        <v>28.429550115067105</v>
      </c>
    </row>
    <row r="84" spans="2:6" hidden="1" outlineLevel="1" x14ac:dyDescent="0.45">
      <c r="B84" s="65">
        <v>0.59</v>
      </c>
      <c r="C84" s="65">
        <f t="shared" si="0"/>
        <v>0.41000000000000003</v>
      </c>
      <c r="D84" s="66" cm="1">
        <f t="array" aca="1" ref="D84" ca="1">IF(ISNUMBER(_xll.VoseSimPercentile(NPV_A,$B84)),_xll.VoseSimPercentile(NPV_A,$B84),NA())</f>
        <v>38.526025413231388</v>
      </c>
      <c r="E84" s="66" cm="1">
        <f t="array" aca="1" ref="E84" ca="1">IF(ISNUMBER(_xll.VoseSimPercentile(NPV_B,$B84)),_xll.VoseSimPercentile(NPV_B,$B84),NA())</f>
        <v>28.429550115067105</v>
      </c>
      <c r="F84" s="66" cm="1">
        <f t="array" aca="1" ref="F84" ca="1">IF(ISNUMBER(_xll.VoseSimPercentile(NPV_C,$B84)),_xll.VoseSimPercentile(NPV_C,$B84),NA())</f>
        <v>28.429550115067105</v>
      </c>
    </row>
    <row r="85" spans="2:6" hidden="1" outlineLevel="1" x14ac:dyDescent="0.45">
      <c r="B85" s="65">
        <v>0.61</v>
      </c>
      <c r="C85" s="65">
        <f t="shared" si="0"/>
        <v>0.39</v>
      </c>
      <c r="D85" s="66" cm="1">
        <f t="array" aca="1" ref="D85" ca="1">IF(ISNUMBER(_xll.VoseSimPercentile(NPV_A,$B85)),_xll.VoseSimPercentile(NPV_A,$B85),NA())</f>
        <v>41.655079592384539</v>
      </c>
      <c r="E85" s="66" cm="1">
        <f t="array" aca="1" ref="E85" ca="1">IF(ISNUMBER(_xll.VoseSimPercentile(NPV_B,$B85)),_xll.VoseSimPercentile(NPV_B,$B85),NA())</f>
        <v>28.429550115067105</v>
      </c>
      <c r="F85" s="66" cm="1">
        <f t="array" aca="1" ref="F85" ca="1">IF(ISNUMBER(_xll.VoseSimPercentile(NPV_C,$B85)),_xll.VoseSimPercentile(NPV_C,$B85),NA())</f>
        <v>28.429550115067105</v>
      </c>
    </row>
    <row r="86" spans="2:6" hidden="1" outlineLevel="1" x14ac:dyDescent="0.45">
      <c r="B86" s="65">
        <v>0.63</v>
      </c>
      <c r="C86" s="65">
        <f t="shared" si="0"/>
        <v>0.37</v>
      </c>
      <c r="D86" s="66" cm="1">
        <f t="array" aca="1" ref="D86" ca="1">IF(ISNUMBER(_xll.VoseSimPercentile(NPV_A,$B86)),_xll.VoseSimPercentile(NPV_A,$B86),NA())</f>
        <v>44.824787978720103</v>
      </c>
      <c r="E86" s="66" cm="1">
        <f t="array" aca="1" ref="E86" ca="1">IF(ISNUMBER(_xll.VoseSimPercentile(NPV_B,$B86)),_xll.VoseSimPercentile(NPV_B,$B86),NA())</f>
        <v>28.429550115067105</v>
      </c>
      <c r="F86" s="66" cm="1">
        <f t="array" aca="1" ref="F86" ca="1">IF(ISNUMBER(_xll.VoseSimPercentile(NPV_C,$B86)),_xll.VoseSimPercentile(NPV_C,$B86),NA())</f>
        <v>28.429550115067105</v>
      </c>
    </row>
    <row r="87" spans="2:6" hidden="1" outlineLevel="1" x14ac:dyDescent="0.45">
      <c r="B87" s="65">
        <v>0.65</v>
      </c>
      <c r="C87" s="65">
        <f t="shared" ref="C87:C118" si="1">1-B87</f>
        <v>0.35</v>
      </c>
      <c r="D87" s="66" cm="1">
        <f t="array" aca="1" ref="D87" ca="1">IF(ISNUMBER(_xll.VoseSimPercentile(NPV_A,$B87)),_xll.VoseSimPercentile(NPV_A,$B87),NA())</f>
        <v>47.762211642238555</v>
      </c>
      <c r="E87" s="66" cm="1">
        <f t="array" aca="1" ref="E87" ca="1">IF(ISNUMBER(_xll.VoseSimPercentile(NPV_B,$B87)),_xll.VoseSimPercentile(NPV_B,$B87),NA())</f>
        <v>28.429550115067105</v>
      </c>
      <c r="F87" s="66" cm="1">
        <f t="array" aca="1" ref="F87" ca="1">IF(ISNUMBER(_xll.VoseSimPercentile(NPV_C,$B87)),_xll.VoseSimPercentile(NPV_C,$B87),NA())</f>
        <v>28.429550115067105</v>
      </c>
    </row>
    <row r="88" spans="2:6" hidden="1" outlineLevel="1" x14ac:dyDescent="0.45">
      <c r="B88" s="65">
        <v>0.67</v>
      </c>
      <c r="C88" s="65">
        <f t="shared" si="1"/>
        <v>0.32999999999999996</v>
      </c>
      <c r="D88" s="66" cm="1">
        <f t="array" aca="1" ref="D88" ca="1">IF(ISNUMBER(_xll.VoseSimPercentile(NPV_A,$B88)),_xll.VoseSimPercentile(NPV_A,$B88),NA())</f>
        <v>50.652639392160509</v>
      </c>
      <c r="E88" s="66" cm="1">
        <f t="array" aca="1" ref="E88" ca="1">IF(ISNUMBER(_xll.VoseSimPercentile(NPV_B,$B88)),_xll.VoseSimPercentile(NPV_B,$B88),NA())</f>
        <v>28.429550115067105</v>
      </c>
      <c r="F88" s="66" cm="1">
        <f t="array" aca="1" ref="F88" ca="1">IF(ISNUMBER(_xll.VoseSimPercentile(NPV_C,$B88)),_xll.VoseSimPercentile(NPV_C,$B88),NA())</f>
        <v>28.429550115067105</v>
      </c>
    </row>
    <row r="89" spans="2:6" hidden="1" outlineLevel="1" x14ac:dyDescent="0.45">
      <c r="B89" s="65">
        <v>0.69</v>
      </c>
      <c r="C89" s="65">
        <f t="shared" si="1"/>
        <v>0.31000000000000005</v>
      </c>
      <c r="D89" s="66" cm="1">
        <f t="array" aca="1" ref="D89" ca="1">IF(ISNUMBER(_xll.VoseSimPercentile(NPV_A,$B89)),_xll.VoseSimPercentile(NPV_A,$B89),NA())</f>
        <v>53.17023693379992</v>
      </c>
      <c r="E89" s="66" cm="1">
        <f t="array" aca="1" ref="E89" ca="1">IF(ISNUMBER(_xll.VoseSimPercentile(NPV_B,$B89)),_xll.VoseSimPercentile(NPV_B,$B89),NA())</f>
        <v>28.429550115067105</v>
      </c>
      <c r="F89" s="66" cm="1">
        <f t="array" aca="1" ref="F89" ca="1">IF(ISNUMBER(_xll.VoseSimPercentile(NPV_C,$B89)),_xll.VoseSimPercentile(NPV_C,$B89),NA())</f>
        <v>28.429550115067105</v>
      </c>
    </row>
    <row r="90" spans="2:6" hidden="1" outlineLevel="1" x14ac:dyDescent="0.45">
      <c r="B90" s="65">
        <v>0.71</v>
      </c>
      <c r="C90" s="65">
        <f t="shared" si="1"/>
        <v>0.29000000000000004</v>
      </c>
      <c r="D90" s="66" cm="1">
        <f t="array" aca="1" ref="D90" ca="1">IF(ISNUMBER(_xll.VoseSimPercentile(NPV_A,$B90)),_xll.VoseSimPercentile(NPV_A,$B90),NA())</f>
        <v>55.639663018740464</v>
      </c>
      <c r="E90" s="66" cm="1">
        <f t="array" aca="1" ref="E90" ca="1">IF(ISNUMBER(_xll.VoseSimPercentile(NPV_B,$B90)),_xll.VoseSimPercentile(NPV_B,$B90),NA())</f>
        <v>28.429550115067105</v>
      </c>
      <c r="F90" s="66" cm="1">
        <f t="array" aca="1" ref="F90" ca="1">IF(ISNUMBER(_xll.VoseSimPercentile(NPV_C,$B90)),_xll.VoseSimPercentile(NPV_C,$B90),NA())</f>
        <v>28.429550115067105</v>
      </c>
    </row>
    <row r="91" spans="2:6" hidden="1" outlineLevel="1" x14ac:dyDescent="0.45">
      <c r="B91" s="65">
        <v>0.73</v>
      </c>
      <c r="C91" s="65">
        <f t="shared" si="1"/>
        <v>0.27</v>
      </c>
      <c r="D91" s="66" cm="1">
        <f t="array" aca="1" ref="D91" ca="1">IF(ISNUMBER(_xll.VoseSimPercentile(NPV_A,$B91)),_xll.VoseSimPercentile(NPV_A,$B91),NA())</f>
        <v>58.053337440827129</v>
      </c>
      <c r="E91" s="66" cm="1">
        <f t="array" aca="1" ref="E91" ca="1">IF(ISNUMBER(_xll.VoseSimPercentile(NPV_B,$B91)),_xll.VoseSimPercentile(NPV_B,$B91),NA())</f>
        <v>28.429550115067105</v>
      </c>
      <c r="F91" s="66" cm="1">
        <f t="array" aca="1" ref="F91" ca="1">IF(ISNUMBER(_xll.VoseSimPercentile(NPV_C,$B91)),_xll.VoseSimPercentile(NPV_C,$B91),NA())</f>
        <v>28.429550115067105</v>
      </c>
    </row>
    <row r="92" spans="2:6" hidden="1" outlineLevel="1" x14ac:dyDescent="0.45">
      <c r="B92" s="65">
        <v>0.75</v>
      </c>
      <c r="C92" s="65">
        <f t="shared" si="1"/>
        <v>0.25</v>
      </c>
      <c r="D92" s="66" cm="1">
        <f t="array" aca="1" ref="D92" ca="1">IF(ISNUMBER(_xll.VoseSimPercentile(NPV_A,$B92)),_xll.VoseSimPercentile(NPV_A,$B92),NA())</f>
        <v>60.470584528100041</v>
      </c>
      <c r="E92" s="66" cm="1">
        <f t="array" aca="1" ref="E92" ca="1">IF(ISNUMBER(_xll.VoseSimPercentile(NPV_B,$B92)),_xll.VoseSimPercentile(NPV_B,$B92),NA())</f>
        <v>28.429550115067105</v>
      </c>
      <c r="F92" s="66" cm="1">
        <f t="array" aca="1" ref="F92" ca="1">IF(ISNUMBER(_xll.VoseSimPercentile(NPV_C,$B92)),_xll.VoseSimPercentile(NPV_C,$B92),NA())</f>
        <v>28.429550115067105</v>
      </c>
    </row>
    <row r="93" spans="2:6" hidden="1" outlineLevel="1" x14ac:dyDescent="0.45">
      <c r="B93" s="65">
        <v>0.77</v>
      </c>
      <c r="C93" s="65">
        <f t="shared" si="1"/>
        <v>0.22999999999999998</v>
      </c>
      <c r="D93" s="66" cm="1">
        <f t="array" aca="1" ref="D93" ca="1">IF(ISNUMBER(_xll.VoseSimPercentile(NPV_A,$B93)),_xll.VoseSimPercentile(NPV_A,$B93),NA())</f>
        <v>62.851918057844458</v>
      </c>
      <c r="E93" s="66" cm="1">
        <f t="array" aca="1" ref="E93" ca="1">IF(ISNUMBER(_xll.VoseSimPercentile(NPV_B,$B93)),_xll.VoseSimPercentile(NPV_B,$B93),NA())</f>
        <v>28.429550115067105</v>
      </c>
      <c r="F93" s="66" cm="1">
        <f t="array" aca="1" ref="F93" ca="1">IF(ISNUMBER(_xll.VoseSimPercentile(NPV_C,$B93)),_xll.VoseSimPercentile(NPV_C,$B93),NA())</f>
        <v>32.283606031006116</v>
      </c>
    </row>
    <row r="94" spans="2:6" hidden="1" outlineLevel="1" x14ac:dyDescent="0.45">
      <c r="B94" s="65">
        <v>0.79</v>
      </c>
      <c r="C94" s="65">
        <f t="shared" si="1"/>
        <v>0.20999999999999996</v>
      </c>
      <c r="D94" s="66" cm="1">
        <f t="array" aca="1" ref="D94" ca="1">IF(ISNUMBER(_xll.VoseSimPercentile(NPV_A,$B94)),_xll.VoseSimPercentile(NPV_A,$B94),NA())</f>
        <v>64.759105633537729</v>
      </c>
      <c r="E94" s="66" cm="1">
        <f t="array" aca="1" ref="E94" ca="1">IF(ISNUMBER(_xll.VoseSimPercentile(NPV_B,$B94)),_xll.VoseSimPercentile(NPV_B,$B94),NA())</f>
        <v>28.429550115067105</v>
      </c>
      <c r="F94" s="66" cm="1">
        <f t="array" aca="1" ref="F94" ca="1">IF(ISNUMBER(_xll.VoseSimPercentile(NPV_C,$B94)),_xll.VoseSimPercentile(NPV_C,$B94),NA())</f>
        <v>39.826047425254295</v>
      </c>
    </row>
    <row r="95" spans="2:6" hidden="1" outlineLevel="1" x14ac:dyDescent="0.45">
      <c r="B95" s="65">
        <v>0.81</v>
      </c>
      <c r="C95" s="65">
        <f t="shared" si="1"/>
        <v>0.18999999999999995</v>
      </c>
      <c r="D95" s="66" cm="1">
        <f t="array" aca="1" ref="D95" ca="1">IF(ISNUMBER(_xll.VoseSimPercentile(NPV_A,$B95)),_xll.VoseSimPercentile(NPV_A,$B95),NA())</f>
        <v>66.88870891074265</v>
      </c>
      <c r="E95" s="66" cm="1">
        <f t="array" aca="1" ref="E95" ca="1">IF(ISNUMBER(_xll.VoseSimPercentile(NPV_B,$B95)),_xll.VoseSimPercentile(NPV_B,$B95),NA())</f>
        <v>28.429550115067105</v>
      </c>
      <c r="F95" s="66" cm="1">
        <f t="array" aca="1" ref="F95" ca="1">IF(ISNUMBER(_xll.VoseSimPercentile(NPV_C,$B95)),_xll.VoseSimPercentile(NPV_C,$B95),NA())</f>
        <v>45.634438534706149</v>
      </c>
    </row>
    <row r="96" spans="2:6" hidden="1" outlineLevel="1" x14ac:dyDescent="0.45">
      <c r="B96" s="65">
        <v>0.83</v>
      </c>
      <c r="C96" s="65">
        <f t="shared" si="1"/>
        <v>0.17000000000000004</v>
      </c>
      <c r="D96" s="66" cm="1">
        <f t="array" aca="1" ref="D96" ca="1">IF(ISNUMBER(_xll.VoseSimPercentile(NPV_A,$B96)),_xll.VoseSimPercentile(NPV_A,$B96),NA())</f>
        <v>68.804596558327702</v>
      </c>
      <c r="E96" s="66" cm="1">
        <f t="array" aca="1" ref="E96" ca="1">IF(ISNUMBER(_xll.VoseSimPercentile(NPV_B,$B96)),_xll.VoseSimPercentile(NPV_B,$B96),NA())</f>
        <v>28.429550115067105</v>
      </c>
      <c r="F96" s="66" cm="1">
        <f t="array" aca="1" ref="F96" ca="1">IF(ISNUMBER(_xll.VoseSimPercentile(NPV_C,$B96)),_xll.VoseSimPercentile(NPV_C,$B96),NA())</f>
        <v>50.535542048238796</v>
      </c>
    </row>
    <row r="97" spans="2:8" hidden="1" outlineLevel="1" x14ac:dyDescent="0.45">
      <c r="B97" s="65">
        <v>0.85</v>
      </c>
      <c r="C97" s="65">
        <f t="shared" si="1"/>
        <v>0.15000000000000002</v>
      </c>
      <c r="D97" s="66" cm="1">
        <f t="array" aca="1" ref="D97" ca="1">IF(ISNUMBER(_xll.VoseSimPercentile(NPV_A,$B97)),_xll.VoseSimPercentile(NPV_A,$B97),NA())</f>
        <v>70.507548539790378</v>
      </c>
      <c r="E97" s="66" cm="1">
        <f t="array" aca="1" ref="E97" ca="1">IF(ISNUMBER(_xll.VoseSimPercentile(NPV_B,$B97)),_xll.VoseSimPercentile(NPV_B,$B97),NA())</f>
        <v>28.429550115067105</v>
      </c>
      <c r="F97" s="66" cm="1">
        <f t="array" aca="1" ref="F97" ca="1">IF(ISNUMBER(_xll.VoseSimPercentile(NPV_C,$B97)),_xll.VoseSimPercentile(NPV_C,$B97),NA())</f>
        <v>53.580028587746526</v>
      </c>
    </row>
    <row r="98" spans="2:8" hidden="1" outlineLevel="1" x14ac:dyDescent="0.45">
      <c r="B98" s="65">
        <v>0.87</v>
      </c>
      <c r="C98" s="65">
        <f t="shared" si="1"/>
        <v>0.13</v>
      </c>
      <c r="D98" s="66" cm="1">
        <f t="array" aca="1" ref="D98" ca="1">IF(ISNUMBER(_xll.VoseSimPercentile(NPV_A,$B98)),_xll.VoseSimPercentile(NPV_A,$B98),NA())</f>
        <v>72.070298881914056</v>
      </c>
      <c r="E98" s="66" cm="1">
        <f t="array" aca="1" ref="E98" ca="1">IF(ISNUMBER(_xll.VoseSimPercentile(NPV_B,$B98)),_xll.VoseSimPercentile(NPV_B,$B98),NA())</f>
        <v>28.429550115067105</v>
      </c>
      <c r="F98" s="66" cm="1">
        <f t="array" aca="1" ref="F98" ca="1">IF(ISNUMBER(_xll.VoseSimPercentile(NPV_C,$B98)),_xll.VoseSimPercentile(NPV_C,$B98),NA())</f>
        <v>56.033350360496335</v>
      </c>
    </row>
    <row r="99" spans="2:8" hidden="1" outlineLevel="1" x14ac:dyDescent="0.45">
      <c r="B99" s="65">
        <v>0.89</v>
      </c>
      <c r="C99" s="65">
        <f t="shared" si="1"/>
        <v>0.10999999999999999</v>
      </c>
      <c r="D99" s="66" cm="1">
        <f t="array" aca="1" ref="D99" ca="1">IF(ISNUMBER(_xll.VoseSimPercentile(NPV_A,$B99)),_xll.VoseSimPercentile(NPV_A,$B99),NA())</f>
        <v>73.544287582849648</v>
      </c>
      <c r="E99" s="66" cm="1">
        <f t="array" aca="1" ref="E99" ca="1">IF(ISNUMBER(_xll.VoseSimPercentile(NPV_B,$B99)),_xll.VoseSimPercentile(NPV_B,$B99),NA())</f>
        <v>28.429550115067105</v>
      </c>
      <c r="F99" s="66" cm="1">
        <f t="array" aca="1" ref="F99" ca="1">IF(ISNUMBER(_xll.VoseSimPercentile(NPV_C,$B99)),_xll.VoseSimPercentile(NPV_C,$B99),NA())</f>
        <v>58.103315610639193</v>
      </c>
    </row>
    <row r="100" spans="2:8" hidden="1" outlineLevel="1" x14ac:dyDescent="0.45">
      <c r="B100" s="65">
        <v>0.91</v>
      </c>
      <c r="C100" s="65">
        <f t="shared" si="1"/>
        <v>8.9999999999999969E-2</v>
      </c>
      <c r="D100" s="66" cm="1">
        <f t="array" aca="1" ref="D100" ca="1">IF(ISNUMBER(_xll.VoseSimPercentile(NPV_A,$B100)),_xll.VoseSimPercentile(NPV_A,$B100),NA())</f>
        <v>75.084588909839766</v>
      </c>
      <c r="E100" s="66" cm="1">
        <f t="array" aca="1" ref="E100" ca="1">IF(ISNUMBER(_xll.VoseSimPercentile(NPV_B,$B100)),_xll.VoseSimPercentile(NPV_B,$B100),NA())</f>
        <v>28.429550115067105</v>
      </c>
      <c r="F100" s="66" cm="1">
        <f t="array" aca="1" ref="F100" ca="1">IF(ISNUMBER(_xll.VoseSimPercentile(NPV_C,$B100)),_xll.VoseSimPercentile(NPV_C,$B100),NA())</f>
        <v>58.103315610639193</v>
      </c>
    </row>
    <row r="101" spans="2:8" hidden="1" outlineLevel="1" x14ac:dyDescent="0.45">
      <c r="B101" s="65">
        <v>0.93</v>
      </c>
      <c r="C101" s="65">
        <f t="shared" si="1"/>
        <v>6.9999999999999951E-2</v>
      </c>
      <c r="D101" s="66" cm="1">
        <f t="array" aca="1" ref="D101" ca="1">IF(ISNUMBER(_xll.VoseSimPercentile(NPV_A,$B101)),_xll.VoseSimPercentile(NPV_A,$B101),NA())</f>
        <v>76.577384088394211</v>
      </c>
      <c r="E101" s="66" cm="1">
        <f t="array" aca="1" ref="E101" ca="1">IF(ISNUMBER(_xll.VoseSimPercentile(NPV_B,$B101)),_xll.VoseSimPercentile(NPV_B,$B101),NA())</f>
        <v>28.429550115067105</v>
      </c>
      <c r="F101" s="66" cm="1">
        <f t="array" aca="1" ref="F101" ca="1">IF(ISNUMBER(_xll.VoseSimPercentile(NPV_C,$B101)),_xll.VoseSimPercentile(NPV_C,$B101),NA())</f>
        <v>58.103315610639193</v>
      </c>
    </row>
    <row r="102" spans="2:8" hidden="1" outlineLevel="1" x14ac:dyDescent="0.45">
      <c r="B102" s="65">
        <v>0.95</v>
      </c>
      <c r="C102" s="65">
        <f t="shared" si="1"/>
        <v>5.0000000000000044E-2</v>
      </c>
      <c r="D102" s="66" cm="1">
        <f t="array" aca="1" ref="D102" ca="1">IF(ISNUMBER(_xll.VoseSimPercentile(NPV_A,$B102)),_xll.VoseSimPercentile(NPV_A,$B102),NA())</f>
        <v>76.859100230134203</v>
      </c>
      <c r="E102" s="66" cm="1">
        <f t="array" aca="1" ref="E102" ca="1">IF(ISNUMBER(_xll.VoseSimPercentile(NPV_B,$B102)),_xll.VoseSimPercentile(NPV_B,$B102),NA())</f>
        <v>28.429550115067105</v>
      </c>
      <c r="F102" s="66" cm="1">
        <f t="array" aca="1" ref="F102" ca="1">IF(ISNUMBER(_xll.VoseSimPercentile(NPV_C,$B102)),_xll.VoseSimPercentile(NPV_C,$B102),NA())</f>
        <v>58.103315610639193</v>
      </c>
    </row>
    <row r="103" spans="2:8" hidden="1" outlineLevel="1" x14ac:dyDescent="0.45">
      <c r="B103" s="65">
        <v>0.97</v>
      </c>
      <c r="C103" s="65">
        <f t="shared" si="1"/>
        <v>3.0000000000000027E-2</v>
      </c>
      <c r="D103" s="66" cm="1">
        <f t="array" aca="1" ref="D103" ca="1">IF(ISNUMBER(_xll.VoseSimPercentile(NPV_A,$B103)),_xll.VoseSimPercentile(NPV_A,$B103),NA())</f>
        <v>76.859100230134203</v>
      </c>
      <c r="E103" s="66" cm="1">
        <f t="array" aca="1" ref="E103" ca="1">IF(ISNUMBER(_xll.VoseSimPercentile(NPV_B,$B103)),_xll.VoseSimPercentile(NPV_B,$B103),NA())</f>
        <v>28.429550115067105</v>
      </c>
      <c r="F103" s="66" cm="1">
        <f t="array" aca="1" ref="F103" ca="1">IF(ISNUMBER(_xll.VoseSimPercentile(NPV_C,$B103)),_xll.VoseSimPercentile(NPV_C,$B103),NA())</f>
        <v>58.103315610639193</v>
      </c>
    </row>
    <row r="104" spans="2:8" hidden="1" outlineLevel="1" x14ac:dyDescent="0.45">
      <c r="B104" s="65">
        <v>0.99</v>
      </c>
      <c r="C104" s="65">
        <f t="shared" si="1"/>
        <v>1.0000000000000009E-2</v>
      </c>
      <c r="D104" s="66" cm="1">
        <f t="array" aca="1" ref="D104" ca="1">IF(ISNUMBER(_xll.VoseSimPercentile(NPV_A,$B104)),_xll.VoseSimPercentile(NPV_A,$B104),NA())</f>
        <v>76.859100230134203</v>
      </c>
      <c r="E104" s="66" cm="1">
        <f t="array" aca="1" ref="E104" ca="1">IF(ISNUMBER(_xll.VoseSimPercentile(NPV_B,$B104)),_xll.VoseSimPercentile(NPV_B,$B104),NA())</f>
        <v>28.429550115067105</v>
      </c>
      <c r="F104" s="66" cm="1">
        <f t="array" aca="1" ref="F104" ca="1">IF(ISNUMBER(_xll.VoseSimPercentile(NPV_C,$B104)),_xll.VoseSimPercentile(NPV_C,$B104),NA())</f>
        <v>58.103315610639193</v>
      </c>
    </row>
    <row r="105" spans="2:8" hidden="1" outlineLevel="1" x14ac:dyDescent="0.45"/>
    <row r="106" spans="2:8" ht="28.05" hidden="1" customHeight="1" outlineLevel="1" x14ac:dyDescent="0.45">
      <c r="B106" s="23" t="s">
        <v>252</v>
      </c>
      <c r="C106" s="24" t="s">
        <v>253</v>
      </c>
      <c r="D106" s="24" t="s">
        <v>254</v>
      </c>
      <c r="E106" s="24" t="s">
        <v>255</v>
      </c>
      <c r="F106" s="24" t="s">
        <v>217</v>
      </c>
      <c r="G106" s="24" t="s">
        <v>256</v>
      </c>
      <c r="H106" s="24" t="s">
        <v>257</v>
      </c>
    </row>
    <row r="107" spans="2:8" hidden="1" outlineLevel="1" x14ac:dyDescent="0.45">
      <c r="B107" s="67">
        <f>'Стратегии'!G6</f>
        <v>1</v>
      </c>
      <c r="C107" s="66" cm="1">
        <f t="array" aca="1" ref="C107" ca="1">IF(ISNUMBER(_xll.VoseSimPercentile('Стратегии'!G17,0.1)),_xll.VoseSimPercentile('Стратегии'!G17,0.1),NA())</f>
        <v>67.062442042855508</v>
      </c>
      <c r="D107" s="66" cm="1">
        <f t="array" aca="1" ref="D107" ca="1">IF(ISNUMBER(_xll.VoseSimPercentile('Стратегии'!G17,0.5)),_xll.VoseSimPercentile('Стратегии'!G17,0.5),NA())</f>
        <v>98.081885718678791</v>
      </c>
      <c r="E107" s="66" cm="1">
        <f t="array" aca="1" ref="E107" ca="1">IF(ISNUMBER(_xll.VoseSimPercentile('Стратегии'!G17,0.9)),_xll.VoseSimPercentile('Стратегии'!G17,0.9),NA())</f>
        <v>144.64945109948076</v>
      </c>
      <c r="F107" s="66" cm="1">
        <f t="array" aca="1" ref="F107" ca="1">IF(ISNUMBER(_xll.VoseSimMean('Стратегии'!G17)),_xll.VoseSimMean('Стратегии'!G17),NA())</f>
        <v>102.9130080606286</v>
      </c>
      <c r="G107" s="66">
        <f t="shared" ref="G107:G116" si="2">ExpandAt</f>
        <v>120</v>
      </c>
      <c r="H107" s="66">
        <f t="shared" ref="H107:H116" si="3">AbandonAt</f>
        <v>40</v>
      </c>
    </row>
    <row r="108" spans="2:8" hidden="1" outlineLevel="1" x14ac:dyDescent="0.45">
      <c r="B108" s="67">
        <f>'Стратегии'!H6</f>
        <v>2</v>
      </c>
      <c r="C108" s="66" cm="1">
        <f t="array" aca="1" ref="C108" ca="1">IF(ISNUMBER(_xll.VoseSimPercentile('Стратегии'!H17,0.1)),_xll.VoseSimPercentile('Стратегии'!H17,0.1),NA())</f>
        <v>56.686718465416277</v>
      </c>
      <c r="D108" s="66" cm="1">
        <f t="array" aca="1" ref="D108" ca="1">IF(ISNUMBER(_xll.VoseSimPercentile('Стратегии'!H17,0.5)),_xll.VoseSimPercentile('Стратегии'!H17,0.5),NA())</f>
        <v>96.917779179091426</v>
      </c>
      <c r="E108" s="66" cm="1">
        <f t="array" aca="1" ref="E108" ca="1">IF(ISNUMBER(_xll.VoseSimPercentile('Стратегии'!H17,0.9)),_xll.VoseSimPercentile('Стратегии'!H17,0.9),NA())</f>
        <v>167.97402577857309</v>
      </c>
      <c r="F108" s="66" cm="1">
        <f t="array" aca="1" ref="F108" ca="1">IF(ISNUMBER(_xll.VoseSimMean('Стратегии'!H17)),_xll.VoseSimMean('Стратегии'!H17),NA())</f>
        <v>106.70853514576251</v>
      </c>
      <c r="G108" s="66">
        <f t="shared" si="2"/>
        <v>120</v>
      </c>
      <c r="H108" s="66">
        <f t="shared" si="3"/>
        <v>40</v>
      </c>
    </row>
    <row r="109" spans="2:8" hidden="1" outlineLevel="1" x14ac:dyDescent="0.45">
      <c r="B109" s="67">
        <f>'Стратегии'!I6</f>
        <v>3</v>
      </c>
      <c r="C109" s="66" cm="1">
        <f t="array" aca="1" ref="C109" ca="1">IF(ISNUMBER(_xll.VoseSimPercentile('Стратегии'!I17,0.1)),_xll.VoseSimPercentile('Стратегии'!I17,0.1),NA())</f>
        <v>49.133618885970854</v>
      </c>
      <c r="D109" s="66" cm="1">
        <f t="array" aca="1" ref="D109" ca="1">IF(ISNUMBER(_xll.VoseSimPercentile('Стратегии'!I17,0.5)),_xll.VoseSimPercentile('Стратегии'!I17,0.5),NA())</f>
        <v>95.558978234768105</v>
      </c>
      <c r="E109" s="66" cm="1">
        <f t="array" aca="1" ref="E109" ca="1">IF(ISNUMBER(_xll.VoseSimPercentile('Стратегии'!I17,0.9)),_xll.VoseSimPercentile('Стратегии'!I17,0.9),NA())</f>
        <v>188.47664597066742</v>
      </c>
      <c r="F109" s="66" cm="1">
        <f t="array" aca="1" ref="F109" ca="1">IF(ISNUMBER(_xll.VoseSimMean('Стратегии'!I17)),_xll.VoseSimMean('Стратегии'!I17),NA())</f>
        <v>110.32819911880657</v>
      </c>
      <c r="G109" s="66">
        <f t="shared" si="2"/>
        <v>120</v>
      </c>
      <c r="H109" s="66">
        <f t="shared" si="3"/>
        <v>40</v>
      </c>
    </row>
    <row r="110" spans="2:8" hidden="1" outlineLevel="1" x14ac:dyDescent="0.45">
      <c r="B110" s="67">
        <f>'Стратегии'!J6</f>
        <v>4</v>
      </c>
      <c r="C110" s="66" cm="1">
        <f t="array" aca="1" ref="C110" ca="1">IF(ISNUMBER(_xll.VoseSimPercentile('Стратегии'!J17,0.1)),_xll.VoseSimPercentile('Стратегии'!J17,0.1),NA())</f>
        <v>43.625187346625516</v>
      </c>
      <c r="D110" s="66" cm="1">
        <f t="array" aca="1" ref="D110" ca="1">IF(ISNUMBER(_xll.VoseSimPercentile('Стратегии'!J17,0.5)),_xll.VoseSimPercentile('Стратегии'!J17,0.5),NA())</f>
        <v>94.621343961708263</v>
      </c>
      <c r="E110" s="66" cm="1">
        <f t="array" aca="1" ref="E110" ca="1">IF(ISNUMBER(_xll.VoseSimPercentile('Стратегии'!J17,0.9)),_xll.VoseSimPercentile('Стратегии'!J17,0.9),NA())</f>
        <v>204.05343604122538</v>
      </c>
      <c r="F110" s="66" cm="1">
        <f t="array" aca="1" ref="F110" ca="1">IF(ISNUMBER(_xll.VoseSimMean('Стратегии'!J17)),_xll.VoseSimMean('Стратегии'!J17),NA())</f>
        <v>113.06480710826887</v>
      </c>
      <c r="G110" s="66">
        <f t="shared" si="2"/>
        <v>120</v>
      </c>
      <c r="H110" s="66">
        <f t="shared" si="3"/>
        <v>40</v>
      </c>
    </row>
    <row r="111" spans="2:8" hidden="1" outlineLevel="1" x14ac:dyDescent="0.45">
      <c r="B111" s="67">
        <f>'Стратегии'!K6</f>
        <v>5</v>
      </c>
      <c r="C111" s="66" cm="1">
        <f t="array" aca="1" ref="C111" ca="1">IF(ISNUMBER(_xll.VoseSimPercentile('Стратегии'!K17,0.1)),_xll.VoseSimPercentile('Стратегии'!K17,0.1),NA())</f>
        <v>38.882204586347264</v>
      </c>
      <c r="D111" s="66" cm="1">
        <f t="array" aca="1" ref="D111" ca="1">IF(ISNUMBER(_xll.VoseSimPercentile('Стратегии'!K17,0.5)),_xll.VoseSimPercentile('Стратегии'!K17,0.5),NA())</f>
        <v>93.677590998580158</v>
      </c>
      <c r="E111" s="66" cm="1">
        <f t="array" aca="1" ref="E111" ca="1">IF(ISNUMBER(_xll.VoseSimPercentile('Стратегии'!K17,0.9)),_xll.VoseSimPercentile('Стратегии'!K17,0.9),NA())</f>
        <v>219.09044575263295</v>
      </c>
      <c r="F111" s="66" cm="1">
        <f t="array" aca="1" ref="F111" ca="1">IF(ISNUMBER(_xll.VoseSimMean('Стратегии'!K17)),_xll.VoseSimMean('Стратегии'!K17),NA())</f>
        <v>116.95319944280781</v>
      </c>
      <c r="G111" s="66">
        <f t="shared" si="2"/>
        <v>120</v>
      </c>
      <c r="H111" s="66">
        <f t="shared" si="3"/>
        <v>40</v>
      </c>
    </row>
    <row r="112" spans="2:8" hidden="1" outlineLevel="1" x14ac:dyDescent="0.45">
      <c r="B112" s="67">
        <f>'Стратегии'!L6</f>
        <v>6</v>
      </c>
      <c r="C112" s="66" cm="1">
        <f t="array" aca="1" ref="C112" ca="1">IF(ISNUMBER(_xll.VoseSimPercentile('Стратегии'!L17,0.1)),_xll.VoseSimPercentile('Стратегии'!L17,0.1),NA())</f>
        <v>35.360653018016315</v>
      </c>
      <c r="D112" s="66" cm="1">
        <f t="array" aca="1" ref="D112" ca="1">IF(ISNUMBER(_xll.VoseSimPercentile('Стратегии'!L17,0.5)),_xll.VoseSimPercentile('Стратегии'!L17,0.5),NA())</f>
        <v>92.329572427772803</v>
      </c>
      <c r="E112" s="66" cm="1">
        <f t="array" aca="1" ref="E112" ca="1">IF(ISNUMBER(_xll.VoseSimPercentile('Стратегии'!L17,0.9)),_xll.VoseSimPercentile('Стратегии'!L17,0.9),NA())</f>
        <v>232.54170401229115</v>
      </c>
      <c r="F112" s="66" cm="1">
        <f t="array" aca="1" ref="F112" ca="1">IF(ISNUMBER(_xll.VoseSimMean('Стратегии'!L17)),_xll.VoseSimMean('Стратегии'!L17),NA())</f>
        <v>119.49283129143686</v>
      </c>
      <c r="G112" s="66">
        <f t="shared" si="2"/>
        <v>120</v>
      </c>
      <c r="H112" s="66">
        <f t="shared" si="3"/>
        <v>40</v>
      </c>
    </row>
    <row r="113" spans="2:8" hidden="1" outlineLevel="1" x14ac:dyDescent="0.45">
      <c r="B113" s="67">
        <f>'Стратегии'!M6</f>
        <v>7</v>
      </c>
      <c r="C113" s="66" cm="1">
        <f t="array" aca="1" ref="C113" ca="1">IF(ISNUMBER(_xll.VoseSimPercentile('Стратегии'!M17,0.1)),_xll.VoseSimPercentile('Стратегии'!M17,0.1),NA())</f>
        <v>32.75975980002012</v>
      </c>
      <c r="D113" s="66" cm="1">
        <f t="array" aca="1" ref="D113" ca="1">IF(ISNUMBER(_xll.VoseSimPercentile('Стратегии'!M17,0.5)),_xll.VoseSimPercentile('Стратегии'!M17,0.5),NA())</f>
        <v>90.064690219460701</v>
      </c>
      <c r="E113" s="66" cm="1">
        <f t="array" aca="1" ref="E113" ca="1">IF(ISNUMBER(_xll.VoseSimPercentile('Стратегии'!M17,0.9)),_xll.VoseSimPercentile('Стратегии'!M17,0.9),NA())</f>
        <v>244.05543285482463</v>
      </c>
      <c r="F113" s="66" cm="1">
        <f t="array" aca="1" ref="F113" ca="1">IF(ISNUMBER(_xll.VoseSimMean('Стратегии'!M17)),_xll.VoseSimMean('Стратегии'!M17),NA())</f>
        <v>122.55947552837296</v>
      </c>
      <c r="G113" s="66">
        <f t="shared" si="2"/>
        <v>120</v>
      </c>
      <c r="H113" s="66">
        <f t="shared" si="3"/>
        <v>40</v>
      </c>
    </row>
    <row r="114" spans="2:8" hidden="1" outlineLevel="1" x14ac:dyDescent="0.45">
      <c r="B114" s="67">
        <f>'Стратегии'!N6</f>
        <v>8</v>
      </c>
      <c r="C114" s="66" cm="1">
        <f t="array" aca="1" ref="C114" ca="1">IF(ISNUMBER(_xll.VoseSimPercentile('Стратегии'!N17,0.1)),_xll.VoseSimPercentile('Стратегии'!N17,0.1),NA())</f>
        <v>30.225853672909146</v>
      </c>
      <c r="D114" s="66" cm="1">
        <f t="array" aca="1" ref="D114" ca="1">IF(ISNUMBER(_xll.VoseSimPercentile('Стратегии'!N17,0.5)),_xll.VoseSimPercentile('Стратегии'!N17,0.5),NA())</f>
        <v>88.790164030634898</v>
      </c>
      <c r="E114" s="66" cm="1">
        <f t="array" aca="1" ref="E114" ca="1">IF(ISNUMBER(_xll.VoseSimPercentile('Стратегии'!N17,0.9)),_xll.VoseSimPercentile('Стратегии'!N17,0.9),NA())</f>
        <v>257.94704701213197</v>
      </c>
      <c r="F114" s="66" cm="1">
        <f t="array" aca="1" ref="F114" ca="1">IF(ISNUMBER(_xll.VoseSimMean('Стратегии'!N17)),_xll.VoseSimMean('Стратегии'!N17),NA())</f>
        <v>125.32455935701283</v>
      </c>
      <c r="G114" s="66">
        <f t="shared" si="2"/>
        <v>120</v>
      </c>
      <c r="H114" s="66">
        <f t="shared" si="3"/>
        <v>40</v>
      </c>
    </row>
    <row r="115" spans="2:8" hidden="1" outlineLevel="1" x14ac:dyDescent="0.45">
      <c r="B115" s="67">
        <f>'Стратегии'!O6</f>
        <v>9</v>
      </c>
      <c r="C115" s="66" cm="1">
        <f t="array" aca="1" ref="C115" ca="1">IF(ISNUMBER(_xll.VoseSimPercentile('Стратегии'!O17,0.1)),_xll.VoseSimPercentile('Стратегии'!O17,0.1),NA())</f>
        <v>27.98289905591648</v>
      </c>
      <c r="D115" s="66" cm="1">
        <f t="array" aca="1" ref="D115" ca="1">IF(ISNUMBER(_xll.VoseSimPercentile('Стратегии'!O17,0.5)),_xll.VoseSimPercentile('Стратегии'!O17,0.5),NA())</f>
        <v>87.270258347229671</v>
      </c>
      <c r="E115" s="66" cm="1">
        <f t="array" aca="1" ref="E115" ca="1">IF(ISNUMBER(_xll.VoseSimPercentile('Стратегии'!O17,0.9)),_xll.VoseSimPercentile('Стратегии'!O17,0.9),NA())</f>
        <v>274.37705990786509</v>
      </c>
      <c r="F115" s="66" cm="1">
        <f t="array" aca="1" ref="F115" ca="1">IF(ISNUMBER(_xll.VoseSimMean('Стратегии'!O17)),_xll.VoseSimMean('Стратегии'!O17),NA())</f>
        <v>129.00242955134914</v>
      </c>
      <c r="G115" s="66">
        <f t="shared" si="2"/>
        <v>120</v>
      </c>
      <c r="H115" s="66">
        <f t="shared" si="3"/>
        <v>40</v>
      </c>
    </row>
    <row r="116" spans="2:8" hidden="1" outlineLevel="1" x14ac:dyDescent="0.45">
      <c r="B116" s="67">
        <f>'Стратегии'!P6</f>
        <v>10</v>
      </c>
      <c r="C116" s="66" cm="1">
        <f t="array" aca="1" ref="C116" ca="1">IF(ISNUMBER(_xll.VoseSimPercentile('Стратегии'!P17,0.1)),_xll.VoseSimPercentile('Стратегии'!P17,0.1),NA())</f>
        <v>25.680404567840043</v>
      </c>
      <c r="D116" s="66" cm="1">
        <f t="array" aca="1" ref="D116" ca="1">IF(ISNUMBER(_xll.VoseSimPercentile('Стратегии'!P17,0.5)),_xll.VoseSimPercentile('Стратегии'!P17,0.5),NA())</f>
        <v>87.561468572755388</v>
      </c>
      <c r="E116" s="66" cm="1">
        <f t="array" aca="1" ref="E116" ca="1">IF(ISNUMBER(_xll.VoseSimPercentile('Стратегии'!P17,0.9)),_xll.VoseSimPercentile('Стратегии'!P17,0.9),NA())</f>
        <v>291.9615316013502</v>
      </c>
      <c r="F116" s="66" cm="1">
        <f t="array" aca="1" ref="F116" ca="1">IF(ISNUMBER(_xll.VoseSimMean('Стратегии'!P17)),_xll.VoseSimMean('Стратегии'!P17),NA())</f>
        <v>133.39599437692036</v>
      </c>
      <c r="G116" s="66">
        <f t="shared" si="2"/>
        <v>120</v>
      </c>
      <c r="H116" s="66">
        <f t="shared" si="3"/>
        <v>40</v>
      </c>
    </row>
  </sheetData>
  <mergeCells count="5">
    <mergeCell ref="B47:G47"/>
    <mergeCell ref="B46:G46"/>
    <mergeCell ref="B45:G45"/>
    <mergeCell ref="B49:G49"/>
    <mergeCell ref="B48:G48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107:F116">
    <cfRule type="expression" dxfId="1" priority="4">
      <formula>ISNA(C107)</formula>
    </cfRule>
  </conditionalFormatting>
  <conditionalFormatting sqref="D55:F104">
    <cfRule type="expression" dxfId="0" priority="3">
      <formula>ISNA(D55)</formula>
    </cfRule>
  </conditionalFormatting>
  <hyperlinks>
    <hyperlink ref="B4" location="'Стратегии'!A1" display="◂  Стратегии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DA99-9A9C-4A31-BD2F-BB76945B0D60}">
  <dimension ref="A1:B1"/>
  <sheetViews>
    <sheetView workbookViewId="0"/>
  </sheetViews>
  <sheetFormatPr defaultRowHeight="14.25" x14ac:dyDescent="0.45"/>
  <sheetData>
    <row r="1" spans="1:2" x14ac:dyDescent="0.45">
      <c r="A1" s="72" t="s">
        <v>258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68DB-8A44-41A6-939E-3F67E465E82C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BC11-A513-43AD-A3B4-3556CC8B9C95}">
  <dimension ref="B3:B152"/>
  <sheetViews>
    <sheetView workbookViewId="0"/>
  </sheetViews>
  <sheetFormatPr defaultRowHeight="14.25" x14ac:dyDescent="0.45"/>
  <sheetData>
    <row r="3" spans="2:2" x14ac:dyDescent="0.45">
      <c r="B3">
        <v>115</v>
      </c>
    </row>
    <row r="4" spans="2:2" x14ac:dyDescent="0.45">
      <c r="B4">
        <v>560</v>
      </c>
    </row>
    <row r="5" spans="2:2" x14ac:dyDescent="0.45">
      <c r="B5">
        <v>678</v>
      </c>
    </row>
    <row r="6" spans="2:2" x14ac:dyDescent="0.45">
      <c r="B6">
        <v>381</v>
      </c>
    </row>
    <row r="7" spans="2:2" x14ac:dyDescent="0.45">
      <c r="B7">
        <v>166</v>
      </c>
    </row>
    <row r="8" spans="2:2" x14ac:dyDescent="0.45">
      <c r="B8">
        <v>72</v>
      </c>
    </row>
    <row r="9" spans="2:2" x14ac:dyDescent="0.45">
      <c r="B9">
        <v>19</v>
      </c>
    </row>
    <row r="10" spans="2:2" x14ac:dyDescent="0.45">
      <c r="B10">
        <v>7</v>
      </c>
    </row>
    <row r="11" spans="2:2" x14ac:dyDescent="0.45">
      <c r="B11">
        <v>1</v>
      </c>
    </row>
    <row r="12" spans="2:2" x14ac:dyDescent="0.45">
      <c r="B12">
        <v>1</v>
      </c>
    </row>
    <row r="13" spans="2:2" x14ac:dyDescent="0.45">
      <c r="B13">
        <v>393</v>
      </c>
    </row>
    <row r="14" spans="2:2" x14ac:dyDescent="0.45">
      <c r="B14">
        <v>836</v>
      </c>
    </row>
    <row r="15" spans="2:2" x14ac:dyDescent="0.45">
      <c r="B15">
        <v>501</v>
      </c>
    </row>
    <row r="16" spans="2:2" x14ac:dyDescent="0.45">
      <c r="B16">
        <v>176</v>
      </c>
    </row>
    <row r="17" spans="2:2" x14ac:dyDescent="0.45">
      <c r="B17">
        <v>62</v>
      </c>
    </row>
    <row r="18" spans="2:2" x14ac:dyDescent="0.45">
      <c r="B18">
        <v>24</v>
      </c>
    </row>
    <row r="19" spans="2:2" x14ac:dyDescent="0.45">
      <c r="B19">
        <v>6</v>
      </c>
    </row>
    <row r="20" spans="2:2" x14ac:dyDescent="0.45">
      <c r="B20">
        <v>0</v>
      </c>
    </row>
    <row r="21" spans="2:2" x14ac:dyDescent="0.45">
      <c r="B21">
        <v>1</v>
      </c>
    </row>
    <row r="22" spans="2:2" x14ac:dyDescent="0.45">
      <c r="B22">
        <v>1</v>
      </c>
    </row>
    <row r="23" spans="2:2" x14ac:dyDescent="0.45">
      <c r="B23">
        <v>580</v>
      </c>
    </row>
    <row r="24" spans="2:2" x14ac:dyDescent="0.45">
      <c r="B24">
        <v>861</v>
      </c>
    </row>
    <row r="25" spans="2:2" x14ac:dyDescent="0.45">
      <c r="B25">
        <v>331</v>
      </c>
    </row>
    <row r="26" spans="2:2" x14ac:dyDescent="0.45">
      <c r="B26">
        <v>145</v>
      </c>
    </row>
    <row r="27" spans="2:2" x14ac:dyDescent="0.45">
      <c r="B27">
        <v>47</v>
      </c>
    </row>
    <row r="28" spans="2:2" x14ac:dyDescent="0.45">
      <c r="B28">
        <v>25</v>
      </c>
    </row>
    <row r="29" spans="2:2" x14ac:dyDescent="0.45">
      <c r="B29">
        <v>4</v>
      </c>
    </row>
    <row r="30" spans="2:2" x14ac:dyDescent="0.45">
      <c r="B30">
        <v>2</v>
      </c>
    </row>
    <row r="31" spans="2:2" x14ac:dyDescent="0.45">
      <c r="B31">
        <v>4</v>
      </c>
    </row>
    <row r="32" spans="2:2" x14ac:dyDescent="0.45">
      <c r="B32">
        <v>1</v>
      </c>
    </row>
    <row r="33" spans="2:2" x14ac:dyDescent="0.45">
      <c r="B33">
        <v>880</v>
      </c>
    </row>
    <row r="34" spans="2:2" x14ac:dyDescent="0.45">
      <c r="B34">
        <v>774</v>
      </c>
    </row>
    <row r="35" spans="2:2" x14ac:dyDescent="0.45">
      <c r="B35">
        <v>229</v>
      </c>
    </row>
    <row r="36" spans="2:2" x14ac:dyDescent="0.45">
      <c r="B36">
        <v>70</v>
      </c>
    </row>
    <row r="37" spans="2:2" x14ac:dyDescent="0.45">
      <c r="B37">
        <v>33</v>
      </c>
    </row>
    <row r="38" spans="2:2" x14ac:dyDescent="0.45">
      <c r="B38">
        <v>9</v>
      </c>
    </row>
    <row r="39" spans="2:2" x14ac:dyDescent="0.45">
      <c r="B39">
        <v>3</v>
      </c>
    </row>
    <row r="40" spans="2:2" x14ac:dyDescent="0.45">
      <c r="B40">
        <v>1</v>
      </c>
    </row>
    <row r="41" spans="2:2" x14ac:dyDescent="0.45">
      <c r="B41">
        <v>0</v>
      </c>
    </row>
    <row r="42" spans="2:2" x14ac:dyDescent="0.45">
      <c r="B42">
        <v>1</v>
      </c>
    </row>
    <row r="43" spans="2:2" x14ac:dyDescent="0.45">
      <c r="B43">
        <v>995</v>
      </c>
    </row>
    <row r="44" spans="2:2" x14ac:dyDescent="0.45">
      <c r="B44">
        <v>661</v>
      </c>
    </row>
    <row r="45" spans="2:2" x14ac:dyDescent="0.45">
      <c r="B45">
        <v>212</v>
      </c>
    </row>
    <row r="46" spans="2:2" x14ac:dyDescent="0.45">
      <c r="B46">
        <v>71</v>
      </c>
    </row>
    <row r="47" spans="2:2" x14ac:dyDescent="0.45">
      <c r="B47">
        <v>33</v>
      </c>
    </row>
    <row r="48" spans="2:2" x14ac:dyDescent="0.45">
      <c r="B48">
        <v>20</v>
      </c>
    </row>
    <row r="49" spans="2:2" x14ac:dyDescent="0.45">
      <c r="B49">
        <v>3</v>
      </c>
    </row>
    <row r="50" spans="2:2" x14ac:dyDescent="0.45">
      <c r="B50">
        <v>4</v>
      </c>
    </row>
    <row r="51" spans="2:2" x14ac:dyDescent="0.45">
      <c r="B51">
        <v>0</v>
      </c>
    </row>
    <row r="52" spans="2:2" x14ac:dyDescent="0.45">
      <c r="B52">
        <v>1</v>
      </c>
    </row>
    <row r="53" spans="2:2" x14ac:dyDescent="0.45">
      <c r="B53">
        <v>1132</v>
      </c>
    </row>
    <row r="54" spans="2:2" x14ac:dyDescent="0.45">
      <c r="B54">
        <v>574</v>
      </c>
    </row>
    <row r="55" spans="2:2" x14ac:dyDescent="0.45">
      <c r="B55">
        <v>185</v>
      </c>
    </row>
    <row r="56" spans="2:2" x14ac:dyDescent="0.45">
      <c r="B56">
        <v>59</v>
      </c>
    </row>
    <row r="57" spans="2:2" x14ac:dyDescent="0.45">
      <c r="B57">
        <v>25</v>
      </c>
    </row>
    <row r="58" spans="2:2" x14ac:dyDescent="0.45">
      <c r="B58">
        <v>14</v>
      </c>
    </row>
    <row r="59" spans="2:2" x14ac:dyDescent="0.45">
      <c r="B59">
        <v>3</v>
      </c>
    </row>
    <row r="60" spans="2:2" x14ac:dyDescent="0.45">
      <c r="B60">
        <v>3</v>
      </c>
    </row>
    <row r="61" spans="2:2" x14ac:dyDescent="0.45">
      <c r="B61">
        <v>3</v>
      </c>
    </row>
    <row r="62" spans="2:2" x14ac:dyDescent="0.45">
      <c r="B62">
        <v>2</v>
      </c>
    </row>
    <row r="63" spans="2:2" x14ac:dyDescent="0.45">
      <c r="B63">
        <v>1413</v>
      </c>
    </row>
    <row r="64" spans="2:2" x14ac:dyDescent="0.45">
      <c r="B64">
        <v>439</v>
      </c>
    </row>
    <row r="65" spans="2:2" x14ac:dyDescent="0.45">
      <c r="B65">
        <v>92</v>
      </c>
    </row>
    <row r="66" spans="2:2" x14ac:dyDescent="0.45">
      <c r="B66">
        <v>34</v>
      </c>
    </row>
    <row r="67" spans="2:2" x14ac:dyDescent="0.45">
      <c r="B67">
        <v>11</v>
      </c>
    </row>
    <row r="68" spans="2:2" x14ac:dyDescent="0.45">
      <c r="B68">
        <v>6</v>
      </c>
    </row>
    <row r="69" spans="2:2" x14ac:dyDescent="0.45">
      <c r="B69">
        <v>3</v>
      </c>
    </row>
    <row r="70" spans="2:2" x14ac:dyDescent="0.45">
      <c r="B70">
        <v>0</v>
      </c>
    </row>
    <row r="71" spans="2:2" x14ac:dyDescent="0.45">
      <c r="B71">
        <v>1</v>
      </c>
    </row>
    <row r="72" spans="2:2" x14ac:dyDescent="0.45">
      <c r="B72">
        <v>1</v>
      </c>
    </row>
    <row r="73" spans="2:2" x14ac:dyDescent="0.45">
      <c r="B73">
        <v>1529</v>
      </c>
    </row>
    <row r="74" spans="2:2" x14ac:dyDescent="0.45">
      <c r="B74">
        <v>348</v>
      </c>
    </row>
    <row r="75" spans="2:2" x14ac:dyDescent="0.45">
      <c r="B75">
        <v>86</v>
      </c>
    </row>
    <row r="76" spans="2:2" x14ac:dyDescent="0.45">
      <c r="B76">
        <v>24</v>
      </c>
    </row>
    <row r="77" spans="2:2" x14ac:dyDescent="0.45">
      <c r="B77">
        <v>7</v>
      </c>
    </row>
    <row r="78" spans="2:2" x14ac:dyDescent="0.45">
      <c r="B78">
        <v>2</v>
      </c>
    </row>
    <row r="79" spans="2:2" x14ac:dyDescent="0.45">
      <c r="B79">
        <v>2</v>
      </c>
    </row>
    <row r="80" spans="2:2" x14ac:dyDescent="0.45">
      <c r="B80">
        <v>0</v>
      </c>
    </row>
    <row r="81" spans="2:2" x14ac:dyDescent="0.45">
      <c r="B81">
        <v>1</v>
      </c>
    </row>
    <row r="82" spans="2:2" x14ac:dyDescent="0.45">
      <c r="B82">
        <v>1</v>
      </c>
    </row>
    <row r="83" spans="2:2" x14ac:dyDescent="0.45">
      <c r="B83">
        <v>1664</v>
      </c>
    </row>
    <row r="84" spans="2:2" x14ac:dyDescent="0.45">
      <c r="B84">
        <v>264</v>
      </c>
    </row>
    <row r="85" spans="2:2" x14ac:dyDescent="0.45">
      <c r="B85">
        <v>47</v>
      </c>
    </row>
    <row r="86" spans="2:2" x14ac:dyDescent="0.45">
      <c r="B86">
        <v>16</v>
      </c>
    </row>
    <row r="87" spans="2:2" x14ac:dyDescent="0.45">
      <c r="B87">
        <v>4</v>
      </c>
    </row>
    <row r="88" spans="2:2" x14ac:dyDescent="0.45">
      <c r="B88">
        <v>2</v>
      </c>
    </row>
    <row r="89" spans="2:2" x14ac:dyDescent="0.45">
      <c r="B89">
        <v>2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1</v>
      </c>
    </row>
    <row r="93" spans="2:2" x14ac:dyDescent="0.45">
      <c r="B93">
        <v>1661</v>
      </c>
    </row>
    <row r="94" spans="2:2" x14ac:dyDescent="0.45">
      <c r="B94">
        <v>252</v>
      </c>
    </row>
    <row r="95" spans="2:2" x14ac:dyDescent="0.45">
      <c r="B95">
        <v>54</v>
      </c>
    </row>
    <row r="96" spans="2:2" x14ac:dyDescent="0.45">
      <c r="B96">
        <v>20</v>
      </c>
    </row>
    <row r="97" spans="2:2" x14ac:dyDescent="0.45">
      <c r="B97">
        <v>7</v>
      </c>
    </row>
    <row r="98" spans="2:2" x14ac:dyDescent="0.45">
      <c r="B98">
        <v>3</v>
      </c>
    </row>
    <row r="99" spans="2:2" x14ac:dyDescent="0.45">
      <c r="B99">
        <v>1</v>
      </c>
    </row>
    <row r="100" spans="2:2" x14ac:dyDescent="0.45">
      <c r="B100">
        <v>1</v>
      </c>
    </row>
    <row r="101" spans="2:2" x14ac:dyDescent="0.45">
      <c r="B101">
        <v>0</v>
      </c>
    </row>
    <row r="102" spans="2:2" x14ac:dyDescent="0.45">
      <c r="B102">
        <v>1</v>
      </c>
    </row>
    <row r="103" spans="2:2" x14ac:dyDescent="0.45">
      <c r="B103">
        <v>1360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0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640</v>
      </c>
    </row>
    <row r="113" spans="2:2" x14ac:dyDescent="0.45">
      <c r="B113">
        <v>1957</v>
      </c>
    </row>
    <row r="114" spans="2:2" x14ac:dyDescent="0.45">
      <c r="B114">
        <v>0</v>
      </c>
    </row>
    <row r="115" spans="2:2" x14ac:dyDescent="0.45">
      <c r="B115">
        <v>0</v>
      </c>
    </row>
    <row r="116" spans="2:2" x14ac:dyDescent="0.45">
      <c r="B116">
        <v>0</v>
      </c>
    </row>
    <row r="117" spans="2:2" x14ac:dyDescent="0.45">
      <c r="B117">
        <v>0</v>
      </c>
    </row>
    <row r="118" spans="2:2" x14ac:dyDescent="0.45">
      <c r="B118">
        <v>0</v>
      </c>
    </row>
    <row r="119" spans="2:2" x14ac:dyDescent="0.45">
      <c r="B119">
        <v>0</v>
      </c>
    </row>
    <row r="120" spans="2:2" x14ac:dyDescent="0.45">
      <c r="B120">
        <v>0</v>
      </c>
    </row>
    <row r="121" spans="2:2" x14ac:dyDescent="0.45">
      <c r="B121">
        <v>0</v>
      </c>
    </row>
    <row r="122" spans="2:2" x14ac:dyDescent="0.45">
      <c r="B122">
        <v>43</v>
      </c>
    </row>
    <row r="123" spans="2:2" x14ac:dyDescent="0.45">
      <c r="B123">
        <v>17</v>
      </c>
    </row>
    <row r="124" spans="2:2" x14ac:dyDescent="0.45">
      <c r="B124">
        <v>62</v>
      </c>
    </row>
    <row r="125" spans="2:2" x14ac:dyDescent="0.45">
      <c r="B125">
        <v>110</v>
      </c>
    </row>
    <row r="126" spans="2:2" x14ac:dyDescent="0.45">
      <c r="B126">
        <v>151</v>
      </c>
    </row>
    <row r="127" spans="2:2" x14ac:dyDescent="0.45">
      <c r="B127">
        <v>162</v>
      </c>
    </row>
    <row r="128" spans="2:2" x14ac:dyDescent="0.45">
      <c r="B128">
        <v>205</v>
      </c>
    </row>
    <row r="129" spans="2:2" x14ac:dyDescent="0.45">
      <c r="B129">
        <v>231</v>
      </c>
    </row>
    <row r="130" spans="2:2" x14ac:dyDescent="0.45">
      <c r="B130">
        <v>212</v>
      </c>
    </row>
    <row r="131" spans="2:2" x14ac:dyDescent="0.45">
      <c r="B131">
        <v>294</v>
      </c>
    </row>
    <row r="132" spans="2:2" x14ac:dyDescent="0.45">
      <c r="B132">
        <v>556</v>
      </c>
    </row>
    <row r="133" spans="2:2" x14ac:dyDescent="0.45">
      <c r="B133">
        <v>4</v>
      </c>
    </row>
    <row r="134" spans="2:2" x14ac:dyDescent="0.45">
      <c r="B134">
        <v>9</v>
      </c>
    </row>
    <row r="135" spans="2:2" x14ac:dyDescent="0.45">
      <c r="B135">
        <v>18</v>
      </c>
    </row>
    <row r="136" spans="2:2" x14ac:dyDescent="0.45">
      <c r="B136">
        <v>37</v>
      </c>
    </row>
    <row r="137" spans="2:2" x14ac:dyDescent="0.45">
      <c r="B137">
        <v>46</v>
      </c>
    </row>
    <row r="138" spans="2:2" x14ac:dyDescent="0.45">
      <c r="B138">
        <v>68</v>
      </c>
    </row>
    <row r="139" spans="2:2" x14ac:dyDescent="0.45">
      <c r="B139">
        <v>87</v>
      </c>
    </row>
    <row r="140" spans="2:2" x14ac:dyDescent="0.45">
      <c r="B140">
        <v>139</v>
      </c>
    </row>
    <row r="141" spans="2:2" x14ac:dyDescent="0.45">
      <c r="B141">
        <v>178</v>
      </c>
    </row>
    <row r="142" spans="2:2" x14ac:dyDescent="0.45">
      <c r="B142">
        <v>1414</v>
      </c>
    </row>
    <row r="143" spans="2:2" x14ac:dyDescent="0.45">
      <c r="B143">
        <v>1</v>
      </c>
    </row>
    <row r="144" spans="2:2" x14ac:dyDescent="0.45">
      <c r="B144">
        <v>4</v>
      </c>
    </row>
    <row r="145" spans="2:2" x14ac:dyDescent="0.45">
      <c r="B145">
        <v>13</v>
      </c>
    </row>
    <row r="146" spans="2:2" x14ac:dyDescent="0.45">
      <c r="B146">
        <v>59</v>
      </c>
    </row>
    <row r="147" spans="2:2" x14ac:dyDescent="0.45">
      <c r="B147">
        <v>138</v>
      </c>
    </row>
    <row r="148" spans="2:2" x14ac:dyDescent="0.45">
      <c r="B148">
        <v>169</v>
      </c>
    </row>
    <row r="149" spans="2:2" x14ac:dyDescent="0.45">
      <c r="B149">
        <v>255</v>
      </c>
    </row>
    <row r="150" spans="2:2" x14ac:dyDescent="0.45">
      <c r="B150">
        <v>896</v>
      </c>
    </row>
    <row r="151" spans="2:2" x14ac:dyDescent="0.45">
      <c r="B151">
        <v>86</v>
      </c>
    </row>
    <row r="152" spans="2:2" x14ac:dyDescent="0.45">
      <c r="B152">
        <v>379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8F8353C3-F253-4EF9-BDA8-3DAC797A1187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48</vt:i4>
      </vt:variant>
    </vt:vector>
  </HeadingPairs>
  <TitlesOfParts>
    <vt:vector size="55" baseType="lpstr">
      <vt:lpstr>Описание</vt:lpstr>
      <vt:lpstr>Исходные данные</vt:lpstr>
      <vt:lpstr>Стратегии</vt:lpstr>
      <vt:lpstr>Результаты</vt:lpstr>
      <vt:lpstr>ModelRiskDSN</vt:lpstr>
      <vt:lpstr>ModelRiskSYS1</vt:lpstr>
      <vt:lpstr>ModelRiskCharts</vt:lpstr>
      <vt:lpstr>Abandon</vt:lpstr>
      <vt:lpstr>AbandonAt</vt:lpstr>
      <vt:lpstr>Base_A</vt:lpstr>
      <vt:lpstr>Base_B</vt:lpstr>
      <vt:lpstr>Base_C</vt:lpstr>
      <vt:lpstr>BigCap</vt:lpstr>
      <vt:lpstr>BigCapex</vt:lpstr>
      <vt:lpstr>BigFixed</vt:lpstr>
      <vt:lpstr>CapAfter</vt:lpstr>
      <vt:lpstr>CapAfterB</vt:lpstr>
      <vt:lpstr>CashAt</vt:lpstr>
      <vt:lpstr>CashAtB</vt:lpstr>
      <vt:lpstr>Checks</vt:lpstr>
      <vt:lpstr>Contrib</vt:lpstr>
      <vt:lpstr>D0</vt:lpstr>
      <vt:lpstr>DecCap</vt:lpstr>
      <vt:lpstr>DecCash</vt:lpstr>
      <vt:lpstr>DecFixed</vt:lpstr>
      <vt:lpstr>DecideYear</vt:lpstr>
      <vt:lpstr>DecInvest</vt:lpstr>
      <vt:lpstr>Decision</vt:lpstr>
      <vt:lpstr>DecisionB</vt:lpstr>
      <vt:lpstr>DecNames</vt:lpstr>
      <vt:lpstr>DemDec</vt:lpstr>
      <vt:lpstr>DemDecB</vt:lpstr>
      <vt:lpstr>DiscRate</vt:lpstr>
      <vt:lpstr>Expand</vt:lpstr>
      <vt:lpstr>ExpandAt</vt:lpstr>
      <vt:lpstr>ExpCapex</vt:lpstr>
      <vt:lpstr>FixAfter</vt:lpstr>
      <vt:lpstr>FixAfterB</vt:lpstr>
      <vt:lpstr>Growth</vt:lpstr>
      <vt:lpstr>InvestAfter</vt:lpstr>
      <vt:lpstr>InvestAfterB</vt:lpstr>
      <vt:lpstr>Margin</vt:lpstr>
      <vt:lpstr>Mu</vt:lpstr>
      <vt:lpstr>NPV_A</vt:lpstr>
      <vt:lpstr>NPV_B</vt:lpstr>
      <vt:lpstr>NPV_C</vt:lpstr>
      <vt:lpstr>Results!Print_Area</vt:lpstr>
      <vt:lpstr>Inputs!Print_Titles</vt:lpstr>
      <vt:lpstr>Results!Print_Titles</vt:lpstr>
      <vt:lpstr>Strategies!Print_Titles</vt:lpstr>
      <vt:lpstr>Salvage</vt:lpstr>
      <vt:lpstr>SmallCap</vt:lpstr>
      <vt:lpstr>SmallCapex</vt:lpstr>
      <vt:lpstr>SmallFixed</vt:lpstr>
      <vt:lpstr>Vol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CF-08 Реальные опционы: расширить или отказаться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Построить большой завод сейчас или малый с опционами на расширение и отказ: NPV каждого варианта и ценность гибкости.</dc:description>
  <cp:lastModifiedBy>ООО «Стратегия Риска»</cp:lastModifiedBy>
  <cp:lastPrinted>2026-10-05T10:00:05Z</cp:lastPrinted>
  <dcterms:created xsi:type="dcterms:W3CDTF">2026-10-05T09:57:25Z</dcterms:created>
  <dcterms:modified xsi:type="dcterms:W3CDTF">2026-10-05T10:00:07Z</dcterms:modified>
</cp:coreProperties>
</file>