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4B8EBA3C-BA6A-4803-956B-210484C9C7CB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Описание" sheetId="1" r:id="rId1"/>
    <sheet name="Исходные данные" sheetId="2" r:id="rId2"/>
    <sheet name="Кредитный портфель" sheetId="3" r:id="rId3"/>
    <sheet name="Результаты" sheetId="4" r:id="rId4"/>
    <sheet name="ModelRiskDSN" sheetId="5" state="hidden" r:id="rId5"/>
    <sheet name="ModelRiskSYS1" sheetId="6" state="hidden" r:id="rId6"/>
    <sheet name="ModelRiskCharts" sheetId="7" state="hidden" r:id="rId7"/>
  </sheets>
  <definedNames>
    <definedName name="Capital">'Исходные данные'!$D$18</definedName>
    <definedName name="Checks">'Кредитный портфель'!$F$36:$F$37</definedName>
    <definedName name="Confidence">'Исходные данные'!$D$19</definedName>
    <definedName name="Defaults">'Кредитный портфель'!$F$28</definedName>
    <definedName name="Defaults0">'Кредитный портфель'!$F$29</definedName>
    <definedName name="Economy">'Кредитный портфель'!$D$8</definedName>
    <definedName name="EL">'Кредитный портфель'!$F$32</definedName>
    <definedName name="EL_A">'Кредитный портфель'!$I$16</definedName>
    <definedName name="EL_B">'Кредитный портфель'!$I$17</definedName>
    <definedName name="EL_C">'Кредитный портфель'!$I$18</definedName>
    <definedName name="EL_D">'Кредитный портфель'!$I$19</definedName>
    <definedName name="EL_E">'Кредитный портфель'!$I$20</definedName>
    <definedName name="LGD_A">'Кредитный портфель'!$D$9</definedName>
    <definedName name="LGD_B">'Кредитный портфель'!$D$10</definedName>
    <definedName name="LGDMean">'Исходные данные'!$D$11</definedName>
    <definedName name="LGDSd">'Исходные данные'!$D$12</definedName>
    <definedName name="Loss">'Кредитный портфель'!$F$26</definedName>
    <definedName name="Loss_A">'Кредитный портфель'!$K$16</definedName>
    <definedName name="Loss_B">'Кредитный портфель'!$K$17</definedName>
    <definedName name="Loss_C">'Кредитный портфель'!$K$18</definedName>
    <definedName name="Loss_D">'Кредитный портфель'!$K$19</definedName>
    <definedName name="Loss_E">'Кредитный портфель'!$K$20</definedName>
    <definedName name="Loss0">'Кредитный портфель'!$F$27</definedName>
    <definedName name="OverCap">'Кредитный портфель'!$F$30</definedName>
    <definedName name="OverCap0">'Кредитный портфель'!$F$31</definedName>
    <definedName name="_xlnm.Print_Area" localSheetId="3">'Результаты'!$A$1:$R$58</definedName>
    <definedName name="_xlnm.Print_Titles" localSheetId="1">'Исходные данные'!$1:$4</definedName>
    <definedName name="_xlnm.Print_Titles" localSheetId="3">'Результаты'!$1:$4</definedName>
    <definedName name="Rho">'Исходные данные'!$D$13</definedName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0</definedName>
    <definedName name="SimOpt_RefreshExcel" hidden="1">0</definedName>
    <definedName name="SimOpt_RefreshRate" hidden="1">1</definedName>
    <definedName name="SimOpt_SamplesCount" hidden="1">10000</definedName>
    <definedName name="SimOpt_Seed0" hidden="1">1</definedName>
    <definedName name="SimOpt_SeedFixed" hidden="1">1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0</definedName>
    <definedName name="SimOpt_SimsCount" hidden="1">1</definedName>
    <definedName name="SimOpt_SkipTurboConsistency" hidden="1">0</definedName>
    <definedName name="SimOpt_StopOnOutputError" hidden="1">0</definedName>
    <definedName name="SimOpt_TurboParityChecked" hidden="1">0</definedName>
    <definedName name="SimOpt_UploadEnabled" hidden="1">0</definedName>
    <definedName name="SimOpt_UploadModel" hidden="1">0</definedName>
    <definedName name="SimOpt_UploadProfile" hidden="1">"MODELRISK"</definedName>
    <definedName name="SimOpt_UploadRemotely" hidden="1">0</definedName>
    <definedName name="SimOpt_UseTurboByDefault" hidden="1">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3" i="4" l="1"/>
  <c r="C112" i="4"/>
  <c r="C111" i="4"/>
  <c r="C110" i="4"/>
  <c r="C109" i="4"/>
  <c r="C108" i="4"/>
  <c r="C107" i="4"/>
  <c r="C106" i="4"/>
  <c r="C105" i="4"/>
  <c r="C104" i="4"/>
  <c r="C103" i="4"/>
  <c r="C102" i="4"/>
  <c r="C101" i="4"/>
  <c r="C100" i="4"/>
  <c r="C99" i="4"/>
  <c r="C98" i="4"/>
  <c r="C97" i="4"/>
  <c r="C96" i="4"/>
  <c r="C95" i="4"/>
  <c r="C94" i="4"/>
  <c r="C93" i="4"/>
  <c r="C92" i="4"/>
  <c r="C91" i="4"/>
  <c r="C90" i="4"/>
  <c r="C89" i="4"/>
  <c r="C88" i="4"/>
  <c r="C87" i="4"/>
  <c r="C86" i="4"/>
  <c r="C85" i="4"/>
  <c r="C84" i="4"/>
  <c r="C83" i="4"/>
  <c r="C82" i="4"/>
  <c r="C81" i="4"/>
  <c r="C80" i="4"/>
  <c r="C79" i="4"/>
  <c r="C78" i="4"/>
  <c r="C77" i="4"/>
  <c r="C76" i="4"/>
  <c r="C75" i="4"/>
  <c r="C74" i="4"/>
  <c r="C73" i="4"/>
  <c r="C72" i="4"/>
  <c r="C71" i="4"/>
  <c r="C70" i="4"/>
  <c r="C69" i="4"/>
  <c r="C68" i="4"/>
  <c r="C67" i="4"/>
  <c r="C66" i="4"/>
  <c r="C65" i="4"/>
  <c r="C64" i="4"/>
  <c r="D21" i="4"/>
  <c r="B18" i="4"/>
  <c r="B15" i="4"/>
  <c r="B14" i="4"/>
  <c r="F37" i="3"/>
  <c r="F36" i="3"/>
  <c r="B7" i="4" s="1"/>
  <c r="F20" i="3"/>
  <c r="G20" i="3" s="1"/>
  <c r="D20" i="3"/>
  <c r="C20" i="3"/>
  <c r="E20" i="3"/>
  <c r="F19" i="3"/>
  <c r="G19" i="3"/>
  <c r="D19" i="3"/>
  <c r="E19" i="3" s="1"/>
  <c r="I19" i="3" s="1"/>
  <c r="C19" i="3"/>
  <c r="F18" i="3"/>
  <c r="G18" i="3"/>
  <c r="D18" i="3"/>
  <c r="E18" i="3" s="1"/>
  <c r="I18" i="3" s="1"/>
  <c r="C48" i="4" s="1"/>
  <c r="C18" i="3"/>
  <c r="F17" i="3"/>
  <c r="G17" i="3" s="1"/>
  <c r="D17" i="3"/>
  <c r="C17" i="3"/>
  <c r="E17" i="3" s="1"/>
  <c r="I17" i="3" s="1"/>
  <c r="C47" i="4" s="1"/>
  <c r="F16" i="3"/>
  <c r="G16" i="3" s="1"/>
  <c r="D16" i="3"/>
  <c r="C16" i="3"/>
  <c r="D10" i="3"/>
  <c r="D9" i="3"/>
  <c r="C49" i="4"/>
  <c r="E16" i="3"/>
  <c r="M18" i="3" a="1"/>
  <c r="M17" i="3" a="1"/>
  <c r="M16" i="3" a="1"/>
  <c r="M20" i="3" a="1"/>
  <c r="M19" i="3" a="1"/>
  <c r="D8" i="3" a="1"/>
  <c r="I20" i="3" l="1"/>
  <c r="C50" i="4" s="1"/>
  <c r="I16" i="3"/>
  <c r="D8" i="3"/>
  <c r="H19" i="3" s="1"/>
  <c r="M19" i="3"/>
  <c r="M20" i="3"/>
  <c r="M16" i="3"/>
  <c r="M17" i="3"/>
  <c r="M18" i="3"/>
  <c r="H17" i="3"/>
  <c r="E21" i="3"/>
  <c r="C21" i="3"/>
  <c r="J17" i="3" a="1"/>
  <c r="N18" i="3" a="1"/>
  <c r="J19" i="3" a="1"/>
  <c r="N19" i="3" a="1"/>
  <c r="N20" i="3" a="1"/>
  <c r="N17" i="3" a="1"/>
  <c r="N16" i="3" a="1"/>
  <c r="I21" i="3" l="1"/>
  <c r="F32" i="3" s="1"/>
  <c r="D20" i="4" s="1"/>
  <c r="C46" i="4"/>
  <c r="N16" i="3"/>
  <c r="N17" i="3"/>
  <c r="N20" i="3"/>
  <c r="N19" i="3"/>
  <c r="J19" i="3"/>
  <c r="N18" i="3"/>
  <c r="J17" i="3"/>
  <c r="M21" i="3"/>
  <c r="F29" i="3" s="1" a="1"/>
  <c r="F29" i="3" s="1"/>
  <c r="H16" i="3"/>
  <c r="H20" i="3"/>
  <c r="H18" i="3"/>
  <c r="E18" i="4" a="1"/>
  <c r="E17" i="4" a="1"/>
  <c r="K19" i="3" a="1"/>
  <c r="K17" i="3" a="1"/>
  <c r="J16" i="3" a="1"/>
  <c r="J20" i="3" a="1"/>
  <c r="J18" i="3" a="1"/>
  <c r="E17" i="4" l="1"/>
  <c r="E18" i="4"/>
  <c r="J18" i="3"/>
  <c r="J20" i="3"/>
  <c r="J16" i="3"/>
  <c r="K17" i="3"/>
  <c r="K19" i="3"/>
  <c r="N21" i="3"/>
  <c r="F27" i="3" s="1" a="1"/>
  <c r="F27" i="3" s="1"/>
  <c r="D47" i="4" a="1"/>
  <c r="E47" i="4" a="1"/>
  <c r="D49" i="4" a="1"/>
  <c r="E49" i="4" a="1"/>
  <c r="E66" i="4" a="1"/>
  <c r="E108" i="4" a="1"/>
  <c r="E105" i="4" a="1"/>
  <c r="E95" i="4" a="1"/>
  <c r="E103" i="4" a="1"/>
  <c r="E75" i="4" a="1"/>
  <c r="E15" i="4" a="1"/>
  <c r="E68" i="4" a="1"/>
  <c r="E90" i="4" a="1"/>
  <c r="E91" i="4" a="1"/>
  <c r="E65" i="4" a="1"/>
  <c r="E70" i="4" a="1"/>
  <c r="E92" i="4" a="1"/>
  <c r="E89" i="4" a="1"/>
  <c r="E109" i="4" a="1"/>
  <c r="E81" i="4" a="1"/>
  <c r="E76" i="4" a="1"/>
  <c r="E94" i="4" a="1"/>
  <c r="E13" i="4" a="1"/>
  <c r="E71" i="4" a="1"/>
  <c r="E97" i="4" a="1"/>
  <c r="E80" i="4" a="1"/>
  <c r="E96" i="4" a="1"/>
  <c r="E79" i="4" a="1"/>
  <c r="E87" i="4" a="1"/>
  <c r="E99" i="4" a="1"/>
  <c r="E102" i="4" a="1"/>
  <c r="E98" i="4" a="1"/>
  <c r="E107" i="4" a="1"/>
  <c r="E93" i="4" a="1"/>
  <c r="E113" i="4" a="1"/>
  <c r="E78" i="4" a="1"/>
  <c r="E110" i="4" a="1"/>
  <c r="E69" i="4" a="1"/>
  <c r="E14" i="4" a="1"/>
  <c r="E64" i="4" a="1"/>
  <c r="E82" i="4" a="1"/>
  <c r="E112" i="4" a="1"/>
  <c r="E85" i="4" a="1"/>
  <c r="E111" i="4" a="1"/>
  <c r="E67" i="4" a="1"/>
  <c r="E72" i="4" a="1"/>
  <c r="E84" i="4" a="1"/>
  <c r="E100" i="4" a="1"/>
  <c r="E73" i="4" a="1"/>
  <c r="E101" i="4" a="1"/>
  <c r="E77" i="4" a="1"/>
  <c r="E83" i="4" a="1"/>
  <c r="E74" i="4" a="1"/>
  <c r="E86" i="4" a="1"/>
  <c r="E104" i="4" a="1"/>
  <c r="E88" i="4" a="1"/>
  <c r="E106" i="4" a="1"/>
  <c r="K18" i="3" a="1"/>
  <c r="K20" i="3" a="1"/>
  <c r="K16" i="3" a="1"/>
  <c r="E106" i="4" l="1"/>
  <c r="E88" i="4"/>
  <c r="E104" i="4"/>
  <c r="E86" i="4"/>
  <c r="E74" i="4"/>
  <c r="E83" i="4"/>
  <c r="E77" i="4"/>
  <c r="E101" i="4"/>
  <c r="E73" i="4"/>
  <c r="E100" i="4"/>
  <c r="E84" i="4"/>
  <c r="E72" i="4"/>
  <c r="E67" i="4"/>
  <c r="E111" i="4"/>
  <c r="E85" i="4"/>
  <c r="E112" i="4"/>
  <c r="E82" i="4"/>
  <c r="E64" i="4"/>
  <c r="E14" i="4"/>
  <c r="D23" i="4" s="1"/>
  <c r="E69" i="4"/>
  <c r="E110" i="4"/>
  <c r="E78" i="4"/>
  <c r="E113" i="4"/>
  <c r="E93" i="4"/>
  <c r="E107" i="4"/>
  <c r="E98" i="4"/>
  <c r="E102" i="4"/>
  <c r="E99" i="4"/>
  <c r="E87" i="4"/>
  <c r="E79" i="4"/>
  <c r="E96" i="4"/>
  <c r="E80" i="4"/>
  <c r="E97" i="4"/>
  <c r="E71" i="4"/>
  <c r="E13" i="4"/>
  <c r="E94" i="4"/>
  <c r="E76" i="4"/>
  <c r="E81" i="4"/>
  <c r="E109" i="4"/>
  <c r="E89" i="4"/>
  <c r="E92" i="4"/>
  <c r="E70" i="4"/>
  <c r="E65" i="4"/>
  <c r="E91" i="4"/>
  <c r="E90" i="4"/>
  <c r="E68" i="4"/>
  <c r="E15" i="4"/>
  <c r="E75" i="4"/>
  <c r="E103" i="4"/>
  <c r="E95" i="4"/>
  <c r="E105" i="4"/>
  <c r="E108" i="4"/>
  <c r="E66" i="4"/>
  <c r="E49" i="4"/>
  <c r="D49" i="4"/>
  <c r="E47" i="4"/>
  <c r="D47" i="4"/>
  <c r="F31" i="3" a="1"/>
  <c r="F31" i="3" s="1"/>
  <c r="K16" i="3"/>
  <c r="K20" i="3"/>
  <c r="K18" i="3"/>
  <c r="J21" i="3"/>
  <c r="F28" i="3" s="1" a="1"/>
  <c r="F28" i="3" s="1"/>
  <c r="E16" i="4" a="1"/>
  <c r="D46" i="4" a="1"/>
  <c r="E46" i="4" a="1"/>
  <c r="E50" i="4" a="1"/>
  <c r="D50" i="4" a="1"/>
  <c r="E48" i="4" a="1"/>
  <c r="D48" i="4" a="1"/>
  <c r="D17" i="4" a="1"/>
  <c r="D18" i="4" a="1"/>
  <c r="D18" i="4" l="1"/>
  <c r="D17" i="4"/>
  <c r="D48" i="4"/>
  <c r="E48" i="4"/>
  <c r="D50" i="4"/>
  <c r="E50" i="4"/>
  <c r="E46" i="4"/>
  <c r="D46" i="4"/>
  <c r="E16" i="4"/>
  <c r="K21" i="3"/>
  <c r="F26" i="3" s="1" a="1"/>
  <c r="F26" i="3" s="1"/>
  <c r="C119" i="4" a="1"/>
  <c r="D81" i="4" a="1"/>
  <c r="D111" i="4" a="1"/>
  <c r="D88" i="4" a="1"/>
  <c r="D92" i="4" a="1"/>
  <c r="C194" i="4" a="1"/>
  <c r="C215" i="4" a="1"/>
  <c r="C152" i="4" a="1"/>
  <c r="D84" i="4" a="1"/>
  <c r="C135" i="4" a="1"/>
  <c r="D97" i="4" a="1"/>
  <c r="C126" i="4" a="1"/>
  <c r="D99" i="4" a="1"/>
  <c r="D73" i="4" a="1"/>
  <c r="C147" i="4" a="1"/>
  <c r="C195" i="4" a="1"/>
  <c r="C172" i="4" a="1"/>
  <c r="D85" i="4" a="1"/>
  <c r="D64" i="4" a="1"/>
  <c r="C166" i="4" a="1"/>
  <c r="D102" i="4" a="1"/>
  <c r="D82" i="4" a="1"/>
  <c r="D105" i="4" a="1"/>
  <c r="D78" i="4" a="1"/>
  <c r="C155" i="4" a="1"/>
  <c r="C200" i="4" a="1"/>
  <c r="C129" i="4" a="1"/>
  <c r="D70" i="4" a="1"/>
  <c r="C132" i="4" a="1"/>
  <c r="C118" i="4" a="1"/>
  <c r="C134" i="4" a="1"/>
  <c r="D80" i="4" a="1"/>
  <c r="C123" i="4" a="1"/>
  <c r="D98" i="4" a="1"/>
  <c r="D113" i="4" a="1"/>
  <c r="D89" i="4" a="1"/>
  <c r="C171" i="4" a="1"/>
  <c r="C204" i="4" a="1"/>
  <c r="C141" i="4" a="1"/>
  <c r="D71" i="4" a="1"/>
  <c r="D79" i="4" a="1"/>
  <c r="C162" i="4" a="1"/>
  <c r="D96" i="4" a="1"/>
  <c r="C146" i="4" a="1"/>
  <c r="C127" i="4" a="1"/>
  <c r="C130" i="4" a="1"/>
  <c r="C190" i="4" a="1"/>
  <c r="C175" i="4" a="1"/>
  <c r="C216" i="4" a="1"/>
  <c r="C169" i="4" a="1"/>
  <c r="D68" i="4" a="1"/>
  <c r="D103" i="4" a="1"/>
  <c r="C210" i="4" a="1"/>
  <c r="D52" i="4" a="1"/>
  <c r="D109" i="4" a="1"/>
  <c r="C178" i="4" a="1"/>
  <c r="C150" i="4" a="1"/>
  <c r="C154" i="4" a="1"/>
  <c r="C202" i="4" a="1"/>
  <c r="C187" i="4" a="1"/>
  <c r="D112" i="4" a="1"/>
  <c r="C189" i="4" a="1"/>
  <c r="B6" i="4" a="1"/>
  <c r="D69" i="4" a="1"/>
  <c r="C170" i="4" a="1"/>
  <c r="D87" i="4" a="1"/>
  <c r="C182" i="4" a="1"/>
  <c r="D65" i="4" a="1"/>
  <c r="C206" i="4" a="1"/>
  <c r="C199" i="4" a="1"/>
  <c r="C116" i="4" a="1"/>
  <c r="C209" i="4" a="1"/>
  <c r="C211" i="4" a="1"/>
  <c r="D13" i="4" a="1"/>
  <c r="C151" i="4" a="1"/>
  <c r="C191" i="4" a="1"/>
  <c r="C180" i="4" a="1"/>
  <c r="D106" i="4" a="1"/>
  <c r="C136" i="4" a="1"/>
  <c r="C176" i="4" a="1"/>
  <c r="C145" i="4" a="1"/>
  <c r="C193" i="4" a="1"/>
  <c r="C192" i="4" a="1"/>
  <c r="D108" i="4" a="1"/>
  <c r="C140" i="4" a="1"/>
  <c r="C184" i="4" a="1"/>
  <c r="C157" i="4" a="1"/>
  <c r="C197" i="4" a="1"/>
  <c r="C159" i="4" a="1"/>
  <c r="C207" i="4" a="1"/>
  <c r="C196" i="4" a="1"/>
  <c r="D110" i="4" a="1"/>
  <c r="C144" i="4" a="1"/>
  <c r="D15" i="4" a="1"/>
  <c r="C161" i="4" a="1"/>
  <c r="C201" i="4" a="1"/>
  <c r="C148" i="4" a="1"/>
  <c r="C125" i="4" a="1"/>
  <c r="C165" i="4" a="1"/>
  <c r="C205" i="4" a="1"/>
  <c r="C131" i="4" a="1"/>
  <c r="D100" i="4" a="1"/>
  <c r="D90" i="4" a="1"/>
  <c r="C122" i="4" a="1"/>
  <c r="C142" i="4" a="1"/>
  <c r="D66" i="4" a="1"/>
  <c r="D67" i="4" a="1"/>
  <c r="C186" i="4" a="1"/>
  <c r="C198" i="4" a="1"/>
  <c r="C179" i="4" a="1"/>
  <c r="C139" i="4" a="1"/>
  <c r="C208" i="4" a="1"/>
  <c r="C120" i="4" a="1"/>
  <c r="C164" i="4" a="1"/>
  <c r="C133" i="4" a="1"/>
  <c r="C173" i="4" a="1"/>
  <c r="D107" i="4" a="1"/>
  <c r="D101" i="4" a="1"/>
  <c r="C138" i="4" a="1"/>
  <c r="C174" i="4" a="1"/>
  <c r="D77" i="4" a="1"/>
  <c r="D72" i="4" a="1"/>
  <c r="D75" i="4" a="1"/>
  <c r="C158" i="4" a="1"/>
  <c r="C143" i="4" a="1"/>
  <c r="C183" i="4" a="1"/>
  <c r="C163" i="4" a="1"/>
  <c r="C212" i="4" a="1"/>
  <c r="C124" i="4" a="1"/>
  <c r="C168" i="4" a="1"/>
  <c r="C137" i="4" a="1"/>
  <c r="C177" i="4" a="1"/>
  <c r="C156" i="4" a="1"/>
  <c r="C117" i="4" a="1"/>
  <c r="C149" i="4" a="1"/>
  <c r="C181" i="4" a="1"/>
  <c r="C213" i="4" a="1"/>
  <c r="D95" i="4" a="1"/>
  <c r="D74" i="4" a="1"/>
  <c r="D91" i="4" a="1"/>
  <c r="D86" i="4" a="1"/>
  <c r="D76" i="4" a="1"/>
  <c r="D93" i="4" a="1"/>
  <c r="D83" i="4" a="1"/>
  <c r="D14" i="4" a="1"/>
  <c r="D94" i="4" a="1"/>
  <c r="C214" i="4" a="1"/>
  <c r="C167" i="4" a="1"/>
  <c r="C203" i="4" a="1"/>
  <c r="C188" i="4" a="1"/>
  <c r="D104" i="4" a="1"/>
  <c r="C128" i="4" a="1"/>
  <c r="C160" i="4" a="1"/>
  <c r="C121" i="4" a="1"/>
  <c r="C153" i="4" a="1"/>
  <c r="C185" i="4" a="1"/>
  <c r="C185" i="4" l="1"/>
  <c r="C153" i="4"/>
  <c r="C121" i="4"/>
  <c r="C160" i="4"/>
  <c r="C128" i="4"/>
  <c r="D104" i="4"/>
  <c r="C188" i="4"/>
  <c r="C203" i="4"/>
  <c r="C167" i="4"/>
  <c r="C214" i="4"/>
  <c r="D94" i="4"/>
  <c r="D14" i="4"/>
  <c r="D22" i="4" s="1"/>
  <c r="D24" i="4" s="1"/>
  <c r="D25" i="4" s="1"/>
  <c r="D83" i="4"/>
  <c r="D93" i="4"/>
  <c r="D76" i="4"/>
  <c r="D86" i="4"/>
  <c r="D91" i="4"/>
  <c r="D74" i="4"/>
  <c r="D95" i="4"/>
  <c r="C213" i="4"/>
  <c r="C181" i="4"/>
  <c r="C149" i="4"/>
  <c r="C117" i="4"/>
  <c r="C156" i="4"/>
  <c r="C177" i="4"/>
  <c r="C137" i="4"/>
  <c r="C168" i="4"/>
  <c r="C124" i="4"/>
  <c r="C212" i="4"/>
  <c r="C163" i="4"/>
  <c r="C183" i="4"/>
  <c r="C143" i="4"/>
  <c r="C158" i="4"/>
  <c r="D75" i="4"/>
  <c r="D72" i="4"/>
  <c r="D77" i="4"/>
  <c r="C174" i="4"/>
  <c r="C138" i="4"/>
  <c r="D101" i="4"/>
  <c r="D107" i="4"/>
  <c r="C173" i="4"/>
  <c r="C133" i="4"/>
  <c r="C164" i="4"/>
  <c r="C120" i="4"/>
  <c r="C208" i="4"/>
  <c r="C139" i="4"/>
  <c r="C179" i="4"/>
  <c r="C198" i="4"/>
  <c r="C186" i="4"/>
  <c r="D67" i="4"/>
  <c r="D66" i="4"/>
  <c r="C142" i="4"/>
  <c r="C122" i="4"/>
  <c r="D90" i="4"/>
  <c r="D100" i="4"/>
  <c r="C131" i="4"/>
  <c r="C205" i="4"/>
  <c r="C165" i="4"/>
  <c r="C125" i="4"/>
  <c r="C148" i="4"/>
  <c r="C201" i="4"/>
  <c r="C161" i="4"/>
  <c r="D15" i="4"/>
  <c r="C144" i="4"/>
  <c r="D110" i="4"/>
  <c r="C196" i="4"/>
  <c r="C207" i="4"/>
  <c r="C159" i="4"/>
  <c r="C197" i="4"/>
  <c r="C157" i="4"/>
  <c r="C184" i="4"/>
  <c r="C140" i="4"/>
  <c r="D108" i="4"/>
  <c r="C192" i="4"/>
  <c r="C193" i="4"/>
  <c r="C145" i="4"/>
  <c r="C176" i="4"/>
  <c r="C136" i="4"/>
  <c r="D106" i="4"/>
  <c r="C180" i="4"/>
  <c r="C191" i="4"/>
  <c r="C151" i="4"/>
  <c r="D13" i="4"/>
  <c r="C211" i="4"/>
  <c r="C209" i="4"/>
  <c r="C116" i="4"/>
  <c r="C199" i="4"/>
  <c r="C206" i="4"/>
  <c r="D65" i="4"/>
  <c r="C182" i="4"/>
  <c r="D87" i="4"/>
  <c r="C170" i="4"/>
  <c r="D69" i="4"/>
  <c r="B6" i="4"/>
  <c r="C189" i="4"/>
  <c r="D112" i="4"/>
  <c r="C187" i="4"/>
  <c r="C202" i="4"/>
  <c r="C154" i="4"/>
  <c r="C150" i="4"/>
  <c r="C178" i="4"/>
  <c r="D109" i="4"/>
  <c r="D52" i="4"/>
  <c r="C210" i="4"/>
  <c r="D103" i="4"/>
  <c r="D68" i="4"/>
  <c r="C169" i="4"/>
  <c r="C216" i="4"/>
  <c r="C175" i="4"/>
  <c r="C190" i="4"/>
  <c r="C130" i="4"/>
  <c r="C127" i="4"/>
  <c r="C146" i="4"/>
  <c r="D96" i="4"/>
  <c r="C162" i="4"/>
  <c r="D79" i="4"/>
  <c r="D71" i="4"/>
  <c r="C141" i="4"/>
  <c r="C204" i="4"/>
  <c r="C171" i="4"/>
  <c r="D89" i="4"/>
  <c r="D113" i="4"/>
  <c r="D98" i="4"/>
  <c r="C123" i="4"/>
  <c r="D80" i="4"/>
  <c r="C134" i="4"/>
  <c r="C118" i="4"/>
  <c r="C132" i="4"/>
  <c r="D70" i="4"/>
  <c r="C129" i="4"/>
  <c r="C200" i="4"/>
  <c r="C155" i="4"/>
  <c r="D78" i="4"/>
  <c r="D105" i="4"/>
  <c r="D82" i="4"/>
  <c r="D102" i="4"/>
  <c r="C166" i="4"/>
  <c r="D64" i="4"/>
  <c r="D85" i="4"/>
  <c r="C172" i="4"/>
  <c r="C195" i="4"/>
  <c r="C147" i="4"/>
  <c r="D73" i="4"/>
  <c r="D99" i="4"/>
  <c r="C126" i="4"/>
  <c r="D97" i="4"/>
  <c r="C135" i="4"/>
  <c r="D84" i="4"/>
  <c r="C152" i="4"/>
  <c r="C215" i="4"/>
  <c r="C194" i="4"/>
  <c r="D92" i="4"/>
  <c r="D88" i="4"/>
  <c r="D111" i="4"/>
  <c r="D81" i="4"/>
  <c r="C119" i="4"/>
  <c r="F30" i="3" a="1"/>
  <c r="F30" i="3" s="1"/>
  <c r="D16" i="4" a="1"/>
  <c r="D16" i="4" l="1"/>
  <c r="C237" i="4"/>
  <c r="C227" i="4"/>
  <c r="C239" i="4"/>
  <c r="C238" i="4"/>
  <c r="C242" i="4"/>
  <c r="C228" i="4"/>
  <c r="C241" i="4"/>
  <c r="C224" i="4"/>
  <c r="C240" i="4"/>
  <c r="C221" i="4"/>
  <c r="C232" i="4"/>
  <c r="C243" i="4"/>
  <c r="D243" i="4" s="1"/>
  <c r="G243" i="4" s="1" a="1"/>
  <c r="G243" i="4" s="1"/>
  <c r="C222" i="4"/>
  <c r="C220" i="4"/>
  <c r="C219" i="4"/>
  <c r="C236" i="4"/>
  <c r="C223" i="4"/>
  <c r="C233" i="4"/>
  <c r="C229" i="4"/>
  <c r="C235" i="4"/>
  <c r="C226" i="4"/>
  <c r="C225" i="4"/>
  <c r="C234" i="4"/>
  <c r="C230" i="4"/>
  <c r="C231" i="4"/>
  <c r="E234" i="4" l="1"/>
  <c r="D234" i="4"/>
  <c r="G234" i="4" s="1" a="1"/>
  <c r="G234" i="4" s="1"/>
  <c r="E219" i="4"/>
  <c r="D219" i="4"/>
  <c r="G219" i="4" s="1" a="1"/>
  <c r="G219" i="4" s="1"/>
  <c r="D241" i="4"/>
  <c r="G241" i="4" s="1" a="1"/>
  <c r="G241" i="4" s="1"/>
  <c r="E241" i="4"/>
  <c r="E225" i="4"/>
  <c r="D225" i="4"/>
  <c r="G225" i="4" s="1" a="1"/>
  <c r="G225" i="4" s="1"/>
  <c r="D220" i="4"/>
  <c r="G220" i="4" s="1" a="1"/>
  <c r="G220" i="4" s="1"/>
  <c r="E220" i="4"/>
  <c r="D228" i="4"/>
  <c r="G228" i="4" s="1" a="1"/>
  <c r="G228" i="4" s="1"/>
  <c r="E228" i="4"/>
  <c r="D226" i="4"/>
  <c r="G226" i="4" s="1" a="1"/>
  <c r="G226" i="4" s="1"/>
  <c r="E226" i="4"/>
  <c r="D222" i="4"/>
  <c r="G222" i="4" s="1" a="1"/>
  <c r="G222" i="4" s="1"/>
  <c r="E222" i="4"/>
  <c r="E242" i="4"/>
  <c r="D242" i="4"/>
  <c r="G242" i="4" s="1" a="1"/>
  <c r="G242" i="4" s="1"/>
  <c r="F242" i="4" s="1"/>
  <c r="E235" i="4"/>
  <c r="D235" i="4"/>
  <c r="G235" i="4" s="1" a="1"/>
  <c r="G235" i="4" s="1"/>
  <c r="D238" i="4"/>
  <c r="G238" i="4" s="1" a="1"/>
  <c r="G238" i="4" s="1"/>
  <c r="E238" i="4"/>
  <c r="D229" i="4"/>
  <c r="G229" i="4" s="1" a="1"/>
  <c r="G229" i="4" s="1"/>
  <c r="E229" i="4"/>
  <c r="E232" i="4"/>
  <c r="D232" i="4"/>
  <c r="G232" i="4" s="1" a="1"/>
  <c r="G232" i="4" s="1"/>
  <c r="E239" i="4"/>
  <c r="D239" i="4"/>
  <c r="G239" i="4" s="1" a="1"/>
  <c r="G239" i="4" s="1"/>
  <c r="D233" i="4"/>
  <c r="G233" i="4" s="1" a="1"/>
  <c r="G233" i="4" s="1"/>
  <c r="E233" i="4"/>
  <c r="D221" i="4"/>
  <c r="G221" i="4" s="1" a="1"/>
  <c r="G221" i="4" s="1"/>
  <c r="F220" i="4" s="1"/>
  <c r="E221" i="4"/>
  <c r="D227" i="4"/>
  <c r="G227" i="4" s="1" a="1"/>
  <c r="G227" i="4" s="1"/>
  <c r="E227" i="4"/>
  <c r="D231" i="4"/>
  <c r="G231" i="4" s="1" a="1"/>
  <c r="G231" i="4" s="1"/>
  <c r="E231" i="4"/>
  <c r="D223" i="4"/>
  <c r="G223" i="4" s="1" a="1"/>
  <c r="G223" i="4" s="1"/>
  <c r="E223" i="4"/>
  <c r="D240" i="4"/>
  <c r="G240" i="4" s="1" a="1"/>
  <c r="G240" i="4" s="1"/>
  <c r="E240" i="4"/>
  <c r="D237" i="4"/>
  <c r="G237" i="4" s="1" a="1"/>
  <c r="G237" i="4" s="1"/>
  <c r="E237" i="4"/>
  <c r="E230" i="4"/>
  <c r="D230" i="4"/>
  <c r="G230" i="4" s="1" a="1"/>
  <c r="G230" i="4" s="1"/>
  <c r="D236" i="4"/>
  <c r="G236" i="4" s="1" a="1"/>
  <c r="G236" i="4" s="1"/>
  <c r="F235" i="4" s="1"/>
  <c r="E236" i="4"/>
  <c r="D224" i="4"/>
  <c r="G224" i="4" s="1" a="1"/>
  <c r="G224" i="4" s="1"/>
  <c r="E224" i="4"/>
  <c r="F240" i="4" l="1"/>
  <c r="F234" i="4"/>
  <c r="F232" i="4"/>
  <c r="F237" i="4"/>
  <c r="F227" i="4"/>
  <c r="F222" i="4"/>
  <c r="F221" i="4"/>
  <c r="F229" i="4"/>
  <c r="F225" i="4"/>
  <c r="F230" i="4"/>
  <c r="F231" i="4"/>
  <c r="F236" i="4"/>
  <c r="F223" i="4"/>
  <c r="F239" i="4"/>
  <c r="F228" i="4"/>
  <c r="F224" i="4"/>
  <c r="F238" i="4"/>
  <c r="F226" i="4"/>
  <c r="F241" i="4"/>
  <c r="F233" i="4"/>
  <c r="F219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<sst xmlns="http://schemas.openxmlformats.org/spreadsheetml/2006/main" count="288" uniqueCount="222">
  <si>
    <t xml:space="preserve">Потери кредитного портфеля</t>
  </si>
  <si>
    <t xml:space="preserve">Пример МоделРиск  ·  Корпоративные финансы  ·  CF-07</t>
  </si>
  <si>
    <t xml:space="preserve">Сколько может потерять кредитный портфель в плохой год?  Корреляция дефолтов, потери при дефолте и нужный капитал.</t>
  </si>
  <si>
    <t xml:space="preserve">Далее:  Исходные данные  ▸</t>
  </si>
  <si>
    <t xml:space="preserve">Карточка модели</t>
  </si>
  <si>
    <t xml:space="preserve">Отрасль</t>
  </si>
  <si>
    <t xml:space="preserve">Корпоративные финансы</t>
  </si>
  <si>
    <t xml:space="preserve">Сложность</t>
  </si>
  <si>
    <t xml:space="preserve">★★★★☆   Дефолты в пяти рейтингах, определяемые одним экономическим фактором (Васичек), и случайные потери по каждому дефолту.</t>
  </si>
  <si>
    <t xml:space="preserve">Вопрос бизнеса</t>
  </si>
  <si>
    <t xml:space="preserve">Региональный банк кредитует 2000 малых и средних компаний пяти рейтингов. Он знает частоту дефолтов каждого рейтинга и ожидает терять около 11 млн долл. в год. Сколько он может потерять в плохой год, какой капитал нужен портфелю и какая его часть вызвана тем, что дефолты происходят одновременно?</t>
  </si>
  <si>
    <t xml:space="preserve">Для кого</t>
  </si>
  <si>
    <t xml:space="preserve">Риск-менеджерам по кредитным рискам, казначеям и финансовым директорам банков, страховщикам торговых кредитов, кредиторам с концентрированными портфелями.</t>
  </si>
  <si>
    <t xml:space="preserve">Основные результаты</t>
  </si>
  <si>
    <t xml:space="preserve">Кредитные потери за год: ожидаемые потери, VaR и ES при выбранном уровне доверия, необходимый капитал в сравнении с имеющимся с выводом и вероятность его превышения — при коррелированных и при независимых дефолтах · потери по рейтингам в сравнении с ожидаемыми.</t>
  </si>
  <si>
    <t xml:space="preserve">Приемы МоделРиск</t>
  </si>
  <si>
    <t xml:space="preserve">Однофакторная гауссова копула (Васичек): экономика сдвигает вероятность дефолта каждого заемщика · дефолты по рейтингам выбираются с VoseBinomial · потери по каждому дефолту по бета-распределению, суммированные с VoseAggregateMC · сравнение с независимыми дефолтами · S-кривые и гистограмма.</t>
  </si>
  <si>
    <t xml:space="preserve">Файл</t>
  </si>
  <si>
    <t xml:space="preserve">CF-07 Потери кредитного портфеля  ·  Версия 1.0  ·  Ноябрь 2026  ·  создано в МоделРиск</t>
  </si>
  <si>
    <t xml:space="preserve">Вопрос бизнеса</t>
  </si>
  <si>
    <t xml:space="preserve">Региональный банк выдал 1,4 млрд долл. кредитов 2000 малым и средним компаниям с рейтингами от A до E. История дает годовую частоту дефолтов каждого рейтинга — от 0,3% для рейтинга A до 9% для рейтинга E, — и в среднем банк возвращает немногим больше половины долга дефолтного заемщика. Перемножив эти величины, банк ожидает терять около 11 млн долл. в год. Но дефолты не происходят независимо: рецессия сразу повышает вероятность дефолта каждого заемщика, и в плохой год многие уходят в дефолт одновременно. Модель каждый год выбирает состояние экономики, вызванные им дефолты в каждом рейтинге и потери по каждому дефолту и сравнивает результат с независимыми дефолтами.</t>
  </si>
  <si>
    <t xml:space="preserve">Как устроена модель</t>
  </si>
  <si>
    <t xml:space="preserve">Дальше три листа, слева направо. Каждый передает данные следующему.</t>
  </si>
  <si>
    <t xml:space="preserve">1  Исходные данные</t>
  </si>
  <si>
    <t xml:space="preserve">Для каждого рейтинга — число кредитов, сумма на один кредит и долгосрочная годовая вероятность дефолта; среднее и разброс потерь при дефолте; корреляция активов заемщиков; имеющийся капитал.</t>
  </si>
  <si>
    <t xml:space="preserve">2  Кредитный портфель</t>
  </si>
  <si>
    <t xml:space="preserve">Нормальная выборка представляет экономику. Годовая вероятность дефолта каждого рейтинга меняется вместе с ней (формула Васичека); VoseBinomial выбирает число дефолтов, а VoseAggregateMC складывает потери по каждому из них, распределенные по бета-распределению. Рядом выбирается тот же портфель с независимыми дефолтами.</t>
  </si>
  <si>
    <t xml:space="preserve">3  Результаты</t>
  </si>
  <si>
    <t xml:space="preserve">Средние потери, VaR и ES, необходимый капитал сверх ожидаемых потерь и вероятность превысить имеющийся капитал — при коррелированных и независимых дефолтах — и потери по рейтингам.</t>
  </si>
  <si>
    <t xml:space="preserve">Как пользоваться моделью</t>
  </si>
  <si>
    <t xml:space="preserve">Шаг 1</t>
  </si>
  <si>
    <t xml:space="preserve">Введите свой портфель по рейтингам, свой опыт потерь при дефолте и имеющийся капитал.</t>
  </si>
  <si>
    <t xml:space="preserve">Шаг 2</t>
  </si>
  <si>
    <t xml:space="preserve">Задайте корреляцию активов: регуляторные формулы дают от 12% до 24% для корпоративных кредитов.</t>
  </si>
  <si>
    <t xml:space="preserve">Шаг 3</t>
  </si>
  <si>
    <t xml:space="preserve">Запустите моделирование с ленты МоделРиск (задано 10 000 итераций с фиксированным начальным числом; для уровня 99,9% используйте 100 000).</t>
  </si>
  <si>
    <t xml:space="preserve">Шаг 4</t>
  </si>
  <si>
    <t xml:space="preserve">Сравните необходимый капитал при своем уровне доверия с имеющимся; проверьте лимиты по рейтингам.</t>
  </si>
  <si>
    <t xml:space="preserve">Структура модели</t>
  </si>
  <si>
    <t xml:space="preserve">Исходные данные</t>
  </si>
  <si>
    <t xml:space="preserve">Потери при дефолте, корреляция, капитал и уровень доверия, который он должен покрывать; кредитный портфель по рейтингам.</t>
  </si>
  <si>
    <t xml:space="preserve">Кредитный портфель</t>
  </si>
  <si>
    <t xml:space="preserve">Экономика, вероятности дефолта, дефолты и потери по рейтингам, коррелированные и независимые; результаты и проверки.</t>
  </si>
  <si>
    <t xml:space="preserve">Результаты</t>
  </si>
  <si>
    <t xml:space="preserve">Распределение потерь, VaR и ES, капитал, потери по рейтингам.</t>
  </si>
  <si>
    <t xml:space="preserve">Цветовые обозначения</t>
  </si>
  <si>
    <t xml:space="preserve">Исходное значение</t>
  </si>
  <si>
    <t xml:space="preserve">Допущение, которое можно менять. Исходные данные — только в этих ячейках.</t>
  </si>
  <si>
    <t xml:space="preserve">Неопределенная величина</t>
  </si>
  <si>
    <t xml:space="preserve">Распределение МоделРиск: новое случайное значение выбирается при каждом пересчете (F9) и в каждой итерации моделирования.</t>
  </si>
  <si>
    <t xml:space="preserve">Расчет</t>
  </si>
  <si>
    <t xml:space="preserve">Формула. Не перезаписывайте.</t>
  </si>
  <si>
    <t xml:space="preserve">Ключевой результат</t>
  </si>
  <si>
    <t xml:space="preserve">Отмечен функцией VoseOutput: при моделировании сохраняется его полное распределение.</t>
  </si>
  <si>
    <t xml:space="preserve">Результат моделирования</t>
  </si>
  <si>
    <t xml:space="preserve">Функция VoseSim…: статистика последнего моделирования, заполняется автоматически.</t>
  </si>
  <si>
    <t xml:space="preserve">Единицы и обозначения</t>
  </si>
  <si>
    <t xml:space="preserve">Деньги</t>
  </si>
  <si>
    <t xml:space="preserve">Миллионы долларов США (млн долл.); потери положительны.</t>
  </si>
  <si>
    <t xml:space="preserve">Вероятность дефолта</t>
  </si>
  <si>
    <t xml:space="preserve">Вероятность, что заемщик допустит дефолт в течение года.</t>
  </si>
  <si>
    <t xml:space="preserve">Потери при дефолте</t>
  </si>
  <si>
    <t xml:space="preserve">Доля суммы кредита, теряемая при дефолте заемщика, после взыскания.</t>
  </si>
  <si>
    <t xml:space="preserve">Необходимый капитал</t>
  </si>
  <si>
    <t xml:space="preserve">Потери при заданном уровне доверия за вычетом ожидаемых потерь, которые покрываются ценообразованием и резервами.</t>
  </si>
  <si>
    <t xml:space="preserve">Основные допущения и ограничения</t>
  </si>
  <si>
    <t xml:space="preserve">Дефолты</t>
  </si>
  <si>
    <t xml:space="preserve">Один экономический фактор определяет все рейтинги (одна корреляция активов); внутри рейтинга заемщики одинаковы.</t>
  </si>
  <si>
    <t xml:space="preserve">Потери</t>
  </si>
  <si>
    <t xml:space="preserve">Сумма под риском при дефолте равна кредиту; потери при дефолте не зависят от экономики.</t>
  </si>
  <si>
    <t xml:space="preserve">Горизонт</t>
  </si>
  <si>
    <t xml:space="preserve">Один год; без новых кредитов и погашений в течение года.</t>
  </si>
  <si>
    <t xml:space="preserve">Данные</t>
  </si>
  <si>
    <t xml:space="preserve">Банк и все цифры придуманы для этого примера.</t>
  </si>
  <si>
    <t xml:space="preserve">Функции МоделРиск в модели</t>
  </si>
  <si>
    <t>VoseNormal</t>
  </si>
  <si>
    <t xml:space="preserve">Состояние экономики в этом году: единственный фактор, стоящий за коррелированными дефолтами.</t>
  </si>
  <si>
    <t>VoseBinomial</t>
  </si>
  <si>
    <t xml:space="preserve">Число дефолтов в каждом рейтинге при вероятности дефолта этого года.</t>
  </si>
  <si>
    <t>VoseAggregateMC, VoseBetaObject</t>
  </si>
  <si>
    <t xml:space="preserve">Сумма потерь при дефолте, распределенных по бета-распределению, по каждому дефолту.</t>
  </si>
  <si>
    <t xml:space="preserve">НОРМ.СТ.РАСП, НОРМ.СТ.ОБР (Excel)</t>
  </si>
  <si>
    <t xml:space="preserve">Формула Васичека для вероятности дефолта при заданном состоянии экономики.</t>
  </si>
  <si>
    <t>VoseSimCVARp, VoseSimPercentile, VoseSimMean</t>
  </si>
  <si>
    <t xml:space="preserve">ES, VaR и другие статистики на листе «Результаты».</t>
  </si>
  <si>
    <t xml:space="preserve">Что почитать</t>
  </si>
  <si>
    <t xml:space="preserve">Кредитный риск</t>
  </si>
  <si>
    <t>Vasicek, O. (2002). The distribution of loan portfolio value. Risk 15(12), 160–162.</t>
  </si>
  <si>
    <t xml:space="preserve">Анализ рисков</t>
  </si>
  <si>
    <t xml:space="preserve">Корреляция рисков в модели Монте-Карло: зачем и как учитывать (статья)</t>
  </si>
  <si>
    <t xml:space="preserve">© 2026 ООО «Стратегия Риска»   ·   www.riskstrategy.ru   ·   Учебный пример: цифры придуманы для обучения и не описывают реальную компанию, проект или актив.</t>
  </si>
  <si>
    <t xml:space="preserve">ИСХОДНЫЕ ДАННЫЕ   ·   Все допущения модели, их неопределенность и обоснование. Меняйте только желтые ячейки.</t>
  </si>
  <si>
    <t xml:space="preserve">◂  Описание</t>
  </si>
  <si>
    <t xml:space="preserve">Далее:  Кредитный портфель  ▸</t>
  </si>
  <si>
    <t xml:space="preserve">Как читать этот лист:  желтые ячейки — исходные данные.</t>
  </si>
  <si>
    <t xml:space="preserve">1   Потери и корреляция</t>
  </si>
  <si>
    <t xml:space="preserve">Во что обходится дефолт и как дефолты связаны между собой.</t>
  </si>
  <si>
    <t xml:space="preserve">Допущение</t>
  </si>
  <si>
    <t xml:space="preserve">Ед. изм.</t>
  </si>
  <si>
    <t xml:space="preserve">Значение в модели</t>
  </si>
  <si>
    <t xml:space="preserve">Неопределенность</t>
  </si>
  <si>
    <t xml:space="preserve">Обоснование / источник (условно)</t>
  </si>
  <si>
    <t xml:space="preserve">Потери при дефолте: среднее</t>
  </si>
  <si>
    <t xml:space="preserve">от суммы</t>
  </si>
  <si>
    <t xml:space="preserve">Константа</t>
  </si>
  <si>
    <t xml:space="preserve">История взыскания: в среднем возвращается 55%.</t>
  </si>
  <si>
    <t xml:space="preserve">Потери при дефолте: стандартное отклонение</t>
  </si>
  <si>
    <t xml:space="preserve">От кредита к кредиту.</t>
  </si>
  <si>
    <t xml:space="preserve">Корреляция активов</t>
  </si>
  <si>
    <t xml:space="preserve">Регуляторная формула для малых компаний: от 12% до 24%.</t>
  </si>
  <si>
    <t xml:space="preserve">2   Капитал</t>
  </si>
  <si>
    <t xml:space="preserve">Резервируется под непредвиденные потери по этому портфелю.</t>
  </si>
  <si>
    <t xml:space="preserve">Имеющийся капитал</t>
  </si>
  <si>
    <t xml:space="preserve">млн долл.</t>
  </si>
  <si>
    <t xml:space="preserve">Сверх ожидаемых потерь, которые покрывают резервы.</t>
  </si>
  <si>
    <t xml:space="preserve">Уровень доверия, который должен покрывать капитал</t>
  </si>
  <si>
    <t xml:space="preserve">Регуляторы используют 99,9%: для него запускайте 100 000 итераций; 10 000 дают грубую оценку.</t>
  </si>
  <si>
    <t xml:space="preserve">3   Кредитный портфель по рейтингам</t>
  </si>
  <si>
    <t xml:space="preserve">Долгосрочные годовые вероятности дефолта по истории рейтингов банка.</t>
  </si>
  <si>
    <t xml:space="preserve">Рейтинг</t>
  </si>
  <si>
    <t xml:space="preserve">Кредиты</t>
  </si>
  <si>
    <t xml:space="preserve">Сумма</t>
  </si>
  <si>
    <t xml:space="preserve">Дефолт</t>
  </si>
  <si>
    <t xml:space="preserve">на кредит, млн долл.</t>
  </si>
  <si>
    <t xml:space="preserve">вероятность</t>
  </si>
  <si>
    <t xml:space="preserve">Рейтинг A</t>
  </si>
  <si>
    <t xml:space="preserve">Устойчивые компании, хорошее покрытие.</t>
  </si>
  <si>
    <t xml:space="preserve">Рейтинг B</t>
  </si>
  <si>
    <t xml:space="preserve">Рейтинг C</t>
  </si>
  <si>
    <t xml:space="preserve">Рейтинг D</t>
  </si>
  <si>
    <t xml:space="preserve">Рейтинг E</t>
  </si>
  <si>
    <t xml:space="preserve">Список наблюдения.</t>
  </si>
  <si>
    <t xml:space="preserve">КРЕДИТНЫЙ ПОРТФЕЛЬ   ·   Экономика этого года, дефолты и потери по рейтингам, коррелированные и независимые (млн долл.).</t>
  </si>
  <si>
    <t xml:space="preserve">◂  Исходные данные</t>
  </si>
  <si>
    <t xml:space="preserve">Далее:  Результаты  ▸</t>
  </si>
  <si>
    <t xml:space="preserve">1   Единичные значения этой итерации</t>
  </si>
  <si>
    <t xml:space="preserve">Величина</t>
  </si>
  <si>
    <t xml:space="preserve">Значение</t>
  </si>
  <si>
    <t xml:space="preserve">Как рассчитывается</t>
  </si>
  <si>
    <t xml:space="preserve">Экономика  (ниже 0 — плохой год)</t>
  </si>
  <si>
    <t xml:space="preserve">VoseNormal(0, 1): единственный фактор, стоящий за всеми дефолтами</t>
  </si>
  <si>
    <t xml:space="preserve">Потери при дефолте: бета α</t>
  </si>
  <si>
    <t xml:space="preserve">По среднему и стандартному отклонению</t>
  </si>
  <si>
    <t xml:space="preserve">Потери при дефолте: бета β</t>
  </si>
  <si>
    <t xml:space="preserve">2   Дефолты и потери по рейтингам</t>
  </si>
  <si>
    <t xml:space="preserve">Рейтинг уходит в дефолт, когда активы заемщиков падают ниже порога дефолта: вероятность этого года = Φ((порог − √ρ × экономика) ÷ √(1 − ρ)). Потери: VoseAggregateMC бета-распределенных потерь по каждому дефолту, умноженных на сумму кредита.</t>
  </si>
  <si>
    <t xml:space="preserve">Этого года</t>
  </si>
  <si>
    <t xml:space="preserve">Ожидаемое</t>
  </si>
  <si>
    <t xml:space="preserve">Потери</t>
  </si>
  <si>
    <t xml:space="preserve">на кредит</t>
  </si>
  <si>
    <t xml:space="preserve">порог</t>
  </si>
  <si>
    <t xml:space="preserve">потери</t>
  </si>
  <si>
    <t xml:space="preserve">коррелир.</t>
  </si>
  <si>
    <t xml:space="preserve">независ.</t>
  </si>
  <si>
    <t xml:space="preserve">Порог: Φ⁻¹(долгосрочная вероятность).</t>
  </si>
  <si>
    <t xml:space="preserve">Ожидаемые потери: сумма × вероятность × средние потери при дефолте.</t>
  </si>
  <si>
    <t xml:space="preserve">Дефолты: VoseBinomial(кредиты, вероятность).</t>
  </si>
  <si>
    <t xml:space="preserve">Независимые: долгосрочная вероятность в каждом году.</t>
  </si>
  <si>
    <t xml:space="preserve">Итого</t>
  </si>
  <si>
    <t xml:space="preserve">3   Значение в этой итерации</t>
  </si>
  <si>
    <t xml:space="preserve">Ключевые результаты, которые МоделРиск записывает в каждой итерации (VoseOutput). Их статистика — на листе «Результаты».</t>
  </si>
  <si>
    <t xml:space="preserve">Результат</t>
  </si>
  <si>
    <t xml:space="preserve">Смысл</t>
  </si>
  <si>
    <t xml:space="preserve">Кредитные потери, коррелированные дефолты</t>
  </si>
  <si>
    <t xml:space="preserve">Потери банка в этом году.</t>
  </si>
  <si>
    <t xml:space="preserve">Кредитные потери, независимые дефолты</t>
  </si>
  <si>
    <t xml:space="preserve">Для сравнения.</t>
  </si>
  <si>
    <t xml:space="preserve">Дефолты, коррелированные</t>
  </si>
  <si>
    <t xml:space="preserve">кредитов</t>
  </si>
  <si>
    <t xml:space="preserve">Дефолты, независимые</t>
  </si>
  <si>
    <t xml:space="preserve">Потери выше ожидаемых потерь + капитала?  (1 — да)</t>
  </si>
  <si>
    <t>1 / 0</t>
  </si>
  <si>
    <t xml:space="preserve">То же, независимые дефолты</t>
  </si>
  <si>
    <t xml:space="preserve">Ожидаемые потери</t>
  </si>
  <si>
    <t xml:space="preserve">Итог столбца ожидаемых потерь.</t>
  </si>
  <si>
    <t xml:space="preserve">4   Проверки модели</t>
  </si>
  <si>
    <t xml:space="preserve">Везде должно быть «ОК». «ПРОВЕРИТЬ» означает, что исходное значение вышло за пределы, на которые рассчитана модель.</t>
  </si>
  <si>
    <t xml:space="preserve">Потери при дефолте: стандартное отклонение допустимо при этом среднем</t>
  </si>
  <si>
    <t xml:space="preserve">Корреляция активов от 0% до 100%</t>
  </si>
  <si>
    <t xml:space="preserve">РЕЗУЛЬТАТЫ   ·   Заполняются автоматически по последнему моделированию. После изменения исходных данных запустите моделирование снова.</t>
  </si>
  <si>
    <t xml:space="preserve">◂  Кредитный портфель</t>
  </si>
  <si>
    <t xml:space="preserve">1   Сколько может потерять кредитный портфель за год?</t>
  </si>
  <si>
    <t xml:space="preserve">Кредитные потери — интегральная вероятность</t>
  </si>
  <si>
    <t xml:space="preserve">Кредитные потери за год (млн долл.) при коррелированных и независимых дефолтах, с уровнем доверия с листа «Исходные данные».</t>
  </si>
  <si>
    <t xml:space="preserve">Показатель</t>
  </si>
  <si>
    <t xml:space="preserve">Коррелированные</t>
  </si>
  <si>
    <t xml:space="preserve">Независимые</t>
  </si>
  <si>
    <t xml:space="preserve">дефолты</t>
  </si>
  <si>
    <t xml:space="preserve">Средние потери</t>
  </si>
  <si>
    <t xml:space="preserve">Вероятность, что потери превысят ожидаемые потери + имеющийся капитал</t>
  </si>
  <si>
    <t xml:space="preserve">Среднее число дефолтов</t>
  </si>
  <si>
    <t xml:space="preserve">Имеющийся капитал  (лист «Исходные данные»)</t>
  </si>
  <si>
    <t xml:space="preserve">Необходимый капитал: VaR − ожидаемые потери</t>
  </si>
  <si>
    <t xml:space="preserve">Необходимый капитал, если бы дефолты были независимы</t>
  </si>
  <si>
    <t xml:space="preserve">Имеющийся капитал − необходимый капитал</t>
  </si>
  <si>
    <t xml:space="preserve">Вывод</t>
  </si>
  <si>
    <t xml:space="preserve">Кредитные потери при коррелированных дефолтах — распределение</t>
  </si>
  <si>
    <t xml:space="preserve">2   Откуда берутся потери</t>
  </si>
  <si>
    <t xml:space="preserve">Потери по рейтингам (млн долл.): ожидаемые по формуле, средние по моделированию и в плохой год. Первые две совпадают — это встроенная проверка.</t>
  </si>
  <si>
    <t xml:space="preserve">Среднее</t>
  </si>
  <si>
    <t xml:space="preserve">При</t>
  </si>
  <si>
    <t xml:space="preserve">по моделированию</t>
  </si>
  <si>
    <t xml:space="preserve">уровне доверия</t>
  </si>
  <si>
    <t xml:space="preserve">Ранговая корреляция потерь и экономики</t>
  </si>
  <si>
    <t xml:space="preserve">3   Как читать результаты</t>
  </si>
  <si>
    <t xml:space="preserve">•  Вероятность дефолта каждого заемщика зависит от одной и той же экономики. В хороший год дефолтов мало; в плохой год многие уходят в дефолт одновременно. Ожидаемые потери одинаковы в обоих случаях, но плохие годы при коррелированных дефолтах намного хуже.</t>
  </si>
  <si>
    <t xml:space="preserve">•  При независимых дефолтах потери почти не менялись бы от года к году, а необходимый портфелю капитал составил бы лишь долю от истинного: пренебрежение корреляцией дефолтов — классический способ недокапитализировать кредитный портфель.</t>
  </si>
  <si>
    <t xml:space="preserve">•  Больше всего денег в плохой год теряется не в самом рискованном рейтинге. Более крупные портфели средних рейтингов с умеренной частотой дефолтов теряют больше, когда экономика разворачивается вниз.</t>
  </si>
  <si>
    <t xml:space="preserve">•  Для регуляторного капитала используется 99,9%, далеко в хвосте: 10 000 итераций дают лишь грубую оценку. Задайте уровень доверия на листе «Исходные данные» и запустите 100 000 итераций, прежде чем полагаться на результат.</t>
  </si>
  <si>
    <t xml:space="preserve">Данные для графиков</t>
  </si>
  <si>
    <t xml:space="preserve">Статистика последнего моделирования для графиков и рейтинга выше. Строки сгруппированы: нажмите «+» на левом поле, чтобы их показать.</t>
  </si>
  <si>
    <t xml:space="preserve">Накопленная вероятность</t>
  </si>
  <si>
    <t xml:space="preserve">Вероятность превышения</t>
  </si>
  <si>
    <t>Loss0</t>
  </si>
  <si>
    <t xml:space="preserve">Процентили: потери</t>
  </si>
  <si>
    <t xml:space="preserve">Гистограмма: потери</t>
  </si>
  <si>
    <t xml:space="preserve">Граница</t>
  </si>
  <si>
    <t xml:space="preserve">Индекс</t>
  </si>
  <si>
    <t xml:space="preserve">Середина</t>
  </si>
  <si>
    <t xml:space="preserve">Вероятность</t>
  </si>
  <si>
    <t xml:space="preserve">Ниже границы</t>
  </si>
  <si>
    <t>DSN Files Count: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</si>
</sst>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_);\(#,##0\);&quot;–&quot;_)"/>
    <numFmt numFmtId="165" formatCode="0.0%"/>
    <numFmt numFmtId="166" formatCode="#,##0.00_);\(#,##0.00\);&quot;–&quot;_)"/>
    <numFmt numFmtId="167" formatCode="0.000"/>
    <numFmt numFmtId="168" formatCode="#,##0.0_);\(#,##0.0\);&quot;–&quot;_)"/>
    <numFmt numFmtId="169" formatCode="#,##0.0_);\(#,##0.0\);&quot;–&quot;_);&quot;–&quot;"/>
    <numFmt numFmtId="170" formatCode="0.0%;\-0.0%;0.0%;&quot;–&quot;"/>
    <numFmt numFmtId="171" formatCode="#,##0_);\(#,##0\);&quot;–&quot;_);&quot;–&quot;"/>
    <numFmt numFmtId="172" formatCode="#,##0.00_);\(#,##0.00\);&quot;–&quot;_);&quot;–&quot;"/>
    <numFmt numFmtId="173" formatCode="0.00;\-0.00;0.00;&quot;–&quot;"/>
  </numFmts>
  <fonts count="24" x14ac:knownFonts="1">
    <font>
      <sz val="11"/>
      <color theme="1"/>
      <name val="Calibri"/>
      <family val="2"/>
      <scheme val="minor"/>
    </font>
    <font>
      <sz val="10"/>
      <color rgb="FF1F2328"/>
      <name val="Calibri"/>
    </font>
    <font>
      <sz val="10"/>
      <color rgb="FF9A3412"/>
      <name val="Calibri"/>
    </font>
    <font>
      <sz val="10"/>
      <color rgb="FF111214"/>
      <name val="Calibri"/>
    </font>
    <font>
      <b/>
      <sz val="10"/>
      <color rgb="FF14532D"/>
      <name val="Calibri"/>
    </font>
    <font>
      <b/>
      <sz val="16"/>
      <color rgb="FF111214"/>
      <name val="Calibri"/>
    </font>
    <font>
      <sz val="10"/>
      <color rgb="FF55585F"/>
      <name val="Calibri"/>
    </font>
    <font>
      <sz val="9"/>
      <color rgb="FF55585F"/>
      <name val="Calibri"/>
    </font>
    <font>
      <u/>
      <sz val="9"/>
      <color rgb="FF1F2328"/>
      <name val="Calibri"/>
    </font>
    <font>
      <b/>
      <sz val="20"/>
      <color rgb="FF111214"/>
      <name val="Calibri"/>
    </font>
    <font>
      <b/>
      <sz val="12"/>
      <color rgb="FF1F2328"/>
      <name val="Calibri"/>
    </font>
    <font>
      <b/>
      <sz val="10"/>
      <color rgb="FF55585F"/>
      <name val="Calibri"/>
    </font>
    <font>
      <b/>
      <sz val="10"/>
      <color rgb="FF111214"/>
      <name val="Calibri"/>
    </font>
    <font>
      <i/>
      <sz val="9"/>
      <color rgb="FF55585F"/>
      <name val="Calibri"/>
    </font>
    <font>
      <u/>
      <sz val="10"/>
      <color rgb="FF1F2328"/>
      <name val="Calibri"/>
    </font>
    <font>
      <b/>
      <sz val="10"/>
      <color rgb="FF1F2328"/>
      <name val="Calibri"/>
    </font>
    <font>
      <i/>
      <sz val="9"/>
      <color rgb="FF8B8E95"/>
      <name val="Calibri"/>
    </font>
    <font>
      <b/>
      <sz val="9"/>
      <color rgb="FF55585F"/>
      <name val="Calibri"/>
    </font>
    <font>
      <sz val="9"/>
      <color rgb="FF55585F"/>
      <name val="Calibri"/>
    </font>
    <font>
      <sz val="8"/>
      <color rgb="FF55585F"/>
      <name val="Calibri"/>
    </font>
    <font>
      <b/>
      <sz val="10"/>
      <color rgb="FF15803D"/>
      <name val="Calibri"/>
    </font>
    <font>
      <sz val="10"/>
      <color rgb="FF55585F"/>
      <name val="Calibri"/>
    </font>
    <font>
      <sz val="9"/>
      <color rgb="FF8B8E95"/>
      <name val="Calibri"/>
    </font>
    <font>
      <b/>
      <sz val="11"/>
      <color rgb="FF1F2328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4CC"/>
        <bgColor rgb="FFFFF4CC"/>
      </patternFill>
    </fill>
    <fill>
      <patternFill patternType="solid">
        <fgColor rgb="FFFCE4D6"/>
        <bgColor rgb="FFFCE4D6"/>
      </patternFill>
    </fill>
    <fill>
      <patternFill patternType="solid">
        <fgColor rgb="FFE3F1E6"/>
        <bgColor rgb="FFE3F1E6"/>
      </patternFill>
    </fill>
    <fill>
      <patternFill patternType="solid">
        <fgColor rgb="FFEEF0F2"/>
        <bgColor rgb="FFEEF0F2"/>
      </patternFill>
    </fill>
    <fill>
      <patternFill patternType="solid">
        <fgColor rgb="FFF4F4F5"/>
        <bgColor rgb="FFF4F4F5"/>
      </patternFill>
    </fill>
    <fill>
      <patternFill patternType="solid">
        <fgColor rgb="FFF4F4F5"/>
        <bgColor rgb="FFF4F4F5"/>
      </patternFill>
    </fill>
  </fills>
  <borders count="11">
    <border>
      <left/>
      <right/>
      <top/>
      <bottom/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D9DADD"/>
      </bottom>
      <diagonal/>
    </border>
    <border>
      <left/>
      <right/>
      <top/>
      <bottom/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15803D"/>
      </bottom>
      <diagonal/>
    </border>
    <border>
      <left/>
      <right/>
      <top/>
      <bottom style="thin">
        <color rgb="FFD9DADD"/>
      </bottom>
      <diagonal/>
    </border>
    <border>
      <left/>
      <right/>
      <top/>
      <bottom style="medium">
        <color rgb="FF2F3136"/>
      </bottom>
      <diagonal/>
    </border>
    <border>
      <left/>
      <right/>
      <top/>
      <bottom style="thin">
        <color rgb="FFECEDEF"/>
      </bottom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ECEDEF"/>
      </bottom>
      <diagonal/>
    </border>
    <border>
      <left/>
      <right/>
      <top/>
      <bottom style="thin">
        <color rgb="FFECEDEF"/>
      </bottom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ECEDEF"/>
      </bottom>
      <diagonal/>
    </border>
    <border>
      <left/>
      <right/>
      <top style="thin">
        <color rgb="FFD9DADD"/>
      </top>
      <bottom style="thin">
        <color rgb="FFD9DADD"/>
      </bottom>
      <diagonal/>
    </border>
  </borders>
  <cellStyleXfs count="6">
    <xf numFmtId="0" fontId="0" fillId="0" borderId="0"/>
    <xf numFmtId="0" fontId="1" fillId="2" borderId="1">
      <alignment horizontal="right" vertical="center"/>
    </xf>
    <xf numFmtId="0" fontId="2" fillId="3" borderId="1">
      <alignment horizontal="right" vertical="center"/>
    </xf>
    <xf numFmtId="0" fontId="3" fillId="0" borderId="2">
      <alignment horizontal="right" vertical="center"/>
    </xf>
    <xf numFmtId="0" fontId="4" fillId="4" borderId="3">
      <alignment horizontal="right" vertical="center"/>
    </xf>
    <xf numFmtId="0" fontId="1" fillId="5" borderId="1">
      <alignment horizontal="right" vertical="center"/>
    </xf>
  </cellStyleXfs>
  <cellXfs count="77">
    <xf numFmtId="0" fontId="0" fillId="0" borderId="0" xfId="0"/>
    <xf numFmtId="0" fontId="0" fillId="6" borderId="0" xfId="0" applyFill="1"/>
    <xf numFmtId="0" fontId="9" fillId="6" borderId="0" xfId="0" applyFont="1" applyFill="1" applyAlignment="1">
      <alignment vertical="center"/>
    </xf>
    <xf numFmtId="0" fontId="7" fillId="6" borderId="0" xfId="0" applyFont="1" applyFill="1" applyAlignment="1">
      <alignment horizontal="right" vertical="center"/>
    </xf>
    <xf numFmtId="0" fontId="6" fillId="6" borderId="0" xfId="0" applyFont="1" applyFill="1" applyAlignment="1">
      <alignment vertical="center"/>
    </xf>
    <xf numFmtId="0" fontId="0" fillId="7" borderId="4" xfId="0" applyFill="1" applyBorder="1"/>
    <xf numFmtId="0" fontId="8" fillId="7" borderId="4" xfId="0" applyFont="1" applyFill="1" applyBorder="1" applyAlignment="1">
      <alignment horizontal="right" vertical="center"/>
    </xf>
    <xf numFmtId="0" fontId="10" fillId="0" borderId="5" xfId="0" applyFont="1" applyBorder="1"/>
    <xf numFmtId="0" fontId="0" fillId="0" borderId="5" xfId="0" applyBorder="1"/>
    <xf numFmtId="0" fontId="11" fillId="0" borderId="6" xfId="0" applyFont="1" applyBorder="1" applyAlignment="1">
      <alignment horizontal="left" vertical="top" indent="1"/>
    </xf>
    <xf numFmtId="0" fontId="3" fillId="0" borderId="6" xfId="0" applyFont="1" applyBorder="1" applyAlignment="1">
      <alignment horizontal="left" vertical="top" wrapText="1" indent="1"/>
    </xf>
    <xf numFmtId="0" fontId="12" fillId="0" borderId="6" xfId="0" applyFont="1" applyBorder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vertical="center"/>
    </xf>
    <xf numFmtId="0" fontId="14" fillId="0" borderId="6" xfId="0" applyFont="1" applyBorder="1" applyAlignment="1">
      <alignment horizontal="left" vertical="center" indent="1"/>
    </xf>
    <xf numFmtId="0" fontId="1" fillId="2" borderId="1" xfId="1" applyAlignment="1">
      <alignment horizontal="center" vertical="center"/>
    </xf>
    <xf numFmtId="0" fontId="2" fillId="3" borderId="1" xfId="2" applyAlignment="1">
      <alignment horizontal="center" vertical="center"/>
    </xf>
    <xf numFmtId="0" fontId="3" fillId="0" borderId="2" xfId="3" applyAlignment="1">
      <alignment horizontal="center" vertical="center"/>
    </xf>
    <xf numFmtId="0" fontId="4" fillId="4" borderId="3" xfId="4" applyAlignment="1">
      <alignment horizontal="center" vertical="center"/>
    </xf>
    <xf numFmtId="0" fontId="1" fillId="5" borderId="1" xfId="5" applyAlignment="1">
      <alignment horizontal="center" vertical="center"/>
    </xf>
    <xf numFmtId="0" fontId="15" fillId="0" borderId="6" xfId="0" applyFont="1" applyBorder="1" applyAlignment="1">
      <alignment horizontal="left" vertical="top" wrapText="1" indent="1"/>
    </xf>
    <xf numFmtId="0" fontId="5" fillId="6" borderId="0" xfId="0" applyFont="1" applyFill="1" applyAlignment="1">
      <alignment vertical="center"/>
    </xf>
    <xf numFmtId="0" fontId="8" fillId="7" borderId="4" xfId="0" applyFont="1" applyFill="1" applyBorder="1" applyAlignment="1">
      <alignment vertical="center"/>
    </xf>
    <xf numFmtId="0" fontId="17" fillId="7" borderId="4" xfId="0" applyFont="1" applyFill="1" applyBorder="1" applyAlignment="1">
      <alignment horizontal="left" vertical="center" wrapText="1" indent="1"/>
    </xf>
    <xf numFmtId="0" fontId="17" fillId="7" borderId="4" xfId="0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indent="1"/>
    </xf>
    <xf numFmtId="0" fontId="18" fillId="0" borderId="6" xfId="0" applyFont="1" applyBorder="1" applyAlignment="1">
      <alignment horizontal="left" vertical="center" indent="1"/>
    </xf>
    <xf numFmtId="9" fontId="1" fillId="2" borderId="7" xfId="1" applyNumberFormat="1" applyBorder="1">
      <alignment horizontal="right" vertical="center"/>
    </xf>
    <xf numFmtId="0" fontId="0" fillId="0" borderId="6" xfId="0" applyBorder="1"/>
    <xf numFmtId="0" fontId="18" fillId="0" borderId="6" xfId="0" applyFont="1" applyBorder="1" applyAlignment="1">
      <alignment horizontal="left" vertical="center" wrapText="1" indent="1"/>
    </xf>
    <xf numFmtId="164" fontId="1" fillId="2" borderId="7" xfId="1" applyNumberFormat="1" applyBorder="1">
      <alignment horizontal="right" vertical="center"/>
    </xf>
    <xf numFmtId="165" fontId="1" fillId="2" borderId="7" xfId="1" applyNumberFormat="1" applyBorder="1">
      <alignment horizontal="right" vertical="center"/>
    </xf>
    <xf numFmtId="0" fontId="17" fillId="7" borderId="2" xfId="0" applyFont="1" applyFill="1" applyBorder="1" applyAlignment="1">
      <alignment horizontal="left" vertical="center" indent="1"/>
    </xf>
    <xf numFmtId="0" fontId="17" fillId="7" borderId="2" xfId="0" applyFont="1" applyFill="1" applyBorder="1" applyAlignment="1">
      <alignment horizontal="right" vertical="center"/>
    </xf>
    <xf numFmtId="0" fontId="17" fillId="7" borderId="4" xfId="0" applyFont="1" applyFill="1" applyBorder="1" applyAlignment="1">
      <alignment horizontal="left" vertical="center" indent="1"/>
    </xf>
    <xf numFmtId="0" fontId="19" fillId="7" borderId="4" xfId="0" applyFont="1" applyFill="1" applyBorder="1" applyAlignment="1">
      <alignment horizontal="right" vertical="center"/>
    </xf>
    <xf numFmtId="166" fontId="1" fillId="2" borderId="7" xfId="1" applyNumberFormat="1" applyBorder="1">
      <alignment horizontal="right" vertical="center"/>
    </xf>
    <xf numFmtId="0" fontId="17" fillId="7" borderId="4" xfId="0" applyFont="1" applyFill="1" applyBorder="1" applyAlignment="1">
      <alignment horizontal="right" vertical="center"/>
    </xf>
    <xf numFmtId="2" fontId="2" fillId="3" borderId="7" xfId="2" applyNumberFormat="1" applyBorder="1">
      <alignment horizontal="right" vertical="center"/>
    </xf>
    <xf numFmtId="167" fontId="3" fillId="0" borderId="8" xfId="3" applyNumberFormat="1" applyBorder="1">
      <alignment horizontal="right" vertical="center"/>
    </xf>
    <xf numFmtId="0" fontId="0" fillId="7" borderId="2" xfId="0" applyFill="1" applyBorder="1"/>
    <xf numFmtId="164" fontId="3" fillId="0" borderId="8" xfId="3" applyNumberFormat="1" applyBorder="1">
      <alignment horizontal="right" vertical="center"/>
    </xf>
    <xf numFmtId="166" fontId="3" fillId="0" borderId="8" xfId="3" applyNumberFormat="1" applyBorder="1">
      <alignment horizontal="right" vertical="center"/>
    </xf>
    <xf numFmtId="168" fontId="3" fillId="0" borderId="8" xfId="3" applyNumberFormat="1" applyBorder="1">
      <alignment horizontal="right" vertical="center"/>
    </xf>
    <xf numFmtId="10" fontId="3" fillId="0" borderId="8" xfId="3" applyNumberFormat="1" applyBorder="1">
      <alignment horizontal="right" vertical="center"/>
    </xf>
    <xf numFmtId="164" fontId="2" fillId="3" borderId="7" xfId="2" applyNumberFormat="1" applyBorder="1">
      <alignment horizontal="right" vertical="center"/>
    </xf>
    <xf numFmtId="166" fontId="4" fillId="4" borderId="9" xfId="4" applyNumberFormat="1" applyBorder="1">
      <alignment horizontal="right" vertical="center"/>
    </xf>
    <xf numFmtId="166" fontId="2" fillId="3" borderId="7" xfId="2" applyNumberFormat="1" applyBorder="1">
      <alignment horizontal="right" vertical="center"/>
    </xf>
    <xf numFmtId="0" fontId="12" fillId="0" borderId="6" xfId="0" applyFont="1" applyBorder="1" applyAlignment="1">
      <alignment horizontal="left" vertical="center" indent="1"/>
    </xf>
    <xf numFmtId="164" fontId="12" fillId="0" borderId="8" xfId="3" applyNumberFormat="1" applyFont="1" applyBorder="1">
      <alignment horizontal="right" vertical="center"/>
    </xf>
    <xf numFmtId="168" fontId="12" fillId="0" borderId="8" xfId="3" applyNumberFormat="1" applyFont="1" applyBorder="1">
      <alignment horizontal="right" vertical="center"/>
    </xf>
    <xf numFmtId="166" fontId="12" fillId="0" borderId="8" xfId="3" applyNumberFormat="1" applyFont="1" applyBorder="1">
      <alignment horizontal="right" vertical="center"/>
    </xf>
    <xf numFmtId="164" fontId="4" fillId="4" borderId="9" xfId="4" applyNumberFormat="1" applyBorder="1">
      <alignment horizontal="right" vertical="center"/>
    </xf>
    <xf numFmtId="1" fontId="4" fillId="4" borderId="9" xfId="4" applyNumberFormat="1" applyBorder="1">
      <alignment horizontal="right" vertical="center"/>
    </xf>
    <xf numFmtId="0" fontId="20" fillId="0" borderId="6" xfId="0" applyFont="1" applyBorder="1" applyAlignment="1">
      <alignment horizontal="center" vertical="center"/>
    </xf>
    <xf numFmtId="0" fontId="15" fillId="5" borderId="10" xfId="0" applyFont="1" applyFill="1" applyBorder="1" applyAlignment="1">
      <alignment horizontal="left" vertical="center" indent="1"/>
    </xf>
    <xf numFmtId="0" fontId="0" fillId="5" borderId="10" xfId="0" applyFill="1" applyBorder="1"/>
    <xf numFmtId="0" fontId="18" fillId="0" borderId="0" xfId="0" applyFont="1" applyAlignment="1">
      <alignment horizontal="left" vertical="center" indent="1"/>
    </xf>
    <xf numFmtId="0" fontId="23" fillId="0" borderId="5" xfId="0" applyFont="1" applyBorder="1"/>
    <xf numFmtId="0" fontId="17" fillId="7" borderId="2" xfId="0" applyFont="1" applyFill="1" applyBorder="1" applyAlignment="1">
      <alignment horizontal="left" vertical="center" wrapText="1" indent="1"/>
    </xf>
    <xf numFmtId="0" fontId="17" fillId="7" borderId="2" xfId="0" applyFont="1" applyFill="1" applyBorder="1" applyAlignment="1">
      <alignment horizontal="right" vertical="center" wrapText="1"/>
    </xf>
    <xf numFmtId="169" fontId="1" fillId="5" borderId="7" xfId="5" applyNumberFormat="1" applyBorder="1">
      <alignment horizontal="right" vertical="center"/>
    </xf>
    <xf numFmtId="170" fontId="1" fillId="5" borderId="7" xfId="5" applyNumberFormat="1" applyBorder="1">
      <alignment horizontal="right" vertical="center"/>
    </xf>
    <xf numFmtId="171" fontId="1" fillId="5" borderId="7" xfId="5" applyNumberFormat="1" applyBorder="1">
      <alignment horizontal="right" vertical="center"/>
    </xf>
    <xf numFmtId="0" fontId="21" fillId="0" borderId="6" xfId="0" applyFont="1" applyBorder="1" applyAlignment="1">
      <alignment horizontal="left" vertical="center" indent="1"/>
    </xf>
    <xf numFmtId="172" fontId="1" fillId="5" borderId="7" xfId="5" applyNumberFormat="1" applyBorder="1">
      <alignment horizontal="right" vertical="center"/>
    </xf>
    <xf numFmtId="173" fontId="1" fillId="5" borderId="7" xfId="5" applyNumberFormat="1" applyBorder="1">
      <alignment horizontal="right" vertical="center"/>
    </xf>
    <xf numFmtId="9" fontId="3" fillId="0" borderId="2" xfId="3" applyNumberFormat="1">
      <alignment horizontal="right" vertical="center"/>
    </xf>
    <xf numFmtId="4" fontId="3" fillId="0" borderId="2" xfId="3" applyNumberFormat="1">
      <alignment horizontal="right" vertical="center"/>
    </xf>
    <xf numFmtId="165" fontId="3" fillId="0" borderId="2" xfId="3" applyNumberFormat="1">
      <alignment horizontal="right" vertical="center"/>
    </xf>
    <xf numFmtId="0" fontId="22" fillId="0" borderId="0" xfId="0" applyFont="1"/>
    <xf numFmtId="1" fontId="3" fillId="0" borderId="2" xfId="3" applyNumberFormat="1">
      <alignment horizontal="right" vertical="center"/>
    </xf>
    <xf numFmtId="0" fontId="3" fillId="0" borderId="0" xfId="0" applyFont="1" applyAlignment="1">
      <alignment horizontal="left" vertical="top" wrapText="1" indent="1"/>
    </xf>
    <xf numFmtId="0" fontId="0" fillId="0" borderId="0" xfId="0"/>
    <xf numFmtId="0" fontId="16" fillId="0" borderId="0" xfId="0" applyFont="1"/>
    <xf numFmtId="0" fontId="13" fillId="0" borderId="0" xfId="0" applyFont="1" applyAlignment="1">
      <alignment horizontal="left" vertical="center" wrapText="1" indent="1"/>
    </xf>
    <xf numFmtId="0" fontId="0" fillId="0" borderId="0" xfId="0" applyAlignment="1"/>
  </cellXfs>
  <cellStyles count="6">
    <cellStyle name="Normal" xfId="0" builtinId="0"/>
    <cellStyle name="Расчет" xfId="3" xr:uid="{00000000-0005-0000-0000-000003000000}"/>
    <cellStyle name="Исходное значение" xfId="1" xr:uid="{00000000-0005-0000-0000-000001000000}"/>
    <cellStyle name="Ключевой результат" xfId="4" xr:uid="{00000000-0005-0000-0000-000004000000}"/>
    <cellStyle name="Результат моделирования" xfId="5" xr:uid="{00000000-0005-0000-0000-000005000000}"/>
    <cellStyle name="Неопределенная величина" xfId="2" xr:uid="{00000000-0005-0000-0000-000002000000}"/>
  </cellStyles>
  <dxfs count="7">
    <dxf>
      <font>
        <color rgb="FF8B8E95"/>
      </font>
    </dxf>
    <dxf>
      <font>
        <color rgb="FFB91C1C"/>
      </font>
    </dxf>
    <dxf>
      <font>
        <color rgb="FF15803D"/>
      </font>
    </dxf>
    <dxf>
      <font>
        <color rgb="FF8B8E95"/>
      </font>
    </dxf>
    <dxf>
      <font>
        <color rgb="FFB45309"/>
      </font>
      <fill>
        <patternFill patternType="solid">
          <fgColor rgb="FFFEF3C7"/>
          <bgColor rgb="FFFEF3C7"/>
        </patternFill>
      </fill>
    </dxf>
    <dxf>
      <font>
        <b/>
        <color rgb="FFB91C1C"/>
      </font>
    </dxf>
    <dxf>
      <font>
        <b/>
        <color rgb="FFB91C1C"/>
      </font>
      <fill>
        <patternFill patternType="solid">
          <fgColor rgb="FFFEE2E2"/>
          <bgColor rgb="FFFEE2E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3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Коррелированные дефолты</c:v>
          </c:tx>
          <c:spPr>
            <a:ln w="25400">
              <a:solidFill>
                <a:srgbClr val="2F3136"/>
              </a:solidFill>
              <a:prstDash val="solid"/>
            </a:ln>
          </c:spPr>
          <c:marker>
            <c:symbol val="none"/>
          </c:marker>
          <c:xVal>
            <c:numRef>
              <c:f>'Результаты'!$D$64:$D$113</c:f>
              <c:numCache>
                <c:formatCode>#,##0.00</c:formatCode>
                <c:ptCount val="50"/>
                <c:pt idx="0">
                  <c:v>0.52281199789085653</c:v>
                </c:pt>
                <c:pt idx="1">
                  <c:v>1.0855368955768525</c:v>
                </c:pt>
                <c:pt idx="2">
                  <c:v>1.4787011534289962</c:v>
                </c:pt>
                <c:pt idx="3">
                  <c:v>1.8040924329857035</c:v>
                </c:pt>
                <c:pt idx="4">
                  <c:v>2.1401909925045453</c:v>
                </c:pt>
                <c:pt idx="5">
                  <c:v>2.4305106474649136</c:v>
                </c:pt>
                <c:pt idx="6">
                  <c:v>2.6957020951012312</c:v>
                </c:pt>
                <c:pt idx="7">
                  <c:v>2.9870694755169116</c:v>
                </c:pt>
                <c:pt idx="8">
                  <c:v>3.2513685607884089</c:v>
                </c:pt>
                <c:pt idx="9">
                  <c:v>3.5143647250186723</c:v>
                </c:pt>
                <c:pt idx="10">
                  <c:v>3.8146958312039994</c:v>
                </c:pt>
                <c:pt idx="11">
                  <c:v>4.0689698853309224</c:v>
                </c:pt>
                <c:pt idx="12">
                  <c:v>4.3232069888383933</c:v>
                </c:pt>
                <c:pt idx="13">
                  <c:v>4.5866735797585791</c:v>
                </c:pt>
                <c:pt idx="14">
                  <c:v>4.8363683034655001</c:v>
                </c:pt>
                <c:pt idx="15">
                  <c:v>5.134455195254743</c:v>
                </c:pt>
                <c:pt idx="16">
                  <c:v>5.4333473265134913</c:v>
                </c:pt>
                <c:pt idx="17">
                  <c:v>5.7243573387828421</c:v>
                </c:pt>
                <c:pt idx="18">
                  <c:v>6.0135795286242493</c:v>
                </c:pt>
                <c:pt idx="19">
                  <c:v>6.3501535291402282</c:v>
                </c:pt>
                <c:pt idx="20">
                  <c:v>6.6604698525623869</c:v>
                </c:pt>
                <c:pt idx="21">
                  <c:v>6.9905869268729406</c:v>
                </c:pt>
                <c:pt idx="22">
                  <c:v>7.3649714522082252</c:v>
                </c:pt>
                <c:pt idx="23">
                  <c:v>7.6818688451313806</c:v>
                </c:pt>
                <c:pt idx="24">
                  <c:v>8.0136445071364495</c:v>
                </c:pt>
                <c:pt idx="25">
                  <c:v>8.369356075086813</c:v>
                </c:pt>
                <c:pt idx="26">
                  <c:v>8.7262981529452102</c:v>
                </c:pt>
                <c:pt idx="27">
                  <c:v>9.1385389223516533</c:v>
                </c:pt>
                <c:pt idx="28">
                  <c:v>9.5220680778732145</c:v>
                </c:pt>
                <c:pt idx="29">
                  <c:v>9.9304883751624136</c:v>
                </c:pt>
                <c:pt idx="30">
                  <c:v>10.398875899298638</c:v>
                </c:pt>
                <c:pt idx="31">
                  <c:v>10.921758923060292</c:v>
                </c:pt>
                <c:pt idx="32">
                  <c:v>11.371713993731481</c:v>
                </c:pt>
                <c:pt idx="33">
                  <c:v>11.90602361244548</c:v>
                </c:pt>
                <c:pt idx="34">
                  <c:v>12.507628953885035</c:v>
                </c:pt>
                <c:pt idx="35">
                  <c:v>13.157876716699217</c:v>
                </c:pt>
                <c:pt idx="36">
                  <c:v>13.790117293306045</c:v>
                </c:pt>
                <c:pt idx="37">
                  <c:v>14.507812338831751</c:v>
                </c:pt>
                <c:pt idx="38">
                  <c:v>15.319041124591227</c:v>
                </c:pt>
                <c:pt idx="39">
                  <c:v>16.232807556992935</c:v>
                </c:pt>
                <c:pt idx="40">
                  <c:v>17.24511942058232</c:v>
                </c:pt>
                <c:pt idx="41">
                  <c:v>18.295461139629651</c:v>
                </c:pt>
                <c:pt idx="42">
                  <c:v>19.392151495246232</c:v>
                </c:pt>
                <c:pt idx="43">
                  <c:v>20.801147873292166</c:v>
                </c:pt>
                <c:pt idx="44">
                  <c:v>22.430979966119981</c:v>
                </c:pt>
                <c:pt idx="45">
                  <c:v>24.314231436207422</c:v>
                </c:pt>
                <c:pt idx="46">
                  <c:v>26.796464810482135</c:v>
                </c:pt>
                <c:pt idx="47">
                  <c:v>30.130581140479421</c:v>
                </c:pt>
                <c:pt idx="48">
                  <c:v>35.810141864195359</c:v>
                </c:pt>
                <c:pt idx="49">
                  <c:v>47.346876746724703</c:v>
                </c:pt>
              </c:numCache>
            </c:numRef>
          </c:xVal>
          <c:yVal>
            <c:numRef>
              <c:f>'Результаты'!$B$64:$B$113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9EFF-43E0-912B-54A221D33F3A}"/>
            </c:ext>
          </c:extLst>
        </c:ser>
        <c:ser>
          <c:idx val="1"/>
          <c:order val="1"/>
          <c:tx>
            <c:v>Независимые дефолты</c:v>
          </c:tx>
          <c:spPr>
            <a:ln w="25400">
              <a:solidFill>
                <a:srgbClr val="B45309"/>
              </a:solidFill>
              <a:prstDash val="dash"/>
            </a:ln>
          </c:spPr>
          <c:marker>
            <c:symbol val="none"/>
          </c:marker>
          <c:xVal>
            <c:numRef>
              <c:f>'Результаты'!$E$64:$E$113</c:f>
              <c:numCache>
                <c:formatCode>#,##0.00</c:formatCode>
                <c:ptCount val="50"/>
                <c:pt idx="0">
                  <c:v>6.9776169679002891</c:v>
                </c:pt>
                <c:pt idx="1">
                  <c:v>7.6716268361609492</c:v>
                </c:pt>
                <c:pt idx="2">
                  <c:v>8.0246606148846578</c:v>
                </c:pt>
                <c:pt idx="3">
                  <c:v>8.2886257723129599</c:v>
                </c:pt>
                <c:pt idx="4">
                  <c:v>8.5189625073149902</c:v>
                </c:pt>
                <c:pt idx="5">
                  <c:v>8.7147110401727872</c:v>
                </c:pt>
                <c:pt idx="6">
                  <c:v>8.9073095659376218</c:v>
                </c:pt>
                <c:pt idx="7">
                  <c:v>9.0659852008864998</c:v>
                </c:pt>
                <c:pt idx="8">
                  <c:v>9.2110697124162222</c:v>
                </c:pt>
                <c:pt idx="9">
                  <c:v>9.3273341632971132</c:v>
                </c:pt>
                <c:pt idx="10">
                  <c:v>9.4563678893458487</c:v>
                </c:pt>
                <c:pt idx="11">
                  <c:v>9.5748825940275033</c:v>
                </c:pt>
                <c:pt idx="12">
                  <c:v>9.6886726211753658</c:v>
                </c:pt>
                <c:pt idx="13">
                  <c:v>9.8005518029838221</c:v>
                </c:pt>
                <c:pt idx="14">
                  <c:v>9.9100435927285861</c:v>
                </c:pt>
                <c:pt idx="15">
                  <c:v>10.018087426153304</c:v>
                </c:pt>
                <c:pt idx="16">
                  <c:v>10.118925252070252</c:v>
                </c:pt>
                <c:pt idx="17">
                  <c:v>10.213930923295726</c:v>
                </c:pt>
                <c:pt idx="18">
                  <c:v>10.298306928128207</c:v>
                </c:pt>
                <c:pt idx="19">
                  <c:v>10.38686964098104</c:v>
                </c:pt>
                <c:pt idx="20">
                  <c:v>10.477477850375298</c:v>
                </c:pt>
                <c:pt idx="21">
                  <c:v>10.580054360093154</c:v>
                </c:pt>
                <c:pt idx="22">
                  <c:v>10.672523770060275</c:v>
                </c:pt>
                <c:pt idx="23">
                  <c:v>10.764240035736337</c:v>
                </c:pt>
                <c:pt idx="24">
                  <c:v>10.85473383372033</c:v>
                </c:pt>
                <c:pt idx="25">
                  <c:v>10.947962891724599</c:v>
                </c:pt>
                <c:pt idx="26">
                  <c:v>11.039872547470583</c:v>
                </c:pt>
                <c:pt idx="27">
                  <c:v>11.123544376229136</c:v>
                </c:pt>
                <c:pt idx="28">
                  <c:v>11.219591444763108</c:v>
                </c:pt>
                <c:pt idx="29">
                  <c:v>11.3032614106442</c:v>
                </c:pt>
                <c:pt idx="30">
                  <c:v>11.400246059193874</c:v>
                </c:pt>
                <c:pt idx="31">
                  <c:v>11.498332537749622</c:v>
                </c:pt>
                <c:pt idx="32">
                  <c:v>11.598373247002488</c:v>
                </c:pt>
                <c:pt idx="33">
                  <c:v>11.689284028714514</c:v>
                </c:pt>
                <c:pt idx="34">
                  <c:v>11.79830630572136</c:v>
                </c:pt>
                <c:pt idx="35">
                  <c:v>11.913430098657154</c:v>
                </c:pt>
                <c:pt idx="36">
                  <c:v>12.019031686970109</c:v>
                </c:pt>
                <c:pt idx="37">
                  <c:v>12.12953102888299</c:v>
                </c:pt>
                <c:pt idx="38">
                  <c:v>12.259349226121268</c:v>
                </c:pt>
                <c:pt idx="39">
                  <c:v>12.39384709598605</c:v>
                </c:pt>
                <c:pt idx="40">
                  <c:v>12.520251294997628</c:v>
                </c:pt>
                <c:pt idx="41">
                  <c:v>12.663014555226601</c:v>
                </c:pt>
                <c:pt idx="42">
                  <c:v>12.81253260414136</c:v>
                </c:pt>
                <c:pt idx="43">
                  <c:v>12.987311662105437</c:v>
                </c:pt>
                <c:pt idx="44">
                  <c:v>13.176912959516429</c:v>
                </c:pt>
                <c:pt idx="45">
                  <c:v>13.432185730331124</c:v>
                </c:pt>
                <c:pt idx="46">
                  <c:v>13.744378184575769</c:v>
                </c:pt>
                <c:pt idx="47">
                  <c:v>14.091131260446618</c:v>
                </c:pt>
                <c:pt idx="48">
                  <c:v>14.541183039820149</c:v>
                </c:pt>
                <c:pt idx="49">
                  <c:v>15.551600866629947</c:v>
                </c:pt>
              </c:numCache>
            </c:numRef>
          </c:xVal>
          <c:yVal>
            <c:numRef>
              <c:f>'Результаты'!$B$64:$B$113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9EFF-43E0-912B-54A221D33F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млн долл.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crossAx val="20"/>
        <c:crosses val="autoZero"/>
        <c:crossBetween val="midCat"/>
      </c:valAx>
      <c:valAx>
        <c:axId val="20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Накопленная вероятность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10"/>
        <c:crosses val="min"/>
        <c:crossBetween val="midCat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Коррелированные дефолты</c:v>
          </c:tx>
          <c:spPr>
            <a:solidFill>
              <a:srgbClr val="2F3136"/>
            </a:solidFill>
            <a:ln>
              <a:noFill/>
              <a:prstDash val="solid"/>
            </a:ln>
          </c:spPr>
          <c:invertIfNegative val="1"/>
          <c:cat>
            <c:numRef>
              <c:f>'Результаты'!$E$219:$E$242</c:f>
              <c:numCache>
                <c:formatCode>#,##0.00</c:formatCode>
                <c:ptCount val="24"/>
                <c:pt idx="0">
                  <c:v>1.4185300406275634</c:v>
                </c:pt>
                <c:pt idx="1">
                  <c:v>3.6832116440837592</c:v>
                </c:pt>
                <c:pt idx="2">
                  <c:v>5.9478932475399553</c:v>
                </c:pt>
                <c:pt idx="3">
                  <c:v>8.2125748509961518</c:v>
                </c:pt>
                <c:pt idx="4">
                  <c:v>10.477256454452348</c:v>
                </c:pt>
                <c:pt idx="5">
                  <c:v>12.741938057908545</c:v>
                </c:pt>
                <c:pt idx="6">
                  <c:v>15.006619661364741</c:v>
                </c:pt>
                <c:pt idx="7">
                  <c:v>17.271301264820934</c:v>
                </c:pt>
                <c:pt idx="8">
                  <c:v>19.535982868277131</c:v>
                </c:pt>
                <c:pt idx="9">
                  <c:v>21.800664471733327</c:v>
                </c:pt>
                <c:pt idx="10">
                  <c:v>24.065346075189524</c:v>
                </c:pt>
                <c:pt idx="11">
                  <c:v>26.33002767864572</c:v>
                </c:pt>
                <c:pt idx="12">
                  <c:v>28.594709282101917</c:v>
                </c:pt>
                <c:pt idx="13">
                  <c:v>30.859390885558113</c:v>
                </c:pt>
                <c:pt idx="14">
                  <c:v>33.12407248901431</c:v>
                </c:pt>
                <c:pt idx="15">
                  <c:v>35.388754092470506</c:v>
                </c:pt>
                <c:pt idx="16">
                  <c:v>37.653435695926703</c:v>
                </c:pt>
                <c:pt idx="17">
                  <c:v>39.918117299382899</c:v>
                </c:pt>
                <c:pt idx="18">
                  <c:v>42.182798902839096</c:v>
                </c:pt>
                <c:pt idx="19">
                  <c:v>44.447480506295292</c:v>
                </c:pt>
                <c:pt idx="20">
                  <c:v>46.712162109751489</c:v>
                </c:pt>
                <c:pt idx="21">
                  <c:v>48.976843713207685</c:v>
                </c:pt>
                <c:pt idx="22">
                  <c:v>51.241525316663882</c:v>
                </c:pt>
                <c:pt idx="23">
                  <c:v>53.506206920120079</c:v>
                </c:pt>
              </c:numCache>
            </c:numRef>
          </c:cat>
          <c:val>
            <c:numRef>
              <c:f>'Результаты'!$F$219:$F$242</c:f>
              <c:numCache>
                <c:formatCode>0.0%</c:formatCode>
                <c:ptCount val="24"/>
                <c:pt idx="0">
                  <c:v>0.11383643723322869</c:v>
                </c:pt>
                <c:pt idx="1">
                  <c:v>0.16948082615233123</c:v>
                </c:pt>
                <c:pt idx="2">
                  <c:v>0.14628920305025933</c:v>
                </c:pt>
                <c:pt idx="3">
                  <c:v>0.12654731471235769</c:v>
                </c:pt>
                <c:pt idx="4">
                  <c:v>9.8053916507262806E-2</c:v>
                </c:pt>
                <c:pt idx="5">
                  <c:v>7.3069781240991505E-2</c:v>
                </c:pt>
                <c:pt idx="6">
                  <c:v>5.5789276499011664E-2</c:v>
                </c:pt>
                <c:pt idx="7">
                  <c:v>4.365754593208826E-2</c:v>
                </c:pt>
                <c:pt idx="8">
                  <c:v>3.6539500506349576E-2</c:v>
                </c:pt>
                <c:pt idx="9">
                  <c:v>2.6773141011867008E-2</c:v>
                </c:pt>
                <c:pt idx="10">
                  <c:v>2.1840368126677556E-2</c:v>
                </c:pt>
                <c:pt idx="11">
                  <c:v>1.7700876416025357E-2</c:v>
                </c:pt>
                <c:pt idx="12">
                  <c:v>1.3274916932838665E-2</c:v>
                </c:pt>
                <c:pt idx="13">
                  <c:v>9.3776633540325616E-3</c:v>
                </c:pt>
                <c:pt idx="14">
                  <c:v>7.7662883406656169E-3</c:v>
                </c:pt>
                <c:pt idx="15">
                  <c:v>6.6100900894936476E-3</c:v>
                </c:pt>
                <c:pt idx="16">
                  <c:v>5.1194299279277988E-3</c:v>
                </c:pt>
                <c:pt idx="17">
                  <c:v>4.4214814577306916E-3</c:v>
                </c:pt>
                <c:pt idx="18">
                  <c:v>3.1838466409207511E-3</c:v>
                </c:pt>
                <c:pt idx="19">
                  <c:v>3.1838466409207511E-3</c:v>
                </c:pt>
                <c:pt idx="20">
                  <c:v>2.8254783955130591E-3</c:v>
                </c:pt>
                <c:pt idx="21">
                  <c:v>1.5529236105018551E-3</c:v>
                </c:pt>
                <c:pt idx="22">
                  <c:v>1.5529236105019661E-3</c:v>
                </c:pt>
                <c:pt idx="23">
                  <c:v>1.5529236105019661E-3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C163-433A-974D-B119FEDFDA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млн долл.</a:t>
                </a:r>
              </a:p>
            </c:rich>
          </c:tx>
          <c:overlay val="0"/>
        </c:title>
        <c:numFmt formatCode="0" sourceLinked="0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Вероятность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10"/>
        <c:crosses val="min"/>
        <c:crossBetween val="between"/>
      </c:valAx>
    </c:plotArea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</xdr:row>
      <xdr:rowOff>0</xdr:rowOff>
    </xdr:from>
    <xdr:ext cx="9144000" cy="1524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9</xdr:row>
      <xdr:rowOff>0</xdr:rowOff>
    </xdr:from>
    <xdr:ext cx="6263999" cy="2664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8</xdr:col>
      <xdr:colOff>0</xdr:colOff>
      <xdr:row>27</xdr:row>
      <xdr:rowOff>0</xdr:rowOff>
    </xdr:from>
    <xdr:ext cx="6263999" cy="2376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F3136"/>
    <pageSetUpPr fitToPage="1"/>
  </sheetPr>
  <dimension ref="A1:D73"/>
  <sheetViews>
    <sheetView showGridLines="0" tabSelected="1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26" customWidth="1"/>
    <col min="3" max="3" width="112" customWidth="1"/>
    <col min="4" max="4" width="2" customWidth="1"/>
    <col min="6" max="6" width="9.06640625" customWidth="1"/>
  </cols>
  <sheetData>
    <row r="1" spans="1:4" ht="6" customHeight="1" x14ac:dyDescent="0.45"/>
    <row r="2" spans="1:4" ht="34.049999999999997" customHeight="1" x14ac:dyDescent="0.45">
      <c r="A2" s="1"/>
      <c r="B2" s="2" t="s">
        <v>0</v>
      </c>
      <c r="C2" s="1"/>
      <c r="D2" s="3" t="s">
        <v>1</v>
      </c>
    </row>
    <row r="3" spans="1:4" ht="20" customHeight="1" x14ac:dyDescent="0.45">
      <c r="A3" s="1"/>
      <c r="B3" s="4" t="s">
        <v>2</v>
      </c>
      <c r="C3" s="1"/>
      <c r="D3" s="1"/>
    </row>
    <row r="4" spans="1:4" ht="20" customHeight="1" x14ac:dyDescent="0.45">
      <c r="A4" s="5"/>
      <c r="B4" s="5"/>
      <c r="C4" s="5"/>
      <c r="D4" s="6" t="s">
        <v>3</v>
      </c>
    </row>
    <row r="5" spans="1:4" ht="8" customHeight="1" x14ac:dyDescent="0.45"/>
    <row r="6" spans="1:4" ht="22.05" customHeight="1" x14ac:dyDescent="0.5">
      <c r="B6" s="7" t="s">
        <v>4</v>
      </c>
      <c r="C6" s="8"/>
    </row>
    <row r="7" spans="1:4" x14ac:dyDescent="0.45">
      <c r="B7" s="9" t="s">
        <v>5</v>
      </c>
      <c r="C7" s="10" t="s">
        <v>6</v>
      </c>
    </row>
    <row r="8" spans="1:4" x14ac:dyDescent="0.45">
      <c r="B8" s="9" t="s">
        <v>7</v>
      </c>
      <c r="C8" s="10" t="s">
        <v>8</v>
      </c>
    </row>
    <row r="9" spans="1:4" ht="39.4" x14ac:dyDescent="0.45">
      <c r="B9" s="9" t="s">
        <v>9</v>
      </c>
      <c r="C9" s="11" t="s">
        <v>10</v>
      </c>
    </row>
    <row r="10" spans="1:4" x14ac:dyDescent="0.45">
      <c r="B10" s="9" t="s">
        <v>11</v>
      </c>
      <c r="C10" s="10" t="s">
        <v>12</v>
      </c>
    </row>
    <row r="11" spans="1:4" ht="26.25" x14ac:dyDescent="0.45">
      <c r="B11" s="9" t="s">
        <v>13</v>
      </c>
      <c r="C11" s="10" t="s">
        <v>14</v>
      </c>
    </row>
    <row r="12" spans="1:4" ht="26.25" x14ac:dyDescent="0.45">
      <c r="B12" s="9" t="s">
        <v>15</v>
      </c>
      <c r="C12" s="10" t="s">
        <v>16</v>
      </c>
    </row>
    <row r="13" spans="1:4" x14ac:dyDescent="0.45">
      <c r="B13" s="9" t="s">
        <v>17</v>
      </c>
      <c r="C13" s="10" t="s">
        <v>18</v>
      </c>
    </row>
    <row r="14" spans="1:4" ht="12" customHeight="1" x14ac:dyDescent="0.45"/>
    <row r="15" spans="1:4" ht="22.05" customHeight="1" x14ac:dyDescent="0.5">
      <c r="B15" s="7" t="s">
        <v>19</v>
      </c>
      <c r="C15" s="8"/>
    </row>
    <row r="16" spans="1:4" ht="57" customHeight="1" x14ac:dyDescent="0.45">
      <c r="B16" s="72" t="s">
        <v>20</v>
      </c>
      <c r="C16" s="73"/>
    </row>
    <row r="17" spans="2:3" ht="12" customHeight="1" x14ac:dyDescent="0.45"/>
    <row r="18" spans="2:3" ht="22.05" customHeight="1" x14ac:dyDescent="0.5">
      <c r="B18" s="7" t="s">
        <v>21</v>
      </c>
      <c r="C18" s="8"/>
    </row>
    <row r="19" spans="2:3" ht="18" customHeight="1" x14ac:dyDescent="0.45">
      <c r="B19" s="13" t="s">
        <v>22</v>
      </c>
    </row>
    <row r="20" spans="2:3" ht="15" customHeight="1" x14ac:dyDescent="0.45"/>
    <row r="21" spans="2:3" ht="15" customHeight="1" x14ac:dyDescent="0.45"/>
    <row r="22" spans="2:3" ht="15" customHeight="1" x14ac:dyDescent="0.45"/>
    <row r="23" spans="2:3" ht="15" customHeight="1" x14ac:dyDescent="0.45"/>
    <row r="24" spans="2:3" ht="15" customHeight="1" x14ac:dyDescent="0.45"/>
    <row r="25" spans="2:3" ht="15" customHeight="1" x14ac:dyDescent="0.45"/>
    <row r="26" spans="2:3" ht="15" customHeight="1" x14ac:dyDescent="0.45"/>
    <row r="27" spans="2:3" ht="15" customHeight="1" x14ac:dyDescent="0.45"/>
    <row r="28" spans="2:3" ht="26.25" x14ac:dyDescent="0.45">
      <c r="B28" s="9" t="s">
        <v>23</v>
      </c>
      <c r="C28" s="10" t="s">
        <v>24</v>
      </c>
    </row>
    <row r="29" spans="2:3" ht="26.25" x14ac:dyDescent="0.45">
      <c r="B29" s="9" t="s">
        <v>25</v>
      </c>
      <c r="C29" s="10" t="s">
        <v>26</v>
      </c>
    </row>
    <row r="30" spans="2:3" ht="26.25" x14ac:dyDescent="0.45">
      <c r="B30" s="9" t="s">
        <v>27</v>
      </c>
      <c r="C30" s="10" t="s">
        <v>28</v>
      </c>
    </row>
    <row r="31" spans="2:3" ht="12" customHeight="1" x14ac:dyDescent="0.45"/>
    <row r="32" spans="2:3" ht="22.05" customHeight="1" x14ac:dyDescent="0.5">
      <c r="B32" s="7" t="s">
        <v>29</v>
      </c>
      <c r="C32" s="8"/>
    </row>
    <row r="33" spans="2:3" x14ac:dyDescent="0.45">
      <c r="B33" s="9" t="s">
        <v>30</v>
      </c>
      <c r="C33" s="10" t="s">
        <v>31</v>
      </c>
    </row>
    <row r="34" spans="2:3" x14ac:dyDescent="0.45">
      <c r="B34" s="9" t="s">
        <v>32</v>
      </c>
      <c r="C34" s="10" t="s">
        <v>33</v>
      </c>
    </row>
    <row r="35" spans="2:3" x14ac:dyDescent="0.45">
      <c r="B35" s="9" t="s">
        <v>34</v>
      </c>
      <c r="C35" s="10" t="s">
        <v>35</v>
      </c>
    </row>
    <row r="36" spans="2:3" x14ac:dyDescent="0.45">
      <c r="B36" s="9" t="s">
        <v>36</v>
      </c>
      <c r="C36" s="10" t="s">
        <v>37</v>
      </c>
    </row>
    <row r="37" spans="2:3" ht="12" customHeight="1" x14ac:dyDescent="0.45"/>
    <row r="38" spans="2:3" ht="22.05" customHeight="1" x14ac:dyDescent="0.5">
      <c r="B38" s="7" t="s">
        <v>38</v>
      </c>
      <c r="C38" s="8"/>
    </row>
    <row r="39" spans="2:3" x14ac:dyDescent="0.45">
      <c r="B39" s="14" t="s">
        <v>39</v>
      </c>
      <c r="C39" s="10" t="s">
        <v>40</v>
      </c>
    </row>
    <row r="40" spans="2:3" x14ac:dyDescent="0.45">
      <c r="B40" s="14" t="s">
        <v>41</v>
      </c>
      <c r="C40" s="10" t="s">
        <v>42</v>
      </c>
    </row>
    <row r="41" spans="2:3" x14ac:dyDescent="0.45">
      <c r="B41" s="14" t="s">
        <v>43</v>
      </c>
      <c r="C41" s="10" t="s">
        <v>44</v>
      </c>
    </row>
    <row r="42" spans="2:3" ht="12" customHeight="1" x14ac:dyDescent="0.45"/>
    <row r="43" spans="2:3" ht="22.05" customHeight="1" x14ac:dyDescent="0.5">
      <c r="B43" s="7" t="s">
        <v>45</v>
      </c>
      <c r="C43" s="8"/>
    </row>
    <row r="44" spans="2:3" x14ac:dyDescent="0.45">
      <c r="B44" s="15" t="s">
        <v>46</v>
      </c>
      <c r="C44" s="12" t="s">
        <v>47</v>
      </c>
    </row>
    <row r="45" spans="2:3" x14ac:dyDescent="0.45">
      <c r="B45" s="16" t="s">
        <v>48</v>
      </c>
      <c r="C45" s="12" t="s">
        <v>49</v>
      </c>
    </row>
    <row r="46" spans="2:3" x14ac:dyDescent="0.45">
      <c r="B46" s="17" t="s">
        <v>50</v>
      </c>
      <c r="C46" s="12" t="s">
        <v>51</v>
      </c>
    </row>
    <row r="47" spans="2:3" x14ac:dyDescent="0.45">
      <c r="B47" s="18" t="s">
        <v>52</v>
      </c>
      <c r="C47" s="12" t="s">
        <v>53</v>
      </c>
    </row>
    <row r="48" spans="2:3" x14ac:dyDescent="0.45">
      <c r="B48" s="19" t="s">
        <v>54</v>
      </c>
      <c r="C48" s="12" t="s">
        <v>55</v>
      </c>
    </row>
    <row r="49" spans="2:3" ht="12" customHeight="1" x14ac:dyDescent="0.45"/>
    <row r="50" spans="2:3" ht="22.05" customHeight="1" x14ac:dyDescent="0.5">
      <c r="B50" s="7" t="s">
        <v>56</v>
      </c>
      <c r="C50" s="8"/>
    </row>
    <row r="51" spans="2:3" x14ac:dyDescent="0.45">
      <c r="B51" s="9" t="s">
        <v>57</v>
      </c>
      <c r="C51" s="10" t="s">
        <v>58</v>
      </c>
    </row>
    <row r="52" spans="2:3" x14ac:dyDescent="0.45">
      <c r="B52" s="9" t="s">
        <v>59</v>
      </c>
      <c r="C52" s="10" t="s">
        <v>60</v>
      </c>
    </row>
    <row r="53" spans="2:3" x14ac:dyDescent="0.45">
      <c r="B53" s="9" t="s">
        <v>61</v>
      </c>
      <c r="C53" s="10" t="s">
        <v>62</v>
      </c>
    </row>
    <row r="54" spans="2:3" x14ac:dyDescent="0.45">
      <c r="B54" s="9" t="s">
        <v>63</v>
      </c>
      <c r="C54" s="10" t="s">
        <v>64</v>
      </c>
    </row>
    <row r="55" spans="2:3" ht="12" customHeight="1" x14ac:dyDescent="0.45"/>
    <row r="56" spans="2:3" ht="22.05" customHeight="1" x14ac:dyDescent="0.5">
      <c r="B56" s="7" t="s">
        <v>65</v>
      </c>
      <c r="C56" s="8"/>
    </row>
    <row r="57" spans="2:3" x14ac:dyDescent="0.45">
      <c r="B57" s="9" t="s">
        <v>66</v>
      </c>
      <c r="C57" s="10" t="s">
        <v>67</v>
      </c>
    </row>
    <row r="58" spans="2:3" x14ac:dyDescent="0.45">
      <c r="B58" s="9" t="s">
        <v>68</v>
      </c>
      <c r="C58" s="10" t="s">
        <v>69</v>
      </c>
    </row>
    <row r="59" spans="2:3" x14ac:dyDescent="0.45">
      <c r="B59" s="9" t="s">
        <v>70</v>
      </c>
      <c r="C59" s="10" t="s">
        <v>71</v>
      </c>
    </row>
    <row r="60" spans="2:3" x14ac:dyDescent="0.45">
      <c r="B60" s="9" t="s">
        <v>72</v>
      </c>
      <c r="C60" s="10" t="s">
        <v>73</v>
      </c>
    </row>
    <row r="61" spans="2:3" ht="12" customHeight="1" x14ac:dyDescent="0.45"/>
    <row r="62" spans="2:3" ht="22.05" customHeight="1" x14ac:dyDescent="0.5">
      <c r="B62" s="7" t="s">
        <v>74</v>
      </c>
      <c r="C62" s="8"/>
    </row>
    <row r="63" spans="2:3" x14ac:dyDescent="0.45">
      <c r="B63" s="20" t="s">
        <v>75</v>
      </c>
      <c r="C63" s="10" t="s">
        <v>76</v>
      </c>
    </row>
    <row r="64" spans="2:3" x14ac:dyDescent="0.45">
      <c r="B64" s="20" t="s">
        <v>77</v>
      </c>
      <c r="C64" s="10" t="s">
        <v>78</v>
      </c>
    </row>
    <row r="65" spans="2:3" ht="26.25" x14ac:dyDescent="0.45">
      <c r="B65" s="20" t="s">
        <v>79</v>
      </c>
      <c r="C65" s="10" t="s">
        <v>80</v>
      </c>
    </row>
    <row r="66" spans="2:3" ht="26.25" x14ac:dyDescent="0.45">
      <c r="B66" s="20" t="s">
        <v>81</v>
      </c>
      <c r="C66" s="10" t="s">
        <v>82</v>
      </c>
    </row>
    <row r="67" spans="2:3" ht="39.4" x14ac:dyDescent="0.45">
      <c r="B67" s="20" t="s">
        <v>83</v>
      </c>
      <c r="C67" s="10" t="s">
        <v>84</v>
      </c>
    </row>
    <row r="68" spans="2:3" ht="12" customHeight="1" x14ac:dyDescent="0.45"/>
    <row r="69" spans="2:3" ht="22.05" customHeight="1" x14ac:dyDescent="0.5">
      <c r="B69" s="7" t="s">
        <v>85</v>
      </c>
      <c r="C69" s="8"/>
    </row>
    <row r="70" spans="2:3" x14ac:dyDescent="0.45">
      <c r="B70" s="9" t="s">
        <v>86</v>
      </c>
      <c r="C70" s="10" t="s">
        <v>87</v>
      </c>
    </row>
    <row r="71" spans="2:3" x14ac:dyDescent="0.45">
      <c r="B71" s="9" t="s">
        <v>88</v>
      </c>
      <c r="C71" s="10" t="s">
        <v>89</v>
      </c>
    </row>
    <row r="72" spans="2:3" ht="16.05" customHeight="1" x14ac:dyDescent="0.45"/>
    <row r="73" spans="2:3" x14ac:dyDescent="0.45">
      <c r="B73" s="74" t="s">
        <v>90</v>
      </c>
      <c r="C73" s="73"/>
    </row>
  </sheetData>
  <mergeCells count="2">
    <mergeCell ref="B16:C16"/>
    <mergeCell ref="B73:C73"/>
  </mergeCells>
  <hyperlinks>
    <hyperlink ref="D4" location="'Исходные данные'!A1" display="Далее:  Исходные данные  ▸" xr:uid="{00000000-0004-0000-0000-000000000000}"/>
    <hyperlink ref="B39" location="'Исходные данные'!A1" display="Исходные данные" xr:uid="{00000000-0004-0000-0000-000001000000}"/>
    <hyperlink ref="B40" location="'Кредитный портфель'!A1" display="Кредитный портфель" xr:uid="{00000000-0004-0000-0000-000002000000}"/>
    <hyperlink ref="B41" location="'Результаты'!A1" display="Результаты" xr:uid="{00000000-0004-0000-0000-000003000000}"/>
  </hyperlinks>
  <printOptions horizontalCentered="1"/>
  <pageMargins left="0.4" right="0.4" top="0.5" bottom="0.6" header="0.25" footer="0.25"/>
  <pageSetup paperSize="9" scale="67" fitToHeight="0" orientation="portrait" r:id="rId1"/>
  <headerFooter>
    <oddFooter>&amp;L&amp;K3F5876&amp;8&amp;F · &amp;A&amp;R&amp;K3F5876&amp;8Page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0A800"/>
    <pageSetUpPr fitToPage="1"/>
  </sheetPr>
  <dimension ref="A1:J30"/>
  <sheetViews>
    <sheetView showGridLines="0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44" customWidth="1"/>
    <col min="3" max="3" width="19" customWidth="1"/>
    <col min="4" max="4" width="13" customWidth="1"/>
    <col min="5" max="5" width="19" customWidth="1"/>
    <col min="6" max="9" width="10" customWidth="1"/>
    <col min="10" max="10" width="59" customWidth="1"/>
    <col min="12" max="12" width="9.06640625" customWidth="1"/>
  </cols>
  <sheetData>
    <row r="1" spans="1:10" ht="6" customHeight="1" x14ac:dyDescent="0.45"/>
    <row r="2" spans="1:10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3" t="s">
        <v>1</v>
      </c>
    </row>
    <row r="3" spans="1:10" ht="20" customHeight="1" x14ac:dyDescent="0.45">
      <c r="A3" s="1"/>
      <c r="B3" s="4" t="s">
        <v>91</v>
      </c>
      <c r="C3" s="1"/>
      <c r="D3" s="1"/>
      <c r="E3" s="1"/>
      <c r="F3" s="1"/>
      <c r="G3" s="1"/>
      <c r="H3" s="1"/>
      <c r="I3" s="1"/>
      <c r="J3" s="1"/>
    </row>
    <row r="4" spans="1:10" ht="20" customHeight="1" x14ac:dyDescent="0.45">
      <c r="A4" s="5"/>
      <c r="B4" s="22" t="s">
        <v>92</v>
      </c>
      <c r="C4" s="5"/>
      <c r="D4" s="5"/>
      <c r="E4" s="5"/>
      <c r="F4" s="5"/>
      <c r="G4" s="5"/>
      <c r="H4" s="5"/>
      <c r="I4" s="5"/>
      <c r="J4" s="6" t="s">
        <v>93</v>
      </c>
    </row>
    <row r="5" spans="1:10" ht="8" customHeight="1" x14ac:dyDescent="0.45"/>
    <row r="6" spans="1:10" ht="20" customHeight="1" x14ac:dyDescent="0.45">
      <c r="B6" s="75" t="s">
        <v>94</v>
      </c>
      <c r="C6" s="73"/>
      <c r="D6" s="73"/>
      <c r="E6" s="73"/>
      <c r="F6" s="73"/>
      <c r="G6" s="73"/>
      <c r="H6" s="73"/>
      <c r="I6" s="73"/>
      <c r="J6" s="73"/>
    </row>
    <row r="7" spans="1:10" ht="6" customHeight="1" x14ac:dyDescent="0.45"/>
    <row r="8" spans="1:10" ht="22.05" customHeight="1" x14ac:dyDescent="0.5">
      <c r="B8" s="7" t="s">
        <v>95</v>
      </c>
      <c r="C8" s="8"/>
      <c r="D8" s="8"/>
      <c r="E8" s="8"/>
      <c r="F8" s="8"/>
      <c r="G8" s="8"/>
      <c r="H8" s="8"/>
      <c r="I8" s="8"/>
      <c r="J8" s="8"/>
    </row>
    <row r="9" spans="1:10" ht="18" customHeight="1" x14ac:dyDescent="0.45">
      <c r="B9" s="13" t="s">
        <v>96</v>
      </c>
    </row>
    <row r="10" spans="1:10" ht="18" customHeight="1" x14ac:dyDescent="0.45">
      <c r="B10" s="23" t="s">
        <v>97</v>
      </c>
      <c r="C10" s="23" t="s">
        <v>98</v>
      </c>
      <c r="D10" s="24" t="s">
        <v>99</v>
      </c>
      <c r="E10" s="23" t="s">
        <v>100</v>
      </c>
      <c r="F10" s="5"/>
      <c r="G10" s="5"/>
      <c r="H10" s="5"/>
      <c r="I10" s="5"/>
      <c r="J10" s="23" t="s">
        <v>101</v>
      </c>
    </row>
    <row r="11" spans="1:10" x14ac:dyDescent="0.45">
      <c r="B11" s="25" t="s">
        <v>102</v>
      </c>
      <c r="C11" s="26" t="s">
        <v>103</v>
      </c>
      <c r="D11" s="27">
        <v>0.45</v>
      </c>
      <c r="E11" s="26" t="s">
        <v>104</v>
      </c>
      <c r="F11" s="28"/>
      <c r="G11" s="28"/>
      <c r="H11" s="28"/>
      <c r="I11" s="28"/>
      <c r="J11" s="29" t="s">
        <v>105</v>
      </c>
    </row>
    <row r="12" spans="1:10" x14ac:dyDescent="0.45">
      <c r="B12" s="25" t="s">
        <v>106</v>
      </c>
      <c r="C12" s="26"/>
      <c r="D12" s="27">
        <v>0.2</v>
      </c>
      <c r="E12" s="26" t="s">
        <v>104</v>
      </c>
      <c r="F12" s="28"/>
      <c r="G12" s="28"/>
      <c r="H12" s="28"/>
      <c r="I12" s="28"/>
      <c r="J12" s="29" t="s">
        <v>107</v>
      </c>
    </row>
    <row r="13" spans="1:10" x14ac:dyDescent="0.45">
      <c r="B13" s="25" t="s">
        <v>108</v>
      </c>
      <c r="C13" s="26"/>
      <c r="D13" s="27">
        <v>0.12</v>
      </c>
      <c r="E13" s="26" t="s">
        <v>104</v>
      </c>
      <c r="F13" s="28"/>
      <c r="G13" s="28"/>
      <c r="H13" s="28"/>
      <c r="I13" s="28"/>
      <c r="J13" s="29" t="s">
        <v>109</v>
      </c>
    </row>
    <row r="14" spans="1:10" ht="8" customHeight="1" x14ac:dyDescent="0.45"/>
    <row r="15" spans="1:10" ht="22.05" customHeight="1" x14ac:dyDescent="0.5">
      <c r="B15" s="7" t="s">
        <v>110</v>
      </c>
      <c r="C15" s="8"/>
      <c r="D15" s="8"/>
      <c r="E15" s="8"/>
      <c r="F15" s="8"/>
      <c r="G15" s="8"/>
      <c r="H15" s="8"/>
      <c r="I15" s="8"/>
      <c r="J15" s="8"/>
    </row>
    <row r="16" spans="1:10" ht="18" customHeight="1" x14ac:dyDescent="0.45">
      <c r="B16" s="13" t="s">
        <v>111</v>
      </c>
    </row>
    <row r="17" spans="2:10" ht="18" customHeight="1" x14ac:dyDescent="0.45">
      <c r="B17" s="23" t="s">
        <v>97</v>
      </c>
      <c r="C17" s="23" t="s">
        <v>98</v>
      </c>
      <c r="D17" s="24" t="s">
        <v>99</v>
      </c>
      <c r="E17" s="23" t="s">
        <v>100</v>
      </c>
      <c r="F17" s="5"/>
      <c r="G17" s="5"/>
      <c r="H17" s="5"/>
      <c r="I17" s="5"/>
      <c r="J17" s="23" t="s">
        <v>101</v>
      </c>
    </row>
    <row r="18" spans="2:10" x14ac:dyDescent="0.45">
      <c r="B18" s="25" t="s">
        <v>112</v>
      </c>
      <c r="C18" s="26" t="s">
        <v>113</v>
      </c>
      <c r="D18" s="30">
        <v>30</v>
      </c>
      <c r="E18" s="26" t="s">
        <v>104</v>
      </c>
      <c r="F18" s="28"/>
      <c r="G18" s="28"/>
      <c r="H18" s="28"/>
      <c r="I18" s="28"/>
      <c r="J18" s="29" t="s">
        <v>114</v>
      </c>
    </row>
    <row r="19" spans="2:10" x14ac:dyDescent="0.45">
      <c r="B19" s="25" t="s">
        <v>115</v>
      </c>
      <c r="C19" s="26"/>
      <c r="D19" s="31">
        <v>0.99</v>
      </c>
      <c r="E19" s="26" t="s">
        <v>104</v>
      </c>
      <c r="F19" s="28"/>
      <c r="G19" s="28"/>
      <c r="H19" s="28"/>
      <c r="I19" s="28"/>
      <c r="J19" s="29" t="s">
        <v>116</v>
      </c>
    </row>
    <row r="20" spans="2:10" ht="8" customHeight="1" x14ac:dyDescent="0.45"/>
    <row r="21" spans="2:10" ht="22.05" customHeight="1" x14ac:dyDescent="0.5">
      <c r="B21" s="7" t="s">
        <v>117</v>
      </c>
      <c r="C21" s="8"/>
      <c r="D21" s="8"/>
      <c r="E21" s="8"/>
      <c r="F21" s="8"/>
      <c r="G21" s="8"/>
      <c r="H21" s="8"/>
      <c r="I21" s="8"/>
      <c r="J21" s="8"/>
    </row>
    <row r="22" spans="2:10" ht="18" customHeight="1" x14ac:dyDescent="0.45">
      <c r="B22" s="13" t="s">
        <v>118</v>
      </c>
    </row>
    <row r="23" spans="2:10" ht="18" customHeight="1" x14ac:dyDescent="0.45">
      <c r="B23" s="32" t="s">
        <v>119</v>
      </c>
      <c r="C23" s="33" t="s">
        <v>120</v>
      </c>
      <c r="D23" s="33" t="s">
        <v>121</v>
      </c>
      <c r="E23" s="32"/>
      <c r="F23" s="33" t="s">
        <v>122</v>
      </c>
      <c r="G23" s="5"/>
      <c r="H23" s="5"/>
      <c r="I23" s="5"/>
      <c r="J23" s="34" t="s">
        <v>101</v>
      </c>
    </row>
    <row r="24" spans="2:10" x14ac:dyDescent="0.45">
      <c r="B24" s="35"/>
      <c r="C24" s="35"/>
      <c r="D24" s="35" t="s">
        <v>123</v>
      </c>
      <c r="E24" s="35"/>
      <c r="F24" s="35" t="s">
        <v>124</v>
      </c>
    </row>
    <row r="25" spans="2:10" x14ac:dyDescent="0.45">
      <c r="B25" s="25" t="s">
        <v>125</v>
      </c>
      <c r="C25" s="30">
        <v>400</v>
      </c>
      <c r="D25" s="36">
        <v>1</v>
      </c>
      <c r="E25" s="28"/>
      <c r="F25" s="31">
        <v>3.0000000000000001E-3</v>
      </c>
      <c r="G25" s="28"/>
      <c r="H25" s="28"/>
      <c r="I25" s="28"/>
      <c r="J25" s="26" t="s">
        <v>126</v>
      </c>
    </row>
    <row r="26" spans="2:10" x14ac:dyDescent="0.45">
      <c r="B26" s="25" t="s">
        <v>127</v>
      </c>
      <c r="C26" s="30">
        <v>600</v>
      </c>
      <c r="D26" s="36">
        <v>0.8</v>
      </c>
      <c r="E26" s="28"/>
      <c r="F26" s="31">
        <v>8.0000000000000002E-3</v>
      </c>
      <c r="G26" s="28"/>
      <c r="H26" s="28"/>
      <c r="I26" s="28"/>
      <c r="J26" s="28"/>
    </row>
    <row r="27" spans="2:10" x14ac:dyDescent="0.45">
      <c r="B27" s="25" t="s">
        <v>128</v>
      </c>
      <c r="C27" s="30">
        <v>500</v>
      </c>
      <c r="D27" s="36">
        <v>0.6</v>
      </c>
      <c r="E27" s="28"/>
      <c r="F27" s="31">
        <v>0.02</v>
      </c>
      <c r="G27" s="28"/>
      <c r="H27" s="28"/>
      <c r="I27" s="28"/>
      <c r="J27" s="28"/>
    </row>
    <row r="28" spans="2:10" x14ac:dyDescent="0.45">
      <c r="B28" s="25" t="s">
        <v>129</v>
      </c>
      <c r="C28" s="30">
        <v>350</v>
      </c>
      <c r="D28" s="36">
        <v>0.5</v>
      </c>
      <c r="E28" s="28"/>
      <c r="F28" s="31">
        <v>4.4999999999999998E-2</v>
      </c>
      <c r="G28" s="28"/>
      <c r="H28" s="28"/>
      <c r="I28" s="28"/>
      <c r="J28" s="28"/>
    </row>
    <row r="29" spans="2:10" x14ac:dyDescent="0.45">
      <c r="B29" s="25" t="s">
        <v>130</v>
      </c>
      <c r="C29" s="30">
        <v>150</v>
      </c>
      <c r="D29" s="36">
        <v>0.4</v>
      </c>
      <c r="E29" s="28"/>
      <c r="F29" s="31">
        <v>0.09</v>
      </c>
      <c r="G29" s="28"/>
      <c r="H29" s="28"/>
      <c r="I29" s="28"/>
      <c r="J29" s="26" t="s">
        <v>131</v>
      </c>
    </row>
    <row r="30" spans="2:10" ht="14" customHeight="1" x14ac:dyDescent="0.45"/>
  </sheetData>
  <mergeCells count="1">
    <mergeCell ref="B6:J6"/>
  </mergeCells>
  <dataValidations count="4">
    <dataValidation type="decimal" showErrorMessage="1" errorTitle="Вероятность" error="Введите значение от 0% до 100%." sqref="D19 D11:D13" xr:uid="{00000000-0002-0000-0100-000000000000}">
      <formula1>0</formula1>
      <formula2>1</formula2>
    </dataValidation>
    <dataValidation type="decimal" showErrorMessage="1" errorTitle="Значение" error="Введите значение не меньше нуля." sqref="D18" xr:uid="{00000000-0002-0000-0100-000003000000}">
      <formula1>0</formula1>
      <formula2>1000000000000</formula2>
    </dataValidation>
    <dataValidation type="whole" showErrorMessage="1" errorTitle="Кредиты" error="Введите целое число кредитов." sqref="C25:C29" xr:uid="{00000000-0002-0000-0100-000005000000}">
      <formula1>0</formula1>
      <formula2>1000000</formula2>
    </dataValidation>
    <dataValidation type="decimal" showErrorMessage="1" errorTitle="Вероятность дефолта" error="Введите вероятность от 0,01% до 99,99%." sqref="F25:F29" xr:uid="{00000000-0002-0000-0100-000006000000}">
      <formula1>0.0001</formula1>
      <formula2>0.9999</formula2>
    </dataValidation>
  </dataValidations>
  <hyperlinks>
    <hyperlink ref="B4" location="'Описание'!A1" display="◂  Описание" xr:uid="{00000000-0004-0000-0100-000000000000}"/>
    <hyperlink ref="J4" location="'Кредитный портфель'!A1" display="Далее:  Кредитный портфель  ▸" xr:uid="{00000000-0004-0000-0100-000001000000}"/>
  </hyperlinks>
  <printOptions horizontalCentered="1"/>
  <pageMargins left="0.4" right="0.4" top="0.5" bottom="0.6" header="0.25" footer="0.25"/>
  <pageSetup paperSize="9" scale="70" fitToHeight="0" orientation="landscape" r:id="rId1"/>
  <headerFooter>
    <oddFooter>&amp;L&amp;K3F5876&amp;8&amp;F · &amp;A&amp;R&amp;K3F5876&amp;8Page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8AA0BA"/>
    <pageSetUpPr fitToPage="1"/>
  </sheetPr>
  <dimension ref="A1:P38"/>
  <sheetViews>
    <sheetView showGridLines="0" workbookViewId="0"/>
  </sheetViews>
  <sheetFormatPr defaultRowHeight="14.25" x14ac:dyDescent="0.45"/>
  <cols>
    <col min="1" max="1" width="2" customWidth="1"/>
    <col min="2" max="2" width="24" customWidth="1"/>
    <col min="3" max="3" width="9" customWidth="1"/>
    <col min="4" max="11" width="10" customWidth="1"/>
    <col min="12" max="12" width="2" customWidth="1"/>
    <col min="13" max="14" width="10" customWidth="1"/>
    <col min="15" max="15" width="2" customWidth="1"/>
    <col min="16" max="16" width="34" customWidth="1"/>
  </cols>
  <sheetData>
    <row r="1" spans="1:16" ht="6" customHeight="1" x14ac:dyDescent="0.45"/>
    <row r="2" spans="1:16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3" t="s">
        <v>1</v>
      </c>
    </row>
    <row r="3" spans="1:16" ht="20" customHeight="1" x14ac:dyDescent="0.45">
      <c r="A3" s="1"/>
      <c r="B3" s="4" t="s">
        <v>132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20" customHeight="1" x14ac:dyDescent="0.45">
      <c r="A4" s="5"/>
      <c r="B4" s="22" t="s">
        <v>133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6" t="s">
        <v>134</v>
      </c>
    </row>
    <row r="5" spans="1:16" ht="8" customHeight="1" x14ac:dyDescent="0.45"/>
    <row r="6" spans="1:16" ht="22.05" customHeight="1" x14ac:dyDescent="0.5">
      <c r="B6" s="7" t="s">
        <v>135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18" customHeight="1" x14ac:dyDescent="0.45">
      <c r="B7" s="34" t="s">
        <v>136</v>
      </c>
      <c r="C7" s="34" t="s">
        <v>98</v>
      </c>
      <c r="D7" s="37" t="s">
        <v>137</v>
      </c>
      <c r="E7" s="5"/>
      <c r="F7" s="5"/>
      <c r="G7" s="34" t="s">
        <v>138</v>
      </c>
      <c r="H7" s="5"/>
      <c r="I7" s="5"/>
      <c r="J7" s="5"/>
      <c r="K7" s="5"/>
      <c r="L7" s="5"/>
      <c r="M7" s="5"/>
      <c r="N7" s="5"/>
      <c r="O7" s="5"/>
      <c r="P7" s="5"/>
    </row>
    <row r="8" spans="1:16" x14ac:dyDescent="0.45">
      <c r="B8" s="25" t="s">
        <v>139</v>
      </c>
      <c r="C8" s="26"/>
      <c r="D8" s="38" cm="1">
        <f t="array" aca="1" ref="D8" ca="1">_xll.VoseInput("Экономика","z")+_xll.VoseNormal(0,1)</f>
        <v>-0.45666973060608296</v>
      </c>
      <c r="E8" s="28"/>
      <c r="F8" s="28"/>
      <c r="G8" s="26" t="s">
        <v>140</v>
      </c>
      <c r="H8" s="28"/>
      <c r="I8" s="28"/>
      <c r="J8" s="28"/>
      <c r="K8" s="28"/>
      <c r="L8" s="28"/>
      <c r="M8" s="28"/>
      <c r="N8" s="28"/>
      <c r="O8" s="28"/>
      <c r="P8" s="28"/>
    </row>
    <row r="9" spans="1:16" x14ac:dyDescent="0.45">
      <c r="B9" s="25" t="s">
        <v>141</v>
      </c>
      <c r="C9" s="26"/>
      <c r="D9" s="39">
        <f>LGDMean*(LGDMean*(1-LGDMean)/LGDSd^2-1)</f>
        <v>2.3343749999999996</v>
      </c>
      <c r="E9" s="28"/>
      <c r="F9" s="28"/>
      <c r="G9" s="26" t="s">
        <v>142</v>
      </c>
      <c r="H9" s="28"/>
      <c r="I9" s="28"/>
      <c r="J9" s="28"/>
      <c r="K9" s="28"/>
      <c r="L9" s="28"/>
      <c r="M9" s="28"/>
      <c r="N9" s="28"/>
      <c r="O9" s="28"/>
      <c r="P9" s="28"/>
    </row>
    <row r="10" spans="1:16" x14ac:dyDescent="0.45">
      <c r="B10" s="25" t="s">
        <v>143</v>
      </c>
      <c r="C10" s="26"/>
      <c r="D10" s="39">
        <f>(1-LGDMean)*(LGDMean*(1-LGDMean)/LGDSd^2-1)</f>
        <v>2.8531249999999999</v>
      </c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</row>
    <row r="11" spans="1:16" ht="8" customHeight="1" x14ac:dyDescent="0.45"/>
    <row r="12" spans="1:16" ht="22.05" customHeight="1" x14ac:dyDescent="0.5">
      <c r="B12" s="7" t="s">
        <v>144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</row>
    <row r="13" spans="1:16" ht="18" customHeight="1" x14ac:dyDescent="0.45">
      <c r="B13" s="13" t="s">
        <v>145</v>
      </c>
    </row>
    <row r="14" spans="1:16" ht="18" customHeight="1" x14ac:dyDescent="0.45">
      <c r="B14" s="32" t="s">
        <v>119</v>
      </c>
      <c r="C14" s="33" t="s">
        <v>120</v>
      </c>
      <c r="D14" s="33" t="s">
        <v>121</v>
      </c>
      <c r="E14" s="33" t="s">
        <v>121</v>
      </c>
      <c r="F14" s="33" t="s">
        <v>122</v>
      </c>
      <c r="G14" s="33" t="s">
        <v>122</v>
      </c>
      <c r="H14" s="33" t="s">
        <v>146</v>
      </c>
      <c r="I14" s="33" t="s">
        <v>147</v>
      </c>
      <c r="J14" s="33" t="s">
        <v>66</v>
      </c>
      <c r="K14" s="33" t="s">
        <v>148</v>
      </c>
      <c r="L14" s="40"/>
      <c r="M14" s="33" t="s">
        <v>66</v>
      </c>
      <c r="N14" s="33" t="s">
        <v>148</v>
      </c>
      <c r="O14" s="5"/>
      <c r="P14" s="5"/>
    </row>
    <row r="15" spans="1:16" x14ac:dyDescent="0.45">
      <c r="B15" s="35"/>
      <c r="C15" s="35"/>
      <c r="D15" s="35" t="s">
        <v>149</v>
      </c>
      <c r="E15" s="35" t="s">
        <v>113</v>
      </c>
      <c r="F15" s="35" t="s">
        <v>124</v>
      </c>
      <c r="G15" s="35" t="s">
        <v>150</v>
      </c>
      <c r="H15" s="35" t="s">
        <v>124</v>
      </c>
      <c r="I15" s="35" t="s">
        <v>151</v>
      </c>
      <c r="J15" s="35" t="s">
        <v>152</v>
      </c>
      <c r="K15" s="35" t="s">
        <v>152</v>
      </c>
      <c r="L15" s="35"/>
      <c r="M15" s="35" t="s">
        <v>153</v>
      </c>
      <c r="N15" s="35" t="s">
        <v>153</v>
      </c>
    </row>
    <row r="16" spans="1:16" x14ac:dyDescent="0.45">
      <c r="B16" s="25" t="s">
        <v>125</v>
      </c>
      <c r="C16" s="41">
        <f>'Исходные данные'!C25</f>
        <v>400</v>
      </c>
      <c r="D16" s="42">
        <f>'Исходные данные'!D25</f>
        <v>1</v>
      </c>
      <c r="E16" s="43">
        <f>C16*D16</f>
        <v>400</v>
      </c>
      <c r="F16" s="44">
        <f>'Исходные данные'!F25</f>
        <v>3.0000000000000001E-3</v>
      </c>
      <c r="G16" s="39">
        <f>_xlfn.NORM.S.INV(F16)</f>
        <v>-2.7477813854449931</v>
      </c>
      <c r="H16" s="44">
        <f ca="1">_xlfn.NORM.S.DIST((G16-SQRT(Rho)*Economy)/SQRT(1-Rho),TRUE)</f>
        <v>2.8855743577168541E-3</v>
      </c>
      <c r="I16" s="42">
        <f>E16*F16*LGDMean</f>
        <v>0.54</v>
      </c>
      <c r="J16" s="45" cm="1">
        <f t="array" aca="1" ref="J16" ca="1">_xll.VoseBinomial(C16,H16)</f>
        <v>0</v>
      </c>
      <c r="K16" s="46" cm="1">
        <f t="array" aca="1" ref="K16" ca="1">_xll.VoseOutput("Потери, рейтинг A","млн долл.")+_xll.VoseAggregateMC(J16,_xll.VoseBetaObject(LGD_A,LGD_B))*D16</f>
        <v>0</v>
      </c>
      <c r="L16" s="28"/>
      <c r="M16" s="45" cm="1">
        <f t="array" aca="1" ref="M16" ca="1">_xll.VoseBinomial(C16,F16)</f>
        <v>3</v>
      </c>
      <c r="N16" s="47" cm="1">
        <f t="array" aca="1" ref="N16" ca="1">_xll.VoseAggregateMC(M16,_xll.VoseBetaObject(LGD_A,LGD_B))*D16</f>
        <v>1.2054176400881134</v>
      </c>
      <c r="O16" s="28"/>
      <c r="P16" s="26" t="s">
        <v>154</v>
      </c>
    </row>
    <row r="17" spans="2:16" x14ac:dyDescent="0.45">
      <c r="B17" s="25" t="s">
        <v>127</v>
      </c>
      <c r="C17" s="41">
        <f>'Исходные данные'!C26</f>
        <v>600</v>
      </c>
      <c r="D17" s="42">
        <f>'Исходные данные'!D26</f>
        <v>0.8</v>
      </c>
      <c r="E17" s="43">
        <f>C17*D17</f>
        <v>480</v>
      </c>
      <c r="F17" s="44">
        <f>'Исходные данные'!F26</f>
        <v>8.0000000000000002E-3</v>
      </c>
      <c r="G17" s="39">
        <f>_xlfn.NORM.S.INV(F17)</f>
        <v>-2.4089155458154612</v>
      </c>
      <c r="H17" s="44">
        <f ca="1">_xlfn.NORM.S.DIST((G17-SQRT(Rho)*Economy)/SQRT(1-Rho),TRUE)</f>
        <v>8.2137608318789117E-3</v>
      </c>
      <c r="I17" s="42">
        <f>E17*F17*LGDMean</f>
        <v>1.728</v>
      </c>
      <c r="J17" s="45" cm="1">
        <f t="array" aca="1" ref="J17" ca="1">_xll.VoseBinomial(C17,H17)</f>
        <v>2</v>
      </c>
      <c r="K17" s="46" cm="1">
        <f t="array" aca="1" ref="K17" ca="1">_xll.VoseOutput("Потери, рейтинг B","млн долл.")+_xll.VoseAggregateMC(J17,_xll.VoseBetaObject(LGD_A,LGD_B))*D17</f>
        <v>0.78556838993152378</v>
      </c>
      <c r="L17" s="28"/>
      <c r="M17" s="45" cm="1">
        <f t="array" aca="1" ref="M17" ca="1">_xll.VoseBinomial(C17,F17)</f>
        <v>5</v>
      </c>
      <c r="N17" s="47" cm="1">
        <f t="array" aca="1" ref="N17" ca="1">_xll.VoseAggregateMC(M17,_xll.VoseBetaObject(LGD_A,LGD_B))*D17</f>
        <v>1.6356418111822268</v>
      </c>
      <c r="O17" s="28"/>
      <c r="P17" s="26" t="s">
        <v>155</v>
      </c>
    </row>
    <row r="18" spans="2:16" x14ac:dyDescent="0.45">
      <c r="B18" s="25" t="s">
        <v>128</v>
      </c>
      <c r="C18" s="41">
        <f>'Исходные данные'!C27</f>
        <v>500</v>
      </c>
      <c r="D18" s="42">
        <f>'Исходные данные'!D27</f>
        <v>0.6</v>
      </c>
      <c r="E18" s="43">
        <f>C18*D18</f>
        <v>300</v>
      </c>
      <c r="F18" s="44">
        <f>'Исходные данные'!F27</f>
        <v>0.02</v>
      </c>
      <c r="G18" s="39">
        <f>_xlfn.NORM.S.INV(F18)</f>
        <v>-2.0537489106318225</v>
      </c>
      <c r="H18" s="44">
        <f ca="1">_xlfn.NORM.S.DIST((G18-SQRT(Rho)*Economy)/SQRT(1-Rho),TRUE)</f>
        <v>2.1657112625940878E-2</v>
      </c>
      <c r="I18" s="42">
        <f>E18*F18*LGDMean</f>
        <v>2.7</v>
      </c>
      <c r="J18" s="45" cm="1">
        <f t="array" aca="1" ref="J18" ca="1">_xll.VoseBinomial(C18,H18)</f>
        <v>9</v>
      </c>
      <c r="K18" s="46" cm="1">
        <f t="array" aca="1" ref="K18" ca="1">_xll.VoseOutput("Потери, рейтинг C","млн долл.")+_xll.VoseAggregateMC(J18,_xll.VoseBetaObject(LGD_A,LGD_B))*D18</f>
        <v>2.7393201750145453</v>
      </c>
      <c r="L18" s="28"/>
      <c r="M18" s="45" cm="1">
        <f t="array" aca="1" ref="M18" ca="1">_xll.VoseBinomial(C18,F18)</f>
        <v>11</v>
      </c>
      <c r="N18" s="47" cm="1">
        <f t="array" aca="1" ref="N18" ca="1">_xll.VoseAggregateMC(M18,_xll.VoseBetaObject(LGD_A,LGD_B))*D18</f>
        <v>2.6843654430748014</v>
      </c>
      <c r="O18" s="28"/>
      <c r="P18" s="26" t="s">
        <v>156</v>
      </c>
    </row>
    <row r="19" spans="2:16" x14ac:dyDescent="0.45">
      <c r="B19" s="25" t="s">
        <v>129</v>
      </c>
      <c r="C19" s="41">
        <f>'Исходные данные'!C28</f>
        <v>350</v>
      </c>
      <c r="D19" s="42">
        <f>'Исходные данные'!D28</f>
        <v>0.5</v>
      </c>
      <c r="E19" s="43">
        <f>C19*D19</f>
        <v>175</v>
      </c>
      <c r="F19" s="44">
        <f>'Исходные данные'!F28</f>
        <v>4.4999999999999998E-2</v>
      </c>
      <c r="G19" s="39">
        <f>_xlfn.NORM.S.INV(F19)</f>
        <v>-1.6953977102721358</v>
      </c>
      <c r="H19" s="44">
        <f ca="1">_xlfn.NORM.S.DIST((G19-SQRT(Rho)*Economy)/SQRT(1-Rho),TRUE)</f>
        <v>5.0641673818240619E-2</v>
      </c>
      <c r="I19" s="42">
        <f>E19*F19*LGDMean</f>
        <v>3.5437500000000002</v>
      </c>
      <c r="J19" s="45" cm="1">
        <f t="array" aca="1" ref="J19" ca="1">_xll.VoseBinomial(C19,H19)</f>
        <v>25</v>
      </c>
      <c r="K19" s="46" cm="1">
        <f t="array" aca="1" ref="K19" ca="1">_xll.VoseOutput("Потери, рейтинг D","млн долл.")+_xll.VoseAggregateMC(J19,_xll.VoseBetaObject(LGD_A,LGD_B))*D19</f>
        <v>5.6556434200130798</v>
      </c>
      <c r="L19" s="28"/>
      <c r="M19" s="45" cm="1">
        <f t="array" aca="1" ref="M19" ca="1">_xll.VoseBinomial(C19,F19)</f>
        <v>15</v>
      </c>
      <c r="N19" s="47" cm="1">
        <f t="array" aca="1" ref="N19" ca="1">_xll.VoseAggregateMC(M19,_xll.VoseBetaObject(LGD_A,LGD_B))*D19</f>
        <v>3.4025612758813626</v>
      </c>
      <c r="O19" s="28"/>
      <c r="P19" s="26" t="s">
        <v>157</v>
      </c>
    </row>
    <row r="20" spans="2:16" x14ac:dyDescent="0.45">
      <c r="B20" s="25" t="s">
        <v>130</v>
      </c>
      <c r="C20" s="41">
        <f>'Исходные данные'!C29</f>
        <v>150</v>
      </c>
      <c r="D20" s="42">
        <f>'Исходные данные'!D29</f>
        <v>0.4</v>
      </c>
      <c r="E20" s="43">
        <f>C20*D20</f>
        <v>60</v>
      </c>
      <c r="F20" s="44">
        <f>'Исходные данные'!F29</f>
        <v>0.09</v>
      </c>
      <c r="G20" s="39">
        <f>_xlfn.NORM.S.INV(F20)</f>
        <v>-1.3407550336902161</v>
      </c>
      <c r="H20" s="44">
        <f ca="1">_xlfn.NORM.S.DIST((G20-SQRT(Rho)*Economy)/SQRT(1-Rho),TRUE)</f>
        <v>0.10372412130683971</v>
      </c>
      <c r="I20" s="42">
        <f>E20*F20*LGDMean</f>
        <v>2.4299999999999997</v>
      </c>
      <c r="J20" s="45" cm="1">
        <f t="array" aca="1" ref="J20" ca="1">_xll.VoseBinomial(C20,H20)</f>
        <v>21</v>
      </c>
      <c r="K20" s="46" cm="1">
        <f t="array" aca="1" ref="K20" ca="1">_xll.VoseOutput("Потери, рейтинг E","млн долл.")+_xll.VoseAggregateMC(J20,_xll.VoseBetaObject(LGD_A,LGD_B))*D20</f>
        <v>3.9272724070548861</v>
      </c>
      <c r="L20" s="28"/>
      <c r="M20" s="45" cm="1">
        <f t="array" aca="1" ref="M20" ca="1">_xll.VoseBinomial(C20,F20)</f>
        <v>11</v>
      </c>
      <c r="N20" s="47" cm="1">
        <f t="array" aca="1" ref="N20" ca="1">_xll.VoseAggregateMC(M20,_xll.VoseBetaObject(LGD_A,LGD_B))*D20</f>
        <v>2.2416076799664317</v>
      </c>
      <c r="O20" s="28"/>
      <c r="P20" s="28"/>
    </row>
    <row r="21" spans="2:16" x14ac:dyDescent="0.45">
      <c r="B21" s="48" t="s">
        <v>158</v>
      </c>
      <c r="C21" s="49">
        <f>SUM(C16:C20)</f>
        <v>2000</v>
      </c>
      <c r="D21" s="28"/>
      <c r="E21" s="50">
        <f>SUM(E16:E20)</f>
        <v>1415</v>
      </c>
      <c r="F21" s="28"/>
      <c r="G21" s="28"/>
      <c r="H21" s="28"/>
      <c r="I21" s="51">
        <f>SUM(I16:I20)</f>
        <v>10.941749999999999</v>
      </c>
      <c r="J21" s="49">
        <f ca="1">SUM(J16:J20)</f>
        <v>57</v>
      </c>
      <c r="K21" s="51">
        <f ca="1">SUM(K16:K20)</f>
        <v>13.107804392014035</v>
      </c>
      <c r="L21" s="28"/>
      <c r="M21" s="49">
        <f ca="1">SUM(M16:M20)</f>
        <v>45</v>
      </c>
      <c r="N21" s="51">
        <f ca="1">SUM(N16:N20)</f>
        <v>11.169593850192935</v>
      </c>
      <c r="O21" s="28"/>
      <c r="P21" s="28"/>
    </row>
    <row r="22" spans="2:16" ht="8" customHeight="1" x14ac:dyDescent="0.45"/>
    <row r="23" spans="2:16" ht="22.05" customHeight="1" x14ac:dyDescent="0.5">
      <c r="B23" s="7" t="s">
        <v>159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</row>
    <row r="24" spans="2:16" ht="18" customHeight="1" x14ac:dyDescent="0.45">
      <c r="B24" s="13" t="s">
        <v>160</v>
      </c>
    </row>
    <row r="25" spans="2:16" ht="18" customHeight="1" x14ac:dyDescent="0.45">
      <c r="B25" s="34" t="s">
        <v>161</v>
      </c>
      <c r="C25" s="5"/>
      <c r="D25" s="5"/>
      <c r="E25" s="34" t="s">
        <v>98</v>
      </c>
      <c r="F25" s="37" t="s">
        <v>137</v>
      </c>
      <c r="G25" s="5"/>
      <c r="H25" s="34" t="s">
        <v>162</v>
      </c>
      <c r="I25" s="5"/>
      <c r="J25" s="5"/>
      <c r="K25" s="5"/>
      <c r="L25" s="5"/>
      <c r="M25" s="5"/>
      <c r="N25" s="5"/>
      <c r="O25" s="5"/>
      <c r="P25" s="5"/>
    </row>
    <row r="26" spans="2:16" x14ac:dyDescent="0.45">
      <c r="B26" s="25" t="s">
        <v>163</v>
      </c>
      <c r="C26" s="28"/>
      <c r="D26" s="28"/>
      <c r="E26" s="26" t="s">
        <v>113</v>
      </c>
      <c r="F26" s="46" cm="1">
        <f t="array" aca="1" ref="F26" ca="1">_xll.VoseOutput("Кредитные потери","млн долл.")+K21</f>
        <v>13.107804392014035</v>
      </c>
      <c r="G26" s="28"/>
      <c r="H26" s="26" t="s">
        <v>164</v>
      </c>
      <c r="I26" s="28"/>
      <c r="J26" s="28"/>
      <c r="K26" s="28"/>
      <c r="L26" s="28"/>
      <c r="M26" s="28"/>
      <c r="N26" s="28"/>
      <c r="O26" s="28"/>
      <c r="P26" s="28"/>
    </row>
    <row r="27" spans="2:16" x14ac:dyDescent="0.45">
      <c r="B27" s="25" t="s">
        <v>165</v>
      </c>
      <c r="C27" s="28"/>
      <c r="D27" s="28"/>
      <c r="E27" s="26" t="s">
        <v>113</v>
      </c>
      <c r="F27" s="46" cm="1">
        <f t="array" aca="1" ref="F27" ca="1">_xll.VoseOutput("Кредитные потери, независимые","млн долл.")+N21</f>
        <v>11.169593850192935</v>
      </c>
      <c r="G27" s="28"/>
      <c r="H27" s="26" t="s">
        <v>166</v>
      </c>
      <c r="I27" s="28"/>
      <c r="J27" s="28"/>
      <c r="K27" s="28"/>
      <c r="L27" s="28"/>
      <c r="M27" s="28"/>
      <c r="N27" s="28"/>
      <c r="O27" s="28"/>
      <c r="P27" s="28"/>
    </row>
    <row r="28" spans="2:16" x14ac:dyDescent="0.45">
      <c r="B28" s="25" t="s">
        <v>167</v>
      </c>
      <c r="C28" s="28"/>
      <c r="D28" s="28"/>
      <c r="E28" s="26" t="s">
        <v>168</v>
      </c>
      <c r="F28" s="52" cm="1">
        <f t="array" aca="1" ref="F28" ca="1">_xll.VoseOutput("Дефолты","кредитов")+J21</f>
        <v>57</v>
      </c>
      <c r="G28" s="28"/>
      <c r="H28" s="26"/>
      <c r="I28" s="28"/>
      <c r="J28" s="28"/>
      <c r="K28" s="28"/>
      <c r="L28" s="28"/>
      <c r="M28" s="28"/>
      <c r="N28" s="28"/>
      <c r="O28" s="28"/>
      <c r="P28" s="28"/>
    </row>
    <row r="29" spans="2:16" x14ac:dyDescent="0.45">
      <c r="B29" s="25" t="s">
        <v>169</v>
      </c>
      <c r="C29" s="28"/>
      <c r="D29" s="28"/>
      <c r="E29" s="26" t="s">
        <v>168</v>
      </c>
      <c r="F29" s="52" cm="1">
        <f t="array" aca="1" ref="F29" ca="1">_xll.VoseOutput("Дефолты, независимые","кредитов")+M21</f>
        <v>45</v>
      </c>
      <c r="G29" s="28"/>
      <c r="H29" s="26"/>
      <c r="I29" s="28"/>
      <c r="J29" s="28"/>
      <c r="K29" s="28"/>
      <c r="L29" s="28"/>
      <c r="M29" s="28"/>
      <c r="N29" s="28"/>
      <c r="O29" s="28"/>
      <c r="P29" s="28"/>
    </row>
    <row r="30" spans="2:16" x14ac:dyDescent="0.45">
      <c r="B30" s="25" t="s">
        <v>170</v>
      </c>
      <c r="C30" s="28"/>
      <c r="D30" s="28"/>
      <c r="E30" s="26" t="s">
        <v>171</v>
      </c>
      <c r="F30" s="53" cm="1">
        <f t="array" aca="1" ref="F30" ca="1">_xll.VoseOutput("Потери превышают капитал","1 = да")+IF(Loss&gt;EL+Capital,1,0)</f>
        <v>0</v>
      </c>
      <c r="G30" s="28"/>
      <c r="H30" s="26"/>
      <c r="I30" s="28"/>
      <c r="J30" s="28"/>
      <c r="K30" s="28"/>
      <c r="L30" s="28"/>
      <c r="M30" s="28"/>
      <c r="N30" s="28"/>
      <c r="O30" s="28"/>
      <c r="P30" s="28"/>
    </row>
    <row r="31" spans="2:16" x14ac:dyDescent="0.45">
      <c r="B31" s="25" t="s">
        <v>172</v>
      </c>
      <c r="C31" s="28"/>
      <c r="D31" s="28"/>
      <c r="E31" s="26" t="s">
        <v>171</v>
      </c>
      <c r="F31" s="53" cm="1">
        <f t="array" aca="1" ref="F31" ca="1">_xll.VoseOutput("Потери превышают капитал, независимые","1 = да")+IF(Loss0&gt;EL+Capital,1,0)</f>
        <v>0</v>
      </c>
      <c r="G31" s="28"/>
      <c r="H31" s="26"/>
      <c r="I31" s="28"/>
      <c r="J31" s="28"/>
      <c r="K31" s="28"/>
      <c r="L31" s="28"/>
      <c r="M31" s="28"/>
      <c r="N31" s="28"/>
      <c r="O31" s="28"/>
      <c r="P31" s="28"/>
    </row>
    <row r="32" spans="2:16" x14ac:dyDescent="0.45">
      <c r="B32" s="25" t="s">
        <v>173</v>
      </c>
      <c r="C32" s="28"/>
      <c r="D32" s="28"/>
      <c r="E32" s="26" t="s">
        <v>113</v>
      </c>
      <c r="F32" s="42">
        <f>I21</f>
        <v>10.941749999999999</v>
      </c>
      <c r="G32" s="28"/>
      <c r="H32" s="26" t="s">
        <v>174</v>
      </c>
      <c r="I32" s="28"/>
      <c r="J32" s="28"/>
      <c r="K32" s="28"/>
      <c r="L32" s="28"/>
      <c r="M32" s="28"/>
      <c r="N32" s="28"/>
      <c r="O32" s="28"/>
      <c r="P32" s="28"/>
    </row>
    <row r="33" spans="2:16" ht="8" customHeight="1" x14ac:dyDescent="0.45"/>
    <row r="34" spans="2:16" ht="22.05" customHeight="1" x14ac:dyDescent="0.5">
      <c r="B34" s="7" t="s">
        <v>175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ht="18" customHeight="1" x14ac:dyDescent="0.45">
      <c r="B35" s="13" t="s">
        <v>176</v>
      </c>
    </row>
    <row r="36" spans="2:16" x14ac:dyDescent="0.45">
      <c r="B36" s="25" t="s">
        <v>177</v>
      </c>
      <c r="C36" s="28"/>
      <c r="D36" s="28"/>
      <c r="E36" s="28"/>
      <c r="F36" s="54" t="str">
        <f>IF(LGDSd^2&lt;LGDMean*(1-LGDMean),"ОК","ПРОВЕРИТЬ")</f>
        <v>ОК</v>
      </c>
      <c r="G36" s="28"/>
      <c r="H36" s="28"/>
      <c r="I36" s="28"/>
      <c r="J36" s="28"/>
      <c r="K36" s="28"/>
      <c r="L36" s="28"/>
      <c r="M36" s="28"/>
      <c r="N36" s="28"/>
      <c r="O36" s="28"/>
      <c r="P36" s="28"/>
    </row>
    <row r="37" spans="2:16" x14ac:dyDescent="0.45">
      <c r="B37" s="25" t="s">
        <v>178</v>
      </c>
      <c r="C37" s="28"/>
      <c r="D37" s="28"/>
      <c r="E37" s="28"/>
      <c r="F37" s="54" t="str">
        <f>IF(AND(Rho&gt;=0,Rho&lt;1),"ОК","ПРОВЕРИТЬ")</f>
        <v>ОК</v>
      </c>
      <c r="G37" s="28"/>
      <c r="H37" s="28"/>
      <c r="I37" s="28"/>
      <c r="J37" s="28"/>
      <c r="K37" s="28"/>
      <c r="L37" s="28"/>
      <c r="M37" s="28"/>
      <c r="N37" s="28"/>
      <c r="O37" s="28"/>
      <c r="P37" s="28"/>
    </row>
    <row r="38" spans="2:16" ht="14" customHeight="1" x14ac:dyDescent="0.45"/>
  </sheetData>
  <conditionalFormatting sqref="F36:F37">
    <cfRule type="expression" dxfId="6" priority="1">
      <formula>F36="CHECK"</formula>
    </cfRule>
  </conditionalFormatting>
  <hyperlinks>
    <hyperlink ref="B4" location="'Исходные данные'!A1" display="◂  Исходные данные" xr:uid="{00000000-0004-0000-0200-000000000000}"/>
    <hyperlink ref="P4" location="'Результаты'!A1" display="Далее:  Результаты  ▸" xr:uid="{00000000-0004-0000-0200-000001000000}"/>
  </hyperlinks>
  <printOptions horizontalCentered="1"/>
  <pageMargins left="0.4" right="0.4" top="0.5" bottom="0.6" header="0.25" footer="0.25"/>
  <pageSetup paperSize="9" scale="76" fitToHeight="0" orientation="landscape" r:id="rId1"/>
  <headerFooter>
    <oddFooter>&amp;L&amp;K3F5876&amp;8&amp;F · &amp;A&amp;R&amp;K3F5876&amp;8Page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5803D"/>
    <outlinePr summaryBelow="0"/>
    <pageSetUpPr fitToPage="1"/>
  </sheetPr>
  <dimension ref="A1:R243"/>
  <sheetViews>
    <sheetView showGridLines="0" workbookViewId="0">
      <pane ySplit="5" topLeftCell="A6" activePane="bottomLeft" state="frozen"/>
      <selection pane="bottomLeft"/>
    </sheetView>
  </sheetViews>
  <sheetFormatPr defaultRowHeight="14.25" outlineLevelRow="1" x14ac:dyDescent="0.45"/>
  <cols>
    <col min="1" max="1" width="2" customWidth="1"/>
    <col min="2" max="2" width="44" customWidth="1"/>
    <col min="3" max="3" width="10" customWidth="1"/>
    <col min="4" max="7" width="11" customWidth="1"/>
    <col min="8" max="8" width="3" customWidth="1"/>
    <col min="9" max="18" width="8.59765625" customWidth="1"/>
    <col min="20" max="20" width="9.06640625" customWidth="1"/>
  </cols>
  <sheetData>
    <row r="1" spans="1:18" ht="6" customHeight="1" x14ac:dyDescent="0.45"/>
    <row r="2" spans="1:18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3" t="s">
        <v>1</v>
      </c>
    </row>
    <row r="3" spans="1:18" ht="20" customHeight="1" x14ac:dyDescent="0.45">
      <c r="A3" s="1"/>
      <c r="B3" s="4" t="s">
        <v>179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20" customHeight="1" x14ac:dyDescent="0.45">
      <c r="A4" s="5"/>
      <c r="B4" s="22" t="s">
        <v>180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ht="8" customHeight="1" x14ac:dyDescent="0.45"/>
    <row r="6" spans="1:18" ht="26" customHeight="1" x14ac:dyDescent="0.45">
      <c r="B6" s="55" t="str" cm="1">
        <f t="array" aca="1" ref="B6" ca="1">IF(ISNUMBER(_xll.VoseSimMean(Loss)),"✔  Показаны результаты последнего моделирования в этом сеансе Excel. После изменения исходных данных запустите моделирование снова.","▶  Результатов моделирования пока нет. Запустите моделирование на ленте МоделРиск — лист заполнится автоматически.")</f>
        <v>✔  Показаны результаты последнего моделирования в этом сеансе Excel. После изменения исходных данных запустите моделирование снова.</v>
      </c>
      <c r="C6" s="56"/>
      <c r="D6" s="56"/>
      <c r="E6" s="56"/>
      <c r="F6" s="56"/>
      <c r="G6" s="56"/>
    </row>
    <row r="7" spans="1:18" x14ac:dyDescent="0.45">
      <c r="B7" s="57" t="str">
        <f>IF(COUNTIF(Checks,"ПРОВЕРИТЬ")=0,"✔  Все проверки модели пройдены («ОК»).","✗  "&amp;COUNTIF(Checks,"ПРОВЕРИТЬ")&amp;" проверок не пройдено («ПРОВЕРИТЬ»): см. раздел «Проверки модели» в конце расчетного листа.")</f>
        <v>✔  Все проверки модели пройдены («ОК»).</v>
      </c>
    </row>
    <row r="8" spans="1:18" ht="8" customHeight="1" x14ac:dyDescent="0.45"/>
    <row r="9" spans="1:18" ht="22.05" customHeight="1" x14ac:dyDescent="0.5">
      <c r="B9" s="7" t="s">
        <v>181</v>
      </c>
      <c r="C9" s="8"/>
      <c r="D9" s="8"/>
      <c r="E9" s="8"/>
      <c r="F9" s="8"/>
      <c r="G9" s="8"/>
      <c r="I9" s="58" t="s">
        <v>182</v>
      </c>
      <c r="J9" s="8"/>
      <c r="K9" s="8"/>
      <c r="L9" s="8"/>
      <c r="M9" s="8"/>
      <c r="N9" s="8"/>
      <c r="O9" s="8"/>
      <c r="P9" s="8"/>
      <c r="Q9" s="8"/>
      <c r="R9" s="8"/>
    </row>
    <row r="10" spans="1:18" ht="18" customHeight="1" x14ac:dyDescent="0.45">
      <c r="B10" s="13" t="s">
        <v>183</v>
      </c>
    </row>
    <row r="11" spans="1:18" ht="18" customHeight="1" x14ac:dyDescent="0.45">
      <c r="B11" s="59" t="s">
        <v>184</v>
      </c>
      <c r="C11" s="59"/>
      <c r="D11" s="60" t="s">
        <v>185</v>
      </c>
      <c r="E11" s="60" t="s">
        <v>186</v>
      </c>
      <c r="F11" s="5"/>
      <c r="G11" s="5"/>
    </row>
    <row r="12" spans="1:18" x14ac:dyDescent="0.45">
      <c r="B12" s="35"/>
      <c r="C12" s="35"/>
      <c r="D12" s="35" t="s">
        <v>187</v>
      </c>
      <c r="E12" s="35" t="s">
        <v>187</v>
      </c>
    </row>
    <row r="13" spans="1:18" x14ac:dyDescent="0.45">
      <c r="B13" s="25" t="s">
        <v>188</v>
      </c>
      <c r="C13" s="28"/>
      <c r="D13" s="61" cm="1">
        <f t="array" aca="1" ref="D13" ca="1">_xll.VoseSimMean(Loss)</f>
        <v>11.033402897316952</v>
      </c>
      <c r="E13" s="61" cm="1">
        <f t="array" aca="1" ref="E13" ca="1">_xll.VoseSimMean(Loss0)</f>
        <v>10.949605631134123</v>
      </c>
      <c r="F13" s="28"/>
      <c r="G13" s="28"/>
    </row>
    <row r="14" spans="1:18" x14ac:dyDescent="0.45">
      <c r="B14" s="48" t="str">
        <f>"VaR при "&amp;TEXT(Confidence,"0.0%")</f>
        <v>Стоимость под риском (VaR) при 99,0%</v>
      </c>
      <c r="C14" s="28"/>
      <c r="D14" s="61" cm="1">
        <f t="array" aca="1" ref="D14" ca="1">_xll.VoseSimPercentile(Loss,Confidence)</f>
        <v>47.346876746724703</v>
      </c>
      <c r="E14" s="61" cm="1">
        <f t="array" aca="1" ref="E14" ca="1">_xll.VoseSimPercentile(Loss0,Confidence)</f>
        <v>15.551600866629947</v>
      </c>
      <c r="F14" s="28"/>
      <c r="G14" s="28"/>
    </row>
    <row r="15" spans="1:18" x14ac:dyDescent="0.45">
      <c r="B15" s="48" t="str">
        <f>"ES при "&amp;TEXT(Confidence,"0.0%")</f>
        <v>Ожидаемые потери сверх VaR (ES) при 99,0%</v>
      </c>
      <c r="C15" s="28"/>
      <c r="D15" s="61" cm="1">
        <f t="array" aca="1" ref="D15" ca="1">_xll.VoseSimCVARp(Loss,1-Confidence)</f>
        <v>58.278682971490504</v>
      </c>
      <c r="E15" s="61" cm="1">
        <f t="array" aca="1" ref="E15" ca="1">_xll.VoseSimCVARp(Loss0,1-Confidence)</f>
        <v>16.281325473684415</v>
      </c>
      <c r="F15" s="28"/>
      <c r="G15" s="28"/>
    </row>
    <row r="16" spans="1:18" x14ac:dyDescent="0.45">
      <c r="B16" s="25" t="s">
        <v>189</v>
      </c>
      <c r="C16" s="28"/>
      <c r="D16" s="62" cm="1">
        <f t="array" aca="1" ref="D16" ca="1">_xll.VoseSimMean(OverCap)</f>
        <v>1.9099999999999999E-2</v>
      </c>
      <c r="E16" s="62" cm="1">
        <f t="array" aca="1" ref="E16" ca="1">_xll.VoseSimMean(OverCap0)</f>
        <v>0</v>
      </c>
      <c r="F16" s="28"/>
      <c r="G16" s="28"/>
    </row>
    <row r="17" spans="2:18" x14ac:dyDescent="0.45">
      <c r="B17" s="25" t="s">
        <v>190</v>
      </c>
      <c r="C17" s="28"/>
      <c r="D17" s="63" cm="1">
        <f t="array" aca="1" ref="D17" ca="1">_xll.VoseSimMean(Defaults)</f>
        <v>45.614899999999999</v>
      </c>
      <c r="E17" s="63" cm="1">
        <f t="array" aca="1" ref="E17" ca="1">_xll.VoseSimMean(Defaults0)</f>
        <v>45.317799999999998</v>
      </c>
      <c r="F17" s="28"/>
      <c r="G17" s="28"/>
    </row>
    <row r="18" spans="2:18" x14ac:dyDescent="0.45">
      <c r="B18" s="25" t="str">
        <f>"Дефолтов при "&amp;TEXT(Confidence,"0.0%")</f>
        <v>Число дефолтов при 99,0%</v>
      </c>
      <c r="C18" s="28"/>
      <c r="D18" s="63" cm="1">
        <f t="array" aca="1" ref="D18" ca="1">_xll.VoseSimPercentile(Defaults,Confidence)</f>
        <v>185</v>
      </c>
      <c r="E18" s="63" cm="1">
        <f t="array" aca="1" ref="E18" ca="1">_xll.VoseSimPercentile(Defaults0,Confidence)</f>
        <v>62</v>
      </c>
      <c r="F18" s="28"/>
      <c r="G18" s="28"/>
    </row>
    <row r="19" spans="2:18" ht="18" customHeight="1" x14ac:dyDescent="0.45">
      <c r="B19" s="23" t="s">
        <v>184</v>
      </c>
      <c r="C19" s="23" t="s">
        <v>98</v>
      </c>
      <c r="D19" s="24" t="s">
        <v>137</v>
      </c>
      <c r="E19" s="5"/>
      <c r="F19" s="5"/>
      <c r="G19" s="5"/>
    </row>
    <row r="20" spans="2:18" x14ac:dyDescent="0.45">
      <c r="B20" s="64" t="s">
        <v>173</v>
      </c>
      <c r="C20" s="26" t="s">
        <v>113</v>
      </c>
      <c r="D20" s="43">
        <f>EL</f>
        <v>10.941749999999999</v>
      </c>
      <c r="E20" s="28"/>
      <c r="F20" s="28"/>
      <c r="G20" s="28"/>
    </row>
    <row r="21" spans="2:18" x14ac:dyDescent="0.45">
      <c r="B21" s="64" t="s">
        <v>191</v>
      </c>
      <c r="C21" s="26" t="s">
        <v>113</v>
      </c>
      <c r="D21" s="43">
        <f>Capital</f>
        <v>30</v>
      </c>
      <c r="E21" s="28"/>
      <c r="F21" s="28"/>
      <c r="G21" s="28"/>
    </row>
    <row r="22" spans="2:18" x14ac:dyDescent="0.45">
      <c r="B22" s="48" t="s">
        <v>192</v>
      </c>
      <c r="C22" s="26" t="s">
        <v>113</v>
      </c>
      <c r="D22" s="61">
        <f ca="1">IFERROR(D14-EL,"–")</f>
        <v>36.405126746724704</v>
      </c>
      <c r="E22" s="28"/>
      <c r="F22" s="28"/>
      <c r="G22" s="28"/>
    </row>
    <row r="23" spans="2:18" x14ac:dyDescent="0.45">
      <c r="B23" s="25" t="s">
        <v>193</v>
      </c>
      <c r="C23" s="26" t="s">
        <v>113</v>
      </c>
      <c r="D23" s="61">
        <f ca="1">IFERROR(E14-EL,"–")</f>
        <v>4.609850866629948</v>
      </c>
      <c r="E23" s="28"/>
      <c r="F23" s="28"/>
      <c r="G23" s="28"/>
    </row>
    <row r="24" spans="2:18" x14ac:dyDescent="0.45">
      <c r="B24" s="25" t="s">
        <v>194</v>
      </c>
      <c r="C24" s="26" t="s">
        <v>113</v>
      </c>
      <c r="D24" s="61">
        <f ca="1">IFERROR(Capital-D22,"–")</f>
        <v>-6.4051267467247044</v>
      </c>
      <c r="E24" s="28"/>
      <c r="F24" s="28"/>
      <c r="G24" s="28"/>
    </row>
    <row r="25" spans="2:18" x14ac:dyDescent="0.45">
      <c r="B25" s="25" t="s">
        <v>195</v>
      </c>
      <c r="C25" s="28"/>
      <c r="D25" s="48" t="str">
        <f ca="1">IF(ISNUMBER(D24),IF(D24&gt;=0,"Достаточно: имеющийся капитал покрывает этот уровень доверия","Недостаточно: имеющийся капитал не покрывает этот уровень доверия"),"–")</f>
        <v>Недостаточно: имеющийся капитал не покрывает этот уровень доверия</v>
      </c>
      <c r="E25" s="28"/>
      <c r="F25" s="28"/>
      <c r="G25" s="28"/>
    </row>
    <row r="26" spans="2:18" ht="8" customHeight="1" x14ac:dyDescent="0.45"/>
    <row r="27" spans="2:18" x14ac:dyDescent="0.45">
      <c r="I27" s="58" t="s">
        <v>196</v>
      </c>
      <c r="J27" s="8"/>
      <c r="K27" s="8"/>
      <c r="L27" s="8"/>
      <c r="M27" s="8"/>
      <c r="N27" s="8"/>
      <c r="O27" s="8"/>
      <c r="P27" s="8"/>
      <c r="Q27" s="8"/>
      <c r="R27" s="8"/>
    </row>
    <row r="42" spans="2:7" ht="22.05" customHeight="1" x14ac:dyDescent="0.5">
      <c r="B42" s="7" t="s">
        <v>197</v>
      </c>
      <c r="C42" s="8"/>
      <c r="D42" s="8"/>
      <c r="E42" s="8"/>
      <c r="F42" s="8"/>
      <c r="G42" s="8"/>
    </row>
    <row r="43" spans="2:7" ht="18" customHeight="1" x14ac:dyDescent="0.45">
      <c r="B43" s="13" t="s">
        <v>198</v>
      </c>
    </row>
    <row r="44" spans="2:7" ht="18" customHeight="1" x14ac:dyDescent="0.45">
      <c r="B44" s="59" t="s">
        <v>119</v>
      </c>
      <c r="C44" s="60" t="s">
        <v>147</v>
      </c>
      <c r="D44" s="60" t="s">
        <v>199</v>
      </c>
      <c r="E44" s="60" t="s">
        <v>200</v>
      </c>
      <c r="F44" s="5"/>
      <c r="G44" s="5"/>
    </row>
    <row r="45" spans="2:7" x14ac:dyDescent="0.45">
      <c r="B45" s="35"/>
      <c r="C45" s="35" t="s">
        <v>151</v>
      </c>
      <c r="D45" s="35" t="s">
        <v>201</v>
      </c>
      <c r="E45" s="35" t="s">
        <v>202</v>
      </c>
    </row>
    <row r="46" spans="2:7" x14ac:dyDescent="0.45">
      <c r="B46" s="25" t="s">
        <v>125</v>
      </c>
      <c r="C46" s="42">
        <f>EL_A</f>
        <v>0.54</v>
      </c>
      <c r="D46" s="65" cm="1">
        <f t="array" aca="1" ref="D46" ca="1">_xll.VoseSimMean(Loss_A)</f>
        <v>0.54105673718726655</v>
      </c>
      <c r="E46" s="65" cm="1">
        <f t="array" aca="1" ref="E46" ca="1">_xll.VoseSimPercentile(Loss_A,Confidence)</f>
        <v>4.2815931158418623</v>
      </c>
      <c r="F46" s="28"/>
      <c r="G46" s="28"/>
    </row>
    <row r="47" spans="2:7" x14ac:dyDescent="0.45">
      <c r="B47" s="25" t="s">
        <v>127</v>
      </c>
      <c r="C47" s="42">
        <f>EL_B</f>
        <v>1.728</v>
      </c>
      <c r="D47" s="65" cm="1">
        <f t="array" aca="1" ref="D47" ca="1">_xll.VoseSimMean(Loss_B)</f>
        <v>1.7588245454156903</v>
      </c>
      <c r="E47" s="65" cm="1">
        <f t="array" aca="1" ref="E47" ca="1">_xll.VoseSimPercentile(Loss_B,Confidence)</f>
        <v>10.259849933295676</v>
      </c>
      <c r="F47" s="28"/>
      <c r="G47" s="28"/>
    </row>
    <row r="48" spans="2:7" x14ac:dyDescent="0.45">
      <c r="B48" s="25" t="s">
        <v>128</v>
      </c>
      <c r="C48" s="42">
        <f>EL_C</f>
        <v>2.7</v>
      </c>
      <c r="D48" s="65" cm="1">
        <f t="array" aca="1" ref="D48" ca="1">_xll.VoseSimMean(Loss_C)</f>
        <v>2.7123539281826754</v>
      </c>
      <c r="E48" s="65" cm="1">
        <f t="array" aca="1" ref="E48" ca="1">_xll.VoseSimPercentile(Loss_C,Confidence)</f>
        <v>12.939703122369682</v>
      </c>
      <c r="F48" s="28"/>
      <c r="G48" s="28"/>
    </row>
    <row r="49" spans="2:7" x14ac:dyDescent="0.45">
      <c r="B49" s="25" t="s">
        <v>129</v>
      </c>
      <c r="C49" s="42">
        <f>EL_D</f>
        <v>3.5437500000000002</v>
      </c>
      <c r="D49" s="65" cm="1">
        <f t="array" aca="1" ref="D49" ca="1">_xll.VoseSimMean(Loss_D)</f>
        <v>3.5863556944364929</v>
      </c>
      <c r="E49" s="65" cm="1">
        <f t="array" aca="1" ref="E49" ca="1">_xll.VoseSimPercentile(Loss_D,Confidence)</f>
        <v>14.331014932754487</v>
      </c>
      <c r="F49" s="28"/>
      <c r="G49" s="28"/>
    </row>
    <row r="50" spans="2:7" x14ac:dyDescent="0.45">
      <c r="B50" s="25" t="s">
        <v>130</v>
      </c>
      <c r="C50" s="42">
        <f>EL_E</f>
        <v>2.4299999999999997</v>
      </c>
      <c r="D50" s="65" cm="1">
        <f t="array" aca="1" ref="D50" ca="1">_xll.VoseSimMean(Loss_E)</f>
        <v>2.4348119920948448</v>
      </c>
      <c r="E50" s="65" cm="1">
        <f t="array" aca="1" ref="E50" ca="1">_xll.VoseSimPercentile(Loss_E,Confidence)</f>
        <v>7.9799763862734752</v>
      </c>
      <c r="F50" s="28"/>
      <c r="G50" s="28"/>
    </row>
    <row r="51" spans="2:7" ht="18" customHeight="1" x14ac:dyDescent="0.45">
      <c r="B51" s="23" t="s">
        <v>184</v>
      </c>
      <c r="C51" s="23" t="s">
        <v>98</v>
      </c>
      <c r="D51" s="24" t="s">
        <v>137</v>
      </c>
      <c r="E51" s="5"/>
      <c r="F51" s="5"/>
      <c r="G51" s="5"/>
    </row>
    <row r="52" spans="2:7" x14ac:dyDescent="0.45">
      <c r="B52" s="25" t="s">
        <v>203</v>
      </c>
      <c r="C52" s="26"/>
      <c r="D52" s="66" cm="1">
        <f t="array" aca="1" ref="D52" ca="1">_xll.VoseSimCorrelation('Кредитный портфель'!$F$26,'Кредитный портфель'!$D$8,0)</f>
        <v>-0.97342300661716963</v>
      </c>
      <c r="E52" s="28"/>
      <c r="F52" s="28"/>
      <c r="G52" s="28"/>
    </row>
    <row r="53" spans="2:7" ht="8" customHeight="1" x14ac:dyDescent="0.45"/>
    <row r="54" spans="2:7" ht="22.05" customHeight="1" x14ac:dyDescent="0.5">
      <c r="B54" s="7" t="s">
        <v>204</v>
      </c>
      <c r="C54" s="8"/>
      <c r="D54" s="8"/>
      <c r="E54" s="8"/>
      <c r="F54" s="8"/>
      <c r="G54" s="8"/>
    </row>
    <row r="55" spans="2:7" ht="32" customHeight="1" x14ac:dyDescent="0.45">
      <c r="B55" s="72" t="s">
        <v>205</v>
      </c>
      <c r="C55" s="73"/>
      <c r="D55" s="73"/>
      <c r="E55" s="73"/>
      <c r="F55" s="73"/>
      <c r="G55" s="73"/>
    </row>
    <row r="56" spans="2:7" ht="32" customHeight="1" x14ac:dyDescent="0.45">
      <c r="B56" s="72" t="s">
        <v>206</v>
      </c>
      <c r="C56" s="73"/>
      <c r="D56" s="73"/>
      <c r="E56" s="73"/>
      <c r="F56" s="73"/>
      <c r="G56" s="73"/>
    </row>
    <row r="57" spans="2:7" ht="32" customHeight="1" x14ac:dyDescent="0.45">
      <c r="B57" s="72" t="s">
        <v>207</v>
      </c>
      <c r="C57" s="73"/>
      <c r="D57" s="73"/>
      <c r="E57" s="73"/>
      <c r="F57" s="73"/>
      <c r="G57" s="73"/>
    </row>
    <row r="58" spans="2:7" ht="32" customHeight="1" x14ac:dyDescent="0.45">
      <c r="B58" s="72" t="s">
        <v>208</v>
      </c>
      <c r="C58" s="73"/>
      <c r="D58" s="73"/>
      <c r="E58" s="73"/>
      <c r="F58" s="73"/>
      <c r="G58" s="73"/>
    </row>
    <row r="59" spans="2:7" ht="14" customHeight="1" x14ac:dyDescent="0.45"/>
    <row r="60" spans="2:7" ht="14" customHeight="1" x14ac:dyDescent="0.45"/>
    <row r="61" spans="2:7" ht="22.05" customHeight="1" x14ac:dyDescent="0.5">
      <c r="B61" s="7" t="s">
        <v>209</v>
      </c>
      <c r="C61" s="8"/>
      <c r="D61" s="8"/>
      <c r="E61" s="8"/>
      <c r="F61" s="8"/>
      <c r="G61" s="8"/>
    </row>
    <row r="62" spans="2:7" ht="18" customHeight="1" x14ac:dyDescent="0.45">
      <c r="B62" s="13" t="s">
        <v>210</v>
      </c>
    </row>
    <row r="63" spans="2:7" ht="28.05" hidden="1" customHeight="1" outlineLevel="1" x14ac:dyDescent="0.45">
      <c r="B63" s="24" t="s">
        <v>211</v>
      </c>
      <c r="C63" s="24" t="s">
        <v>212</v>
      </c>
      <c r="D63" s="24" t="s">
        <v>148</v>
      </c>
      <c r="E63" s="24" t="s">
        <v>213</v>
      </c>
      <c r="F63" s="5"/>
      <c r="G63" s="5"/>
    </row>
    <row r="64" spans="2:7" hidden="1" outlineLevel="1" x14ac:dyDescent="0.45">
      <c r="B64" s="67">
        <v>0.01</v>
      </c>
      <c r="C64" s="67">
        <f t="shared" ref="C64:C95" si="0">1-B64</f>
        <v>0.99</v>
      </c>
      <c r="D64" s="68" cm="1">
        <f t="array" aca="1" ref="D64" ca="1">IF(ISNUMBER(_xll.VoseSimPercentile(Loss,$B64)),_xll.VoseSimPercentile(Loss,$B64),NA())</f>
        <v>0.52281199789085653</v>
      </c>
      <c r="E64" s="68" cm="1">
        <f t="array" aca="1" ref="E64" ca="1">IF(ISNUMBER(_xll.VoseSimPercentile(Loss0,$B64)),_xll.VoseSimPercentile(Loss0,$B64),NA())</f>
        <v>6.9776169679002891</v>
      </c>
    </row>
    <row r="65" spans="2:5" hidden="1" outlineLevel="1" x14ac:dyDescent="0.45">
      <c r="B65" s="67">
        <v>0.03</v>
      </c>
      <c r="C65" s="67">
        <f t="shared" si="0"/>
        <v>0.97</v>
      </c>
      <c r="D65" s="68" cm="1">
        <f t="array" aca="1" ref="D65" ca="1">IF(ISNUMBER(_xll.VoseSimPercentile(Loss,$B65)),_xll.VoseSimPercentile(Loss,$B65),NA())</f>
        <v>1.0855368955768525</v>
      </c>
      <c r="E65" s="68" cm="1">
        <f t="array" aca="1" ref="E65" ca="1">IF(ISNUMBER(_xll.VoseSimPercentile(Loss0,$B65)),_xll.VoseSimPercentile(Loss0,$B65),NA())</f>
        <v>7.6716268361609492</v>
      </c>
    </row>
    <row r="66" spans="2:5" hidden="1" outlineLevel="1" x14ac:dyDescent="0.45">
      <c r="B66" s="67">
        <v>0.05</v>
      </c>
      <c r="C66" s="67">
        <f t="shared" si="0"/>
        <v>0.95</v>
      </c>
      <c r="D66" s="68" cm="1">
        <f t="array" aca="1" ref="D66" ca="1">IF(ISNUMBER(_xll.VoseSimPercentile(Loss,$B66)),_xll.VoseSimPercentile(Loss,$B66),NA())</f>
        <v>1.4787011534289962</v>
      </c>
      <c r="E66" s="68" cm="1">
        <f t="array" aca="1" ref="E66" ca="1">IF(ISNUMBER(_xll.VoseSimPercentile(Loss0,$B66)),_xll.VoseSimPercentile(Loss0,$B66),NA())</f>
        <v>8.0246606148846578</v>
      </c>
    </row>
    <row r="67" spans="2:5" hidden="1" outlineLevel="1" x14ac:dyDescent="0.45">
      <c r="B67" s="67">
        <v>7.0000000000000007E-2</v>
      </c>
      <c r="C67" s="67">
        <f t="shared" si="0"/>
        <v>0.92999999999999994</v>
      </c>
      <c r="D67" s="68" cm="1">
        <f t="array" aca="1" ref="D67" ca="1">IF(ISNUMBER(_xll.VoseSimPercentile(Loss,$B67)),_xll.VoseSimPercentile(Loss,$B67),NA())</f>
        <v>1.8040924329857035</v>
      </c>
      <c r="E67" s="68" cm="1">
        <f t="array" aca="1" ref="E67" ca="1">IF(ISNUMBER(_xll.VoseSimPercentile(Loss0,$B67)),_xll.VoseSimPercentile(Loss0,$B67),NA())</f>
        <v>8.2886257723129599</v>
      </c>
    </row>
    <row r="68" spans="2:5" hidden="1" outlineLevel="1" x14ac:dyDescent="0.45">
      <c r="B68" s="67">
        <v>0.09</v>
      </c>
      <c r="C68" s="67">
        <f t="shared" si="0"/>
        <v>0.91</v>
      </c>
      <c r="D68" s="68" cm="1">
        <f t="array" aca="1" ref="D68" ca="1">IF(ISNUMBER(_xll.VoseSimPercentile(Loss,$B68)),_xll.VoseSimPercentile(Loss,$B68),NA())</f>
        <v>2.1401909925045453</v>
      </c>
      <c r="E68" s="68" cm="1">
        <f t="array" aca="1" ref="E68" ca="1">IF(ISNUMBER(_xll.VoseSimPercentile(Loss0,$B68)),_xll.VoseSimPercentile(Loss0,$B68),NA())</f>
        <v>8.5189625073149902</v>
      </c>
    </row>
    <row r="69" spans="2:5" hidden="1" outlineLevel="1" x14ac:dyDescent="0.45">
      <c r="B69" s="67">
        <v>0.11</v>
      </c>
      <c r="C69" s="67">
        <f t="shared" si="0"/>
        <v>0.89</v>
      </c>
      <c r="D69" s="68" cm="1">
        <f t="array" aca="1" ref="D69" ca="1">IF(ISNUMBER(_xll.VoseSimPercentile(Loss,$B69)),_xll.VoseSimPercentile(Loss,$B69),NA())</f>
        <v>2.4305106474649136</v>
      </c>
      <c r="E69" s="68" cm="1">
        <f t="array" aca="1" ref="E69" ca="1">IF(ISNUMBER(_xll.VoseSimPercentile(Loss0,$B69)),_xll.VoseSimPercentile(Loss0,$B69),NA())</f>
        <v>8.7147110401727872</v>
      </c>
    </row>
    <row r="70" spans="2:5" hidden="1" outlineLevel="1" x14ac:dyDescent="0.45">
      <c r="B70" s="67">
        <v>0.13</v>
      </c>
      <c r="C70" s="67">
        <f t="shared" si="0"/>
        <v>0.87</v>
      </c>
      <c r="D70" s="68" cm="1">
        <f t="array" aca="1" ref="D70" ca="1">IF(ISNUMBER(_xll.VoseSimPercentile(Loss,$B70)),_xll.VoseSimPercentile(Loss,$B70),NA())</f>
        <v>2.6957020951012312</v>
      </c>
      <c r="E70" s="68" cm="1">
        <f t="array" aca="1" ref="E70" ca="1">IF(ISNUMBER(_xll.VoseSimPercentile(Loss0,$B70)),_xll.VoseSimPercentile(Loss0,$B70),NA())</f>
        <v>8.9073095659376218</v>
      </c>
    </row>
    <row r="71" spans="2:5" hidden="1" outlineLevel="1" x14ac:dyDescent="0.45">
      <c r="B71" s="67">
        <v>0.15</v>
      </c>
      <c r="C71" s="67">
        <f t="shared" si="0"/>
        <v>0.85</v>
      </c>
      <c r="D71" s="68" cm="1">
        <f t="array" aca="1" ref="D71" ca="1">IF(ISNUMBER(_xll.VoseSimPercentile(Loss,$B71)),_xll.VoseSimPercentile(Loss,$B71),NA())</f>
        <v>2.9870694755169116</v>
      </c>
      <c r="E71" s="68" cm="1">
        <f t="array" aca="1" ref="E71" ca="1">IF(ISNUMBER(_xll.VoseSimPercentile(Loss0,$B71)),_xll.VoseSimPercentile(Loss0,$B71),NA())</f>
        <v>9.0659852008864998</v>
      </c>
    </row>
    <row r="72" spans="2:5" hidden="1" outlineLevel="1" x14ac:dyDescent="0.45">
      <c r="B72" s="67">
        <v>0.17</v>
      </c>
      <c r="C72" s="67">
        <f t="shared" si="0"/>
        <v>0.83</v>
      </c>
      <c r="D72" s="68" cm="1">
        <f t="array" aca="1" ref="D72" ca="1">IF(ISNUMBER(_xll.VoseSimPercentile(Loss,$B72)),_xll.VoseSimPercentile(Loss,$B72),NA())</f>
        <v>3.2513685607884089</v>
      </c>
      <c r="E72" s="68" cm="1">
        <f t="array" aca="1" ref="E72" ca="1">IF(ISNUMBER(_xll.VoseSimPercentile(Loss0,$B72)),_xll.VoseSimPercentile(Loss0,$B72),NA())</f>
        <v>9.2110697124162222</v>
      </c>
    </row>
    <row r="73" spans="2:5" hidden="1" outlineLevel="1" x14ac:dyDescent="0.45">
      <c r="B73" s="67">
        <v>0.19</v>
      </c>
      <c r="C73" s="67">
        <f t="shared" si="0"/>
        <v>0.81</v>
      </c>
      <c r="D73" s="68" cm="1">
        <f t="array" aca="1" ref="D73" ca="1">IF(ISNUMBER(_xll.VoseSimPercentile(Loss,$B73)),_xll.VoseSimPercentile(Loss,$B73),NA())</f>
        <v>3.5143647250186723</v>
      </c>
      <c r="E73" s="68" cm="1">
        <f t="array" aca="1" ref="E73" ca="1">IF(ISNUMBER(_xll.VoseSimPercentile(Loss0,$B73)),_xll.VoseSimPercentile(Loss0,$B73),NA())</f>
        <v>9.3273341632971132</v>
      </c>
    </row>
    <row r="74" spans="2:5" hidden="1" outlineLevel="1" x14ac:dyDescent="0.45">
      <c r="B74" s="67">
        <v>0.21</v>
      </c>
      <c r="C74" s="67">
        <f t="shared" si="0"/>
        <v>0.79</v>
      </c>
      <c r="D74" s="68" cm="1">
        <f t="array" aca="1" ref="D74" ca="1">IF(ISNUMBER(_xll.VoseSimPercentile(Loss,$B74)),_xll.VoseSimPercentile(Loss,$B74),NA())</f>
        <v>3.8146958312039994</v>
      </c>
      <c r="E74" s="68" cm="1">
        <f t="array" aca="1" ref="E74" ca="1">IF(ISNUMBER(_xll.VoseSimPercentile(Loss0,$B74)),_xll.VoseSimPercentile(Loss0,$B74),NA())</f>
        <v>9.4563678893458487</v>
      </c>
    </row>
    <row r="75" spans="2:5" hidden="1" outlineLevel="1" x14ac:dyDescent="0.45">
      <c r="B75" s="67">
        <v>0.23</v>
      </c>
      <c r="C75" s="67">
        <f t="shared" si="0"/>
        <v>0.77</v>
      </c>
      <c r="D75" s="68" cm="1">
        <f t="array" aca="1" ref="D75" ca="1">IF(ISNUMBER(_xll.VoseSimPercentile(Loss,$B75)),_xll.VoseSimPercentile(Loss,$B75),NA())</f>
        <v>4.0689698853309224</v>
      </c>
      <c r="E75" s="68" cm="1">
        <f t="array" aca="1" ref="E75" ca="1">IF(ISNUMBER(_xll.VoseSimPercentile(Loss0,$B75)),_xll.VoseSimPercentile(Loss0,$B75),NA())</f>
        <v>9.5748825940275033</v>
      </c>
    </row>
    <row r="76" spans="2:5" hidden="1" outlineLevel="1" x14ac:dyDescent="0.45">
      <c r="B76" s="67">
        <v>0.25</v>
      </c>
      <c r="C76" s="67">
        <f t="shared" si="0"/>
        <v>0.75</v>
      </c>
      <c r="D76" s="68" cm="1">
        <f t="array" aca="1" ref="D76" ca="1">IF(ISNUMBER(_xll.VoseSimPercentile(Loss,$B76)),_xll.VoseSimPercentile(Loss,$B76),NA())</f>
        <v>4.3232069888383933</v>
      </c>
      <c r="E76" s="68" cm="1">
        <f t="array" aca="1" ref="E76" ca="1">IF(ISNUMBER(_xll.VoseSimPercentile(Loss0,$B76)),_xll.VoseSimPercentile(Loss0,$B76),NA())</f>
        <v>9.6886726211753658</v>
      </c>
    </row>
    <row r="77" spans="2:5" hidden="1" outlineLevel="1" x14ac:dyDescent="0.45">
      <c r="B77" s="67">
        <v>0.27</v>
      </c>
      <c r="C77" s="67">
        <f t="shared" si="0"/>
        <v>0.73</v>
      </c>
      <c r="D77" s="68" cm="1">
        <f t="array" aca="1" ref="D77" ca="1">IF(ISNUMBER(_xll.VoseSimPercentile(Loss,$B77)),_xll.VoseSimPercentile(Loss,$B77),NA())</f>
        <v>4.5866735797585791</v>
      </c>
      <c r="E77" s="68" cm="1">
        <f t="array" aca="1" ref="E77" ca="1">IF(ISNUMBER(_xll.VoseSimPercentile(Loss0,$B77)),_xll.VoseSimPercentile(Loss0,$B77),NA())</f>
        <v>9.8005518029838221</v>
      </c>
    </row>
    <row r="78" spans="2:5" hidden="1" outlineLevel="1" x14ac:dyDescent="0.45">
      <c r="B78" s="67">
        <v>0.28999999999999998</v>
      </c>
      <c r="C78" s="67">
        <f t="shared" si="0"/>
        <v>0.71</v>
      </c>
      <c r="D78" s="68" cm="1">
        <f t="array" aca="1" ref="D78" ca="1">IF(ISNUMBER(_xll.VoseSimPercentile(Loss,$B78)),_xll.VoseSimPercentile(Loss,$B78),NA())</f>
        <v>4.8363683034655001</v>
      </c>
      <c r="E78" s="68" cm="1">
        <f t="array" aca="1" ref="E78" ca="1">IF(ISNUMBER(_xll.VoseSimPercentile(Loss0,$B78)),_xll.VoseSimPercentile(Loss0,$B78),NA())</f>
        <v>9.9100435927285861</v>
      </c>
    </row>
    <row r="79" spans="2:5" hidden="1" outlineLevel="1" x14ac:dyDescent="0.45">
      <c r="B79" s="67">
        <v>0.31</v>
      </c>
      <c r="C79" s="67">
        <f t="shared" si="0"/>
        <v>0.69</v>
      </c>
      <c r="D79" s="68" cm="1">
        <f t="array" aca="1" ref="D79" ca="1">IF(ISNUMBER(_xll.VoseSimPercentile(Loss,$B79)),_xll.VoseSimPercentile(Loss,$B79),NA())</f>
        <v>5.134455195254743</v>
      </c>
      <c r="E79" s="68" cm="1">
        <f t="array" aca="1" ref="E79" ca="1">IF(ISNUMBER(_xll.VoseSimPercentile(Loss0,$B79)),_xll.VoseSimPercentile(Loss0,$B79),NA())</f>
        <v>10.018087426153304</v>
      </c>
    </row>
    <row r="80" spans="2:5" hidden="1" outlineLevel="1" x14ac:dyDescent="0.45">
      <c r="B80" s="67">
        <v>0.33</v>
      </c>
      <c r="C80" s="67">
        <f t="shared" si="0"/>
        <v>0.66999999999999993</v>
      </c>
      <c r="D80" s="68" cm="1">
        <f t="array" aca="1" ref="D80" ca="1">IF(ISNUMBER(_xll.VoseSimPercentile(Loss,$B80)),_xll.VoseSimPercentile(Loss,$B80),NA())</f>
        <v>5.4333473265134913</v>
      </c>
      <c r="E80" s="68" cm="1">
        <f t="array" aca="1" ref="E80" ca="1">IF(ISNUMBER(_xll.VoseSimPercentile(Loss0,$B80)),_xll.VoseSimPercentile(Loss0,$B80),NA())</f>
        <v>10.118925252070252</v>
      </c>
    </row>
    <row r="81" spans="2:5" hidden="1" outlineLevel="1" x14ac:dyDescent="0.45">
      <c r="B81" s="67">
        <v>0.35</v>
      </c>
      <c r="C81" s="67">
        <f t="shared" si="0"/>
        <v>0.65</v>
      </c>
      <c r="D81" s="68" cm="1">
        <f t="array" aca="1" ref="D81" ca="1">IF(ISNUMBER(_xll.VoseSimPercentile(Loss,$B81)),_xll.VoseSimPercentile(Loss,$B81),NA())</f>
        <v>5.7243573387828421</v>
      </c>
      <c r="E81" s="68" cm="1">
        <f t="array" aca="1" ref="E81" ca="1">IF(ISNUMBER(_xll.VoseSimPercentile(Loss0,$B81)),_xll.VoseSimPercentile(Loss0,$B81),NA())</f>
        <v>10.213930923295726</v>
      </c>
    </row>
    <row r="82" spans="2:5" hidden="1" outlineLevel="1" x14ac:dyDescent="0.45">
      <c r="B82" s="67">
        <v>0.37</v>
      </c>
      <c r="C82" s="67">
        <f t="shared" si="0"/>
        <v>0.63</v>
      </c>
      <c r="D82" s="68" cm="1">
        <f t="array" aca="1" ref="D82" ca="1">IF(ISNUMBER(_xll.VoseSimPercentile(Loss,$B82)),_xll.VoseSimPercentile(Loss,$B82),NA())</f>
        <v>6.0135795286242493</v>
      </c>
      <c r="E82" s="68" cm="1">
        <f t="array" aca="1" ref="E82" ca="1">IF(ISNUMBER(_xll.VoseSimPercentile(Loss0,$B82)),_xll.VoseSimPercentile(Loss0,$B82),NA())</f>
        <v>10.298306928128207</v>
      </c>
    </row>
    <row r="83" spans="2:5" hidden="1" outlineLevel="1" x14ac:dyDescent="0.45">
      <c r="B83" s="67">
        <v>0.39</v>
      </c>
      <c r="C83" s="67">
        <f t="shared" si="0"/>
        <v>0.61</v>
      </c>
      <c r="D83" s="68" cm="1">
        <f t="array" aca="1" ref="D83" ca="1">IF(ISNUMBER(_xll.VoseSimPercentile(Loss,$B83)),_xll.VoseSimPercentile(Loss,$B83),NA())</f>
        <v>6.3501535291402282</v>
      </c>
      <c r="E83" s="68" cm="1">
        <f t="array" aca="1" ref="E83" ca="1">IF(ISNUMBER(_xll.VoseSimPercentile(Loss0,$B83)),_xll.VoseSimPercentile(Loss0,$B83),NA())</f>
        <v>10.38686964098104</v>
      </c>
    </row>
    <row r="84" spans="2:5" hidden="1" outlineLevel="1" x14ac:dyDescent="0.45">
      <c r="B84" s="67">
        <v>0.41</v>
      </c>
      <c r="C84" s="67">
        <f t="shared" si="0"/>
        <v>0.59000000000000008</v>
      </c>
      <c r="D84" s="68" cm="1">
        <f t="array" aca="1" ref="D84" ca="1">IF(ISNUMBER(_xll.VoseSimPercentile(Loss,$B84)),_xll.VoseSimPercentile(Loss,$B84),NA())</f>
        <v>6.6604698525623869</v>
      </c>
      <c r="E84" s="68" cm="1">
        <f t="array" aca="1" ref="E84" ca="1">IF(ISNUMBER(_xll.VoseSimPercentile(Loss0,$B84)),_xll.VoseSimPercentile(Loss0,$B84),NA())</f>
        <v>10.477477850375298</v>
      </c>
    </row>
    <row r="85" spans="2:5" hidden="1" outlineLevel="1" x14ac:dyDescent="0.45">
      <c r="B85" s="67">
        <v>0.43</v>
      </c>
      <c r="C85" s="67">
        <f t="shared" si="0"/>
        <v>0.57000000000000006</v>
      </c>
      <c r="D85" s="68" cm="1">
        <f t="array" aca="1" ref="D85" ca="1">IF(ISNUMBER(_xll.VoseSimPercentile(Loss,$B85)),_xll.VoseSimPercentile(Loss,$B85),NA())</f>
        <v>6.9905869268729406</v>
      </c>
      <c r="E85" s="68" cm="1">
        <f t="array" aca="1" ref="E85" ca="1">IF(ISNUMBER(_xll.VoseSimPercentile(Loss0,$B85)),_xll.VoseSimPercentile(Loss0,$B85),NA())</f>
        <v>10.580054360093154</v>
      </c>
    </row>
    <row r="86" spans="2:5" hidden="1" outlineLevel="1" x14ac:dyDescent="0.45">
      <c r="B86" s="67">
        <v>0.45</v>
      </c>
      <c r="C86" s="67">
        <f t="shared" si="0"/>
        <v>0.55000000000000004</v>
      </c>
      <c r="D86" s="68" cm="1">
        <f t="array" aca="1" ref="D86" ca="1">IF(ISNUMBER(_xll.VoseSimPercentile(Loss,$B86)),_xll.VoseSimPercentile(Loss,$B86),NA())</f>
        <v>7.3649714522082252</v>
      </c>
      <c r="E86" s="68" cm="1">
        <f t="array" aca="1" ref="E86" ca="1">IF(ISNUMBER(_xll.VoseSimPercentile(Loss0,$B86)),_xll.VoseSimPercentile(Loss0,$B86),NA())</f>
        <v>10.672523770060275</v>
      </c>
    </row>
    <row r="87" spans="2:5" hidden="1" outlineLevel="1" x14ac:dyDescent="0.45">
      <c r="B87" s="67">
        <v>0.47</v>
      </c>
      <c r="C87" s="67">
        <f t="shared" si="0"/>
        <v>0.53</v>
      </c>
      <c r="D87" s="68" cm="1">
        <f t="array" aca="1" ref="D87" ca="1">IF(ISNUMBER(_xll.VoseSimPercentile(Loss,$B87)),_xll.VoseSimPercentile(Loss,$B87),NA())</f>
        <v>7.6818688451313806</v>
      </c>
      <c r="E87" s="68" cm="1">
        <f t="array" aca="1" ref="E87" ca="1">IF(ISNUMBER(_xll.VoseSimPercentile(Loss0,$B87)),_xll.VoseSimPercentile(Loss0,$B87),NA())</f>
        <v>10.764240035736337</v>
      </c>
    </row>
    <row r="88" spans="2:5" hidden="1" outlineLevel="1" x14ac:dyDescent="0.45">
      <c r="B88" s="67">
        <v>0.49</v>
      </c>
      <c r="C88" s="67">
        <f t="shared" si="0"/>
        <v>0.51</v>
      </c>
      <c r="D88" s="68" cm="1">
        <f t="array" aca="1" ref="D88" ca="1">IF(ISNUMBER(_xll.VoseSimPercentile(Loss,$B88)),_xll.VoseSimPercentile(Loss,$B88),NA())</f>
        <v>8.0136445071364495</v>
      </c>
      <c r="E88" s="68" cm="1">
        <f t="array" aca="1" ref="E88" ca="1">IF(ISNUMBER(_xll.VoseSimPercentile(Loss0,$B88)),_xll.VoseSimPercentile(Loss0,$B88),NA())</f>
        <v>10.85473383372033</v>
      </c>
    </row>
    <row r="89" spans="2:5" hidden="1" outlineLevel="1" x14ac:dyDescent="0.45">
      <c r="B89" s="67">
        <v>0.51</v>
      </c>
      <c r="C89" s="67">
        <f t="shared" si="0"/>
        <v>0.49</v>
      </c>
      <c r="D89" s="68" cm="1">
        <f t="array" aca="1" ref="D89" ca="1">IF(ISNUMBER(_xll.VoseSimPercentile(Loss,$B89)),_xll.VoseSimPercentile(Loss,$B89),NA())</f>
        <v>8.369356075086813</v>
      </c>
      <c r="E89" s="68" cm="1">
        <f t="array" aca="1" ref="E89" ca="1">IF(ISNUMBER(_xll.VoseSimPercentile(Loss0,$B89)),_xll.VoseSimPercentile(Loss0,$B89),NA())</f>
        <v>10.947962891724599</v>
      </c>
    </row>
    <row r="90" spans="2:5" hidden="1" outlineLevel="1" x14ac:dyDescent="0.45">
      <c r="B90" s="67">
        <v>0.53</v>
      </c>
      <c r="C90" s="67">
        <f t="shared" si="0"/>
        <v>0.47</v>
      </c>
      <c r="D90" s="68" cm="1">
        <f t="array" aca="1" ref="D90" ca="1">IF(ISNUMBER(_xll.VoseSimPercentile(Loss,$B90)),_xll.VoseSimPercentile(Loss,$B90),NA())</f>
        <v>8.7262981529452102</v>
      </c>
      <c r="E90" s="68" cm="1">
        <f t="array" aca="1" ref="E90" ca="1">IF(ISNUMBER(_xll.VoseSimPercentile(Loss0,$B90)),_xll.VoseSimPercentile(Loss0,$B90),NA())</f>
        <v>11.039872547470583</v>
      </c>
    </row>
    <row r="91" spans="2:5" hidden="1" outlineLevel="1" x14ac:dyDescent="0.45">
      <c r="B91" s="67">
        <v>0.55000000000000004</v>
      </c>
      <c r="C91" s="67">
        <f t="shared" si="0"/>
        <v>0.44999999999999996</v>
      </c>
      <c r="D91" s="68" cm="1">
        <f t="array" aca="1" ref="D91" ca="1">IF(ISNUMBER(_xll.VoseSimPercentile(Loss,$B91)),_xll.VoseSimPercentile(Loss,$B91),NA())</f>
        <v>9.1385389223516533</v>
      </c>
      <c r="E91" s="68" cm="1">
        <f t="array" aca="1" ref="E91" ca="1">IF(ISNUMBER(_xll.VoseSimPercentile(Loss0,$B91)),_xll.VoseSimPercentile(Loss0,$B91),NA())</f>
        <v>11.123544376229136</v>
      </c>
    </row>
    <row r="92" spans="2:5" hidden="1" outlineLevel="1" x14ac:dyDescent="0.45">
      <c r="B92" s="67">
        <v>0.56999999999999995</v>
      </c>
      <c r="C92" s="67">
        <f t="shared" si="0"/>
        <v>0.43000000000000005</v>
      </c>
      <c r="D92" s="68" cm="1">
        <f t="array" aca="1" ref="D92" ca="1">IF(ISNUMBER(_xll.VoseSimPercentile(Loss,$B92)),_xll.VoseSimPercentile(Loss,$B92),NA())</f>
        <v>9.5220680778732145</v>
      </c>
      <c r="E92" s="68" cm="1">
        <f t="array" aca="1" ref="E92" ca="1">IF(ISNUMBER(_xll.VoseSimPercentile(Loss0,$B92)),_xll.VoseSimPercentile(Loss0,$B92),NA())</f>
        <v>11.219591444763108</v>
      </c>
    </row>
    <row r="93" spans="2:5" hidden="1" outlineLevel="1" x14ac:dyDescent="0.45">
      <c r="B93" s="67">
        <v>0.59</v>
      </c>
      <c r="C93" s="67">
        <f t="shared" si="0"/>
        <v>0.41000000000000003</v>
      </c>
      <c r="D93" s="68" cm="1">
        <f t="array" aca="1" ref="D93" ca="1">IF(ISNUMBER(_xll.VoseSimPercentile(Loss,$B93)),_xll.VoseSimPercentile(Loss,$B93),NA())</f>
        <v>9.9304883751624136</v>
      </c>
      <c r="E93" s="68" cm="1">
        <f t="array" aca="1" ref="E93" ca="1">IF(ISNUMBER(_xll.VoseSimPercentile(Loss0,$B93)),_xll.VoseSimPercentile(Loss0,$B93),NA())</f>
        <v>11.3032614106442</v>
      </c>
    </row>
    <row r="94" spans="2:5" hidden="1" outlineLevel="1" x14ac:dyDescent="0.45">
      <c r="B94" s="67">
        <v>0.61</v>
      </c>
      <c r="C94" s="67">
        <f t="shared" si="0"/>
        <v>0.39</v>
      </c>
      <c r="D94" s="68" cm="1">
        <f t="array" aca="1" ref="D94" ca="1">IF(ISNUMBER(_xll.VoseSimPercentile(Loss,$B94)),_xll.VoseSimPercentile(Loss,$B94),NA())</f>
        <v>10.398875899298638</v>
      </c>
      <c r="E94" s="68" cm="1">
        <f t="array" aca="1" ref="E94" ca="1">IF(ISNUMBER(_xll.VoseSimPercentile(Loss0,$B94)),_xll.VoseSimPercentile(Loss0,$B94),NA())</f>
        <v>11.400246059193874</v>
      </c>
    </row>
    <row r="95" spans="2:5" hidden="1" outlineLevel="1" x14ac:dyDescent="0.45">
      <c r="B95" s="67">
        <v>0.63</v>
      </c>
      <c r="C95" s="67">
        <f t="shared" si="0"/>
        <v>0.37</v>
      </c>
      <c r="D95" s="68" cm="1">
        <f t="array" aca="1" ref="D95" ca="1">IF(ISNUMBER(_xll.VoseSimPercentile(Loss,$B95)),_xll.VoseSimPercentile(Loss,$B95),NA())</f>
        <v>10.921758923060292</v>
      </c>
      <c r="E95" s="68" cm="1">
        <f t="array" aca="1" ref="E95" ca="1">IF(ISNUMBER(_xll.VoseSimPercentile(Loss0,$B95)),_xll.VoseSimPercentile(Loss0,$B95),NA())</f>
        <v>11.498332537749622</v>
      </c>
    </row>
    <row r="96" spans="2:5" hidden="1" outlineLevel="1" x14ac:dyDescent="0.45">
      <c r="B96" s="67">
        <v>0.65</v>
      </c>
      <c r="C96" s="67">
        <f t="shared" ref="C96:C127" si="1">1-B96</f>
        <v>0.35</v>
      </c>
      <c r="D96" s="68" cm="1">
        <f t="array" aca="1" ref="D96" ca="1">IF(ISNUMBER(_xll.VoseSimPercentile(Loss,$B96)),_xll.VoseSimPercentile(Loss,$B96),NA())</f>
        <v>11.371713993731481</v>
      </c>
      <c r="E96" s="68" cm="1">
        <f t="array" aca="1" ref="E96" ca="1">IF(ISNUMBER(_xll.VoseSimPercentile(Loss0,$B96)),_xll.VoseSimPercentile(Loss0,$B96),NA())</f>
        <v>11.598373247002488</v>
      </c>
    </row>
    <row r="97" spans="2:5" hidden="1" outlineLevel="1" x14ac:dyDescent="0.45">
      <c r="B97" s="67">
        <v>0.67</v>
      </c>
      <c r="C97" s="67">
        <f t="shared" si="1"/>
        <v>0.32999999999999996</v>
      </c>
      <c r="D97" s="68" cm="1">
        <f t="array" aca="1" ref="D97" ca="1">IF(ISNUMBER(_xll.VoseSimPercentile(Loss,$B97)),_xll.VoseSimPercentile(Loss,$B97),NA())</f>
        <v>11.90602361244548</v>
      </c>
      <c r="E97" s="68" cm="1">
        <f t="array" aca="1" ref="E97" ca="1">IF(ISNUMBER(_xll.VoseSimPercentile(Loss0,$B97)),_xll.VoseSimPercentile(Loss0,$B97),NA())</f>
        <v>11.689284028714514</v>
      </c>
    </row>
    <row r="98" spans="2:5" hidden="1" outlineLevel="1" x14ac:dyDescent="0.45">
      <c r="B98" s="67">
        <v>0.69</v>
      </c>
      <c r="C98" s="67">
        <f t="shared" si="1"/>
        <v>0.31000000000000005</v>
      </c>
      <c r="D98" s="68" cm="1">
        <f t="array" aca="1" ref="D98" ca="1">IF(ISNUMBER(_xll.VoseSimPercentile(Loss,$B98)),_xll.VoseSimPercentile(Loss,$B98),NA())</f>
        <v>12.507628953885035</v>
      </c>
      <c r="E98" s="68" cm="1">
        <f t="array" aca="1" ref="E98" ca="1">IF(ISNUMBER(_xll.VoseSimPercentile(Loss0,$B98)),_xll.VoseSimPercentile(Loss0,$B98),NA())</f>
        <v>11.79830630572136</v>
      </c>
    </row>
    <row r="99" spans="2:5" hidden="1" outlineLevel="1" x14ac:dyDescent="0.45">
      <c r="B99" s="67">
        <v>0.71</v>
      </c>
      <c r="C99" s="67">
        <f t="shared" si="1"/>
        <v>0.29000000000000004</v>
      </c>
      <c r="D99" s="68" cm="1">
        <f t="array" aca="1" ref="D99" ca="1">IF(ISNUMBER(_xll.VoseSimPercentile(Loss,$B99)),_xll.VoseSimPercentile(Loss,$B99),NA())</f>
        <v>13.157876716699217</v>
      </c>
      <c r="E99" s="68" cm="1">
        <f t="array" aca="1" ref="E99" ca="1">IF(ISNUMBER(_xll.VoseSimPercentile(Loss0,$B99)),_xll.VoseSimPercentile(Loss0,$B99),NA())</f>
        <v>11.913430098657154</v>
      </c>
    </row>
    <row r="100" spans="2:5" hidden="1" outlineLevel="1" x14ac:dyDescent="0.45">
      <c r="B100" s="67">
        <v>0.73</v>
      </c>
      <c r="C100" s="67">
        <f t="shared" si="1"/>
        <v>0.27</v>
      </c>
      <c r="D100" s="68" cm="1">
        <f t="array" aca="1" ref="D100" ca="1">IF(ISNUMBER(_xll.VoseSimPercentile(Loss,$B100)),_xll.VoseSimPercentile(Loss,$B100),NA())</f>
        <v>13.790117293306045</v>
      </c>
      <c r="E100" s="68" cm="1">
        <f t="array" aca="1" ref="E100" ca="1">IF(ISNUMBER(_xll.VoseSimPercentile(Loss0,$B100)),_xll.VoseSimPercentile(Loss0,$B100),NA())</f>
        <v>12.019031686970109</v>
      </c>
    </row>
    <row r="101" spans="2:5" hidden="1" outlineLevel="1" x14ac:dyDescent="0.45">
      <c r="B101" s="67">
        <v>0.75</v>
      </c>
      <c r="C101" s="67">
        <f t="shared" si="1"/>
        <v>0.25</v>
      </c>
      <c r="D101" s="68" cm="1">
        <f t="array" aca="1" ref="D101" ca="1">IF(ISNUMBER(_xll.VoseSimPercentile(Loss,$B101)),_xll.VoseSimPercentile(Loss,$B101),NA())</f>
        <v>14.507812338831751</v>
      </c>
      <c r="E101" s="68" cm="1">
        <f t="array" aca="1" ref="E101" ca="1">IF(ISNUMBER(_xll.VoseSimPercentile(Loss0,$B101)),_xll.VoseSimPercentile(Loss0,$B101),NA())</f>
        <v>12.12953102888299</v>
      </c>
    </row>
    <row r="102" spans="2:5" hidden="1" outlineLevel="1" x14ac:dyDescent="0.45">
      <c r="B102" s="67">
        <v>0.77</v>
      </c>
      <c r="C102" s="67">
        <f t="shared" si="1"/>
        <v>0.22999999999999998</v>
      </c>
      <c r="D102" s="68" cm="1">
        <f t="array" aca="1" ref="D102" ca="1">IF(ISNUMBER(_xll.VoseSimPercentile(Loss,$B102)),_xll.VoseSimPercentile(Loss,$B102),NA())</f>
        <v>15.319041124591227</v>
      </c>
      <c r="E102" s="68" cm="1">
        <f t="array" aca="1" ref="E102" ca="1">IF(ISNUMBER(_xll.VoseSimPercentile(Loss0,$B102)),_xll.VoseSimPercentile(Loss0,$B102),NA())</f>
        <v>12.259349226121268</v>
      </c>
    </row>
    <row r="103" spans="2:5" hidden="1" outlineLevel="1" x14ac:dyDescent="0.45">
      <c r="B103" s="67">
        <v>0.79</v>
      </c>
      <c r="C103" s="67">
        <f t="shared" si="1"/>
        <v>0.20999999999999996</v>
      </c>
      <c r="D103" s="68" cm="1">
        <f t="array" aca="1" ref="D103" ca="1">IF(ISNUMBER(_xll.VoseSimPercentile(Loss,$B103)),_xll.VoseSimPercentile(Loss,$B103),NA())</f>
        <v>16.232807556992935</v>
      </c>
      <c r="E103" s="68" cm="1">
        <f t="array" aca="1" ref="E103" ca="1">IF(ISNUMBER(_xll.VoseSimPercentile(Loss0,$B103)),_xll.VoseSimPercentile(Loss0,$B103),NA())</f>
        <v>12.39384709598605</v>
      </c>
    </row>
    <row r="104" spans="2:5" hidden="1" outlineLevel="1" x14ac:dyDescent="0.45">
      <c r="B104" s="67">
        <v>0.81</v>
      </c>
      <c r="C104" s="67">
        <f t="shared" si="1"/>
        <v>0.18999999999999995</v>
      </c>
      <c r="D104" s="68" cm="1">
        <f t="array" aca="1" ref="D104" ca="1">IF(ISNUMBER(_xll.VoseSimPercentile(Loss,$B104)),_xll.VoseSimPercentile(Loss,$B104),NA())</f>
        <v>17.24511942058232</v>
      </c>
      <c r="E104" s="68" cm="1">
        <f t="array" aca="1" ref="E104" ca="1">IF(ISNUMBER(_xll.VoseSimPercentile(Loss0,$B104)),_xll.VoseSimPercentile(Loss0,$B104),NA())</f>
        <v>12.520251294997628</v>
      </c>
    </row>
    <row r="105" spans="2:5" hidden="1" outlineLevel="1" x14ac:dyDescent="0.45">
      <c r="B105" s="67">
        <v>0.83</v>
      </c>
      <c r="C105" s="67">
        <f t="shared" si="1"/>
        <v>0.17000000000000004</v>
      </c>
      <c r="D105" s="68" cm="1">
        <f t="array" aca="1" ref="D105" ca="1">IF(ISNUMBER(_xll.VoseSimPercentile(Loss,$B105)),_xll.VoseSimPercentile(Loss,$B105),NA())</f>
        <v>18.295461139629651</v>
      </c>
      <c r="E105" s="68" cm="1">
        <f t="array" aca="1" ref="E105" ca="1">IF(ISNUMBER(_xll.VoseSimPercentile(Loss0,$B105)),_xll.VoseSimPercentile(Loss0,$B105),NA())</f>
        <v>12.663014555226601</v>
      </c>
    </row>
    <row r="106" spans="2:5" hidden="1" outlineLevel="1" x14ac:dyDescent="0.45">
      <c r="B106" s="67">
        <v>0.85</v>
      </c>
      <c r="C106" s="67">
        <f t="shared" si="1"/>
        <v>0.15000000000000002</v>
      </c>
      <c r="D106" s="68" cm="1">
        <f t="array" aca="1" ref="D106" ca="1">IF(ISNUMBER(_xll.VoseSimPercentile(Loss,$B106)),_xll.VoseSimPercentile(Loss,$B106),NA())</f>
        <v>19.392151495246232</v>
      </c>
      <c r="E106" s="68" cm="1">
        <f t="array" aca="1" ref="E106" ca="1">IF(ISNUMBER(_xll.VoseSimPercentile(Loss0,$B106)),_xll.VoseSimPercentile(Loss0,$B106),NA())</f>
        <v>12.81253260414136</v>
      </c>
    </row>
    <row r="107" spans="2:5" hidden="1" outlineLevel="1" x14ac:dyDescent="0.45">
      <c r="B107" s="67">
        <v>0.87</v>
      </c>
      <c r="C107" s="67">
        <f t="shared" si="1"/>
        <v>0.13</v>
      </c>
      <c r="D107" s="68" cm="1">
        <f t="array" aca="1" ref="D107" ca="1">IF(ISNUMBER(_xll.VoseSimPercentile(Loss,$B107)),_xll.VoseSimPercentile(Loss,$B107),NA())</f>
        <v>20.801147873292166</v>
      </c>
      <c r="E107" s="68" cm="1">
        <f t="array" aca="1" ref="E107" ca="1">IF(ISNUMBER(_xll.VoseSimPercentile(Loss0,$B107)),_xll.VoseSimPercentile(Loss0,$B107),NA())</f>
        <v>12.987311662105437</v>
      </c>
    </row>
    <row r="108" spans="2:5" hidden="1" outlineLevel="1" x14ac:dyDescent="0.45">
      <c r="B108" s="67">
        <v>0.89</v>
      </c>
      <c r="C108" s="67">
        <f t="shared" si="1"/>
        <v>0.10999999999999999</v>
      </c>
      <c r="D108" s="68" cm="1">
        <f t="array" aca="1" ref="D108" ca="1">IF(ISNUMBER(_xll.VoseSimPercentile(Loss,$B108)),_xll.VoseSimPercentile(Loss,$B108),NA())</f>
        <v>22.430979966119981</v>
      </c>
      <c r="E108" s="68" cm="1">
        <f t="array" aca="1" ref="E108" ca="1">IF(ISNUMBER(_xll.VoseSimPercentile(Loss0,$B108)),_xll.VoseSimPercentile(Loss0,$B108),NA())</f>
        <v>13.176912959516429</v>
      </c>
    </row>
    <row r="109" spans="2:5" hidden="1" outlineLevel="1" x14ac:dyDescent="0.45">
      <c r="B109" s="67">
        <v>0.91</v>
      </c>
      <c r="C109" s="67">
        <f t="shared" si="1"/>
        <v>8.9999999999999969E-2</v>
      </c>
      <c r="D109" s="68" cm="1">
        <f t="array" aca="1" ref="D109" ca="1">IF(ISNUMBER(_xll.VoseSimPercentile(Loss,$B109)),_xll.VoseSimPercentile(Loss,$B109),NA())</f>
        <v>24.314231436207422</v>
      </c>
      <c r="E109" s="68" cm="1">
        <f t="array" aca="1" ref="E109" ca="1">IF(ISNUMBER(_xll.VoseSimPercentile(Loss0,$B109)),_xll.VoseSimPercentile(Loss0,$B109),NA())</f>
        <v>13.432185730331124</v>
      </c>
    </row>
    <row r="110" spans="2:5" hidden="1" outlineLevel="1" x14ac:dyDescent="0.45">
      <c r="B110" s="67">
        <v>0.93</v>
      </c>
      <c r="C110" s="67">
        <f t="shared" si="1"/>
        <v>6.9999999999999951E-2</v>
      </c>
      <c r="D110" s="68" cm="1">
        <f t="array" aca="1" ref="D110" ca="1">IF(ISNUMBER(_xll.VoseSimPercentile(Loss,$B110)),_xll.VoseSimPercentile(Loss,$B110),NA())</f>
        <v>26.796464810482135</v>
      </c>
      <c r="E110" s="68" cm="1">
        <f t="array" aca="1" ref="E110" ca="1">IF(ISNUMBER(_xll.VoseSimPercentile(Loss0,$B110)),_xll.VoseSimPercentile(Loss0,$B110),NA())</f>
        <v>13.744378184575769</v>
      </c>
    </row>
    <row r="111" spans="2:5" hidden="1" outlineLevel="1" x14ac:dyDescent="0.45">
      <c r="B111" s="67">
        <v>0.95</v>
      </c>
      <c r="C111" s="67">
        <f t="shared" si="1"/>
        <v>5.0000000000000044E-2</v>
      </c>
      <c r="D111" s="68" cm="1">
        <f t="array" aca="1" ref="D111" ca="1">IF(ISNUMBER(_xll.VoseSimPercentile(Loss,$B111)),_xll.VoseSimPercentile(Loss,$B111),NA())</f>
        <v>30.130581140479421</v>
      </c>
      <c r="E111" s="68" cm="1">
        <f t="array" aca="1" ref="E111" ca="1">IF(ISNUMBER(_xll.VoseSimPercentile(Loss0,$B111)),_xll.VoseSimPercentile(Loss0,$B111),NA())</f>
        <v>14.091131260446618</v>
      </c>
    </row>
    <row r="112" spans="2:5" hidden="1" outlineLevel="1" x14ac:dyDescent="0.45">
      <c r="B112" s="67">
        <v>0.97</v>
      </c>
      <c r="C112" s="67">
        <f t="shared" si="1"/>
        <v>3.0000000000000027E-2</v>
      </c>
      <c r="D112" s="68" cm="1">
        <f t="array" aca="1" ref="D112" ca="1">IF(ISNUMBER(_xll.VoseSimPercentile(Loss,$B112)),_xll.VoseSimPercentile(Loss,$B112),NA())</f>
        <v>35.810141864195359</v>
      </c>
      <c r="E112" s="68" cm="1">
        <f t="array" aca="1" ref="E112" ca="1">IF(ISNUMBER(_xll.VoseSimPercentile(Loss0,$B112)),_xll.VoseSimPercentile(Loss0,$B112),NA())</f>
        <v>14.541183039820149</v>
      </c>
    </row>
    <row r="113" spans="2:7" hidden="1" outlineLevel="1" x14ac:dyDescent="0.45">
      <c r="B113" s="67">
        <v>0.99</v>
      </c>
      <c r="C113" s="67">
        <f t="shared" si="1"/>
        <v>1.0000000000000009E-2</v>
      </c>
      <c r="D113" s="68" cm="1">
        <f t="array" aca="1" ref="D113" ca="1">IF(ISNUMBER(_xll.VoseSimPercentile(Loss,$B113)),_xll.VoseSimPercentile(Loss,$B113),NA())</f>
        <v>47.346876746724703</v>
      </c>
      <c r="E113" s="68" cm="1">
        <f t="array" aca="1" ref="E113" ca="1">IF(ISNUMBER(_xll.VoseSimPercentile(Loss0,$B113)),_xll.VoseSimPercentile(Loss0,$B113),NA())</f>
        <v>15.551600866629947</v>
      </c>
    </row>
    <row r="114" spans="2:7" hidden="1" outlineLevel="1" x14ac:dyDescent="0.45"/>
    <row r="115" spans="2:7" ht="18" hidden="1" customHeight="1" outlineLevel="1" x14ac:dyDescent="0.45">
      <c r="B115" s="23" t="s">
        <v>214</v>
      </c>
      <c r="C115" s="24" t="s">
        <v>137</v>
      </c>
      <c r="D115" s="5"/>
      <c r="E115" s="5"/>
      <c r="F115" s="5"/>
      <c r="G115" s="5"/>
    </row>
    <row r="116" spans="2:7" hidden="1" outlineLevel="1" x14ac:dyDescent="0.45">
      <c r="B116" s="69">
        <v>5.0000000000000001E-3</v>
      </c>
      <c r="C116" s="68" cm="1">
        <f t="array" aca="1" ref="C116" ca="1">IF(ISNUMBER(_xll.VoseSimPercentile(Loss,0.005)),_xll.VoseSimPercentile(Loss,0.005),NA())</f>
        <v>0.28618923889946535</v>
      </c>
    </row>
    <row r="117" spans="2:7" hidden="1" outlineLevel="1" x14ac:dyDescent="0.45">
      <c r="B117" s="69">
        <v>0.01</v>
      </c>
      <c r="C117" s="68" cm="1">
        <f t="array" aca="1" ref="C117" ca="1">IF(ISNUMBER(_xll.VoseSimPercentile(Loss,0.01)),_xll.VoseSimPercentile(Loss,0.01),NA())</f>
        <v>0.52281199789085653</v>
      </c>
    </row>
    <row r="118" spans="2:7" hidden="1" outlineLevel="1" x14ac:dyDescent="0.45">
      <c r="B118" s="69">
        <v>0.02</v>
      </c>
      <c r="C118" s="68" cm="1">
        <f t="array" aca="1" ref="C118" ca="1">IF(ISNUMBER(_xll.VoseSimPercentile(Loss,0.02)),_xll.VoseSimPercentile(Loss,0.02),NA())</f>
        <v>0.84423812014659971</v>
      </c>
    </row>
    <row r="119" spans="2:7" hidden="1" outlineLevel="1" x14ac:dyDescent="0.45">
      <c r="B119" s="69">
        <v>0.03</v>
      </c>
      <c r="C119" s="68" cm="1">
        <f t="array" aca="1" ref="C119" ca="1">IF(ISNUMBER(_xll.VoseSimPercentile(Loss,0.03)),_xll.VoseSimPercentile(Loss,0.03),NA())</f>
        <v>1.0855368955768525</v>
      </c>
    </row>
    <row r="120" spans="2:7" hidden="1" outlineLevel="1" x14ac:dyDescent="0.45">
      <c r="B120" s="69">
        <v>0.04</v>
      </c>
      <c r="C120" s="68" cm="1">
        <f t="array" aca="1" ref="C120" ca="1">IF(ISNUMBER(_xll.VoseSimPercentile(Loss,0.04)),_xll.VoseSimPercentile(Loss,0.04),NA())</f>
        <v>1.3020084993431345</v>
      </c>
    </row>
    <row r="121" spans="2:7" hidden="1" outlineLevel="1" x14ac:dyDescent="0.45">
      <c r="B121" s="69">
        <v>0.05</v>
      </c>
      <c r="C121" s="68" cm="1">
        <f t="array" aca="1" ref="C121" ca="1">IF(ISNUMBER(_xll.VoseSimPercentile(Loss,0.05)),_xll.VoseSimPercentile(Loss,0.05),NA())</f>
        <v>1.4787011534289962</v>
      </c>
    </row>
    <row r="122" spans="2:7" hidden="1" outlineLevel="1" x14ac:dyDescent="0.45">
      <c r="B122" s="69">
        <v>0.06</v>
      </c>
      <c r="C122" s="68" cm="1">
        <f t="array" aca="1" ref="C122" ca="1">IF(ISNUMBER(_xll.VoseSimPercentile(Loss,0.06)),_xll.VoseSimPercentile(Loss,0.06),NA())</f>
        <v>1.6549606112361483</v>
      </c>
    </row>
    <row r="123" spans="2:7" hidden="1" outlineLevel="1" x14ac:dyDescent="0.45">
      <c r="B123" s="69">
        <v>7.0000000000000007E-2</v>
      </c>
      <c r="C123" s="68" cm="1">
        <f t="array" aca="1" ref="C123" ca="1">IF(ISNUMBER(_xll.VoseSimPercentile(Loss,0.07)),_xll.VoseSimPercentile(Loss,0.07),NA())</f>
        <v>1.8040924329857035</v>
      </c>
    </row>
    <row r="124" spans="2:7" hidden="1" outlineLevel="1" x14ac:dyDescent="0.45">
      <c r="B124" s="69">
        <v>0.08</v>
      </c>
      <c r="C124" s="68" cm="1">
        <f t="array" aca="1" ref="C124" ca="1">IF(ISNUMBER(_xll.VoseSimPercentile(Loss,0.08)),_xll.VoseSimPercentile(Loss,0.08),NA())</f>
        <v>1.9744112588680895</v>
      </c>
    </row>
    <row r="125" spans="2:7" hidden="1" outlineLevel="1" x14ac:dyDescent="0.45">
      <c r="B125" s="69">
        <v>0.09</v>
      </c>
      <c r="C125" s="68" cm="1">
        <f t="array" aca="1" ref="C125" ca="1">IF(ISNUMBER(_xll.VoseSimPercentile(Loss,0.09)),_xll.VoseSimPercentile(Loss,0.09),NA())</f>
        <v>2.1401909925045453</v>
      </c>
    </row>
    <row r="126" spans="2:7" hidden="1" outlineLevel="1" x14ac:dyDescent="0.45">
      <c r="B126" s="69">
        <v>0.1</v>
      </c>
      <c r="C126" s="68" cm="1">
        <f t="array" aca="1" ref="C126" ca="1">IF(ISNUMBER(_xll.VoseSimPercentile(Loss,0.1)),_xll.VoseSimPercentile(Loss,0.1),NA())</f>
        <v>2.2856428807271696</v>
      </c>
    </row>
    <row r="127" spans="2:7" hidden="1" outlineLevel="1" x14ac:dyDescent="0.45">
      <c r="B127" s="69">
        <v>0.11</v>
      </c>
      <c r="C127" s="68" cm="1">
        <f t="array" aca="1" ref="C127" ca="1">IF(ISNUMBER(_xll.VoseSimPercentile(Loss,0.11)),_xll.VoseSimPercentile(Loss,0.11),NA())</f>
        <v>2.4305106474649136</v>
      </c>
    </row>
    <row r="128" spans="2:7" hidden="1" outlineLevel="1" x14ac:dyDescent="0.45">
      <c r="B128" s="69">
        <v>0.12</v>
      </c>
      <c r="C128" s="68" cm="1">
        <f t="array" aca="1" ref="C128" ca="1">IF(ISNUMBER(_xll.VoseSimPercentile(Loss,0.12)),_xll.VoseSimPercentile(Loss,0.12),NA())</f>
        <v>2.5667196100976626</v>
      </c>
    </row>
    <row r="129" spans="2:3" hidden="1" outlineLevel="1" x14ac:dyDescent="0.45">
      <c r="B129" s="69">
        <v>0.13</v>
      </c>
      <c r="C129" s="68" cm="1">
        <f t="array" aca="1" ref="C129" ca="1">IF(ISNUMBER(_xll.VoseSimPercentile(Loss,0.13)),_xll.VoseSimPercentile(Loss,0.13),NA())</f>
        <v>2.6957020951012312</v>
      </c>
    </row>
    <row r="130" spans="2:3" hidden="1" outlineLevel="1" x14ac:dyDescent="0.45">
      <c r="B130" s="69">
        <v>0.14000000000000001</v>
      </c>
      <c r="C130" s="68" cm="1">
        <f t="array" aca="1" ref="C130" ca="1">IF(ISNUMBER(_xll.VoseSimPercentile(Loss,0.14)),_xll.VoseSimPercentile(Loss,0.14),NA())</f>
        <v>2.8628697279427984</v>
      </c>
    </row>
    <row r="131" spans="2:3" hidden="1" outlineLevel="1" x14ac:dyDescent="0.45">
      <c r="B131" s="69">
        <v>0.15</v>
      </c>
      <c r="C131" s="68" cm="1">
        <f t="array" aca="1" ref="C131" ca="1">IF(ISNUMBER(_xll.VoseSimPercentile(Loss,0.15)),_xll.VoseSimPercentile(Loss,0.15),NA())</f>
        <v>2.9870694755169116</v>
      </c>
    </row>
    <row r="132" spans="2:3" hidden="1" outlineLevel="1" x14ac:dyDescent="0.45">
      <c r="B132" s="69">
        <v>0.16</v>
      </c>
      <c r="C132" s="68" cm="1">
        <f t="array" aca="1" ref="C132" ca="1">IF(ISNUMBER(_xll.VoseSimPercentile(Loss,0.16)),_xll.VoseSimPercentile(Loss,0.16),NA())</f>
        <v>3.1377592397996281</v>
      </c>
    </row>
    <row r="133" spans="2:3" hidden="1" outlineLevel="1" x14ac:dyDescent="0.45">
      <c r="B133" s="69">
        <v>0.17</v>
      </c>
      <c r="C133" s="68" cm="1">
        <f t="array" aca="1" ref="C133" ca="1">IF(ISNUMBER(_xll.VoseSimPercentile(Loss,0.17)),_xll.VoseSimPercentile(Loss,0.17),NA())</f>
        <v>3.2513685607884089</v>
      </c>
    </row>
    <row r="134" spans="2:3" hidden="1" outlineLevel="1" x14ac:dyDescent="0.45">
      <c r="B134" s="69">
        <v>0.18</v>
      </c>
      <c r="C134" s="68" cm="1">
        <f t="array" aca="1" ref="C134" ca="1">IF(ISNUMBER(_xll.VoseSimPercentile(Loss,0.18)),_xll.VoseSimPercentile(Loss,0.18),NA())</f>
        <v>3.3877049510778408</v>
      </c>
    </row>
    <row r="135" spans="2:3" hidden="1" outlineLevel="1" x14ac:dyDescent="0.45">
      <c r="B135" s="69">
        <v>0.19</v>
      </c>
      <c r="C135" s="68" cm="1">
        <f t="array" aca="1" ref="C135" ca="1">IF(ISNUMBER(_xll.VoseSimPercentile(Loss,0.19)),_xll.VoseSimPercentile(Loss,0.19),NA())</f>
        <v>3.5143647250186723</v>
      </c>
    </row>
    <row r="136" spans="2:3" hidden="1" outlineLevel="1" x14ac:dyDescent="0.45">
      <c r="B136" s="69">
        <v>0.2</v>
      </c>
      <c r="C136" s="68" cm="1">
        <f t="array" aca="1" ref="C136" ca="1">IF(ISNUMBER(_xll.VoseSimPercentile(Loss,0.2)),_xll.VoseSimPercentile(Loss,0.2),NA())</f>
        <v>3.668979776779616</v>
      </c>
    </row>
    <row r="137" spans="2:3" hidden="1" outlineLevel="1" x14ac:dyDescent="0.45">
      <c r="B137" s="69">
        <v>0.21</v>
      </c>
      <c r="C137" s="68" cm="1">
        <f t="array" aca="1" ref="C137" ca="1">IF(ISNUMBER(_xll.VoseSimPercentile(Loss,0.21)),_xll.VoseSimPercentile(Loss,0.21),NA())</f>
        <v>3.8146958312039994</v>
      </c>
    </row>
    <row r="138" spans="2:3" hidden="1" outlineLevel="1" x14ac:dyDescent="0.45">
      <c r="B138" s="69">
        <v>0.22</v>
      </c>
      <c r="C138" s="68" cm="1">
        <f t="array" aca="1" ref="C138" ca="1">IF(ISNUMBER(_xll.VoseSimPercentile(Loss,0.22)),_xll.VoseSimPercentile(Loss,0.22),NA())</f>
        <v>3.9418304793110339</v>
      </c>
    </row>
    <row r="139" spans="2:3" hidden="1" outlineLevel="1" x14ac:dyDescent="0.45">
      <c r="B139" s="69">
        <v>0.23</v>
      </c>
      <c r="C139" s="68" cm="1">
        <f t="array" aca="1" ref="C139" ca="1">IF(ISNUMBER(_xll.VoseSimPercentile(Loss,0.23)),_xll.VoseSimPercentile(Loss,0.23),NA())</f>
        <v>4.0689698853309224</v>
      </c>
    </row>
    <row r="140" spans="2:3" hidden="1" outlineLevel="1" x14ac:dyDescent="0.45">
      <c r="B140" s="69">
        <v>0.24</v>
      </c>
      <c r="C140" s="68" cm="1">
        <f t="array" aca="1" ref="C140" ca="1">IF(ISNUMBER(_xll.VoseSimPercentile(Loss,0.24)),_xll.VoseSimPercentile(Loss,0.24),NA())</f>
        <v>4.2047866693263503</v>
      </c>
    </row>
    <row r="141" spans="2:3" hidden="1" outlineLevel="1" x14ac:dyDescent="0.45">
      <c r="B141" s="69">
        <v>0.25</v>
      </c>
      <c r="C141" s="68" cm="1">
        <f t="array" aca="1" ref="C141" ca="1">IF(ISNUMBER(_xll.VoseSimPercentile(Loss,0.25)),_xll.VoseSimPercentile(Loss,0.25),NA())</f>
        <v>4.3232069888383933</v>
      </c>
    </row>
    <row r="142" spans="2:3" hidden="1" outlineLevel="1" x14ac:dyDescent="0.45">
      <c r="B142" s="69">
        <v>0.26</v>
      </c>
      <c r="C142" s="68" cm="1">
        <f t="array" aca="1" ref="C142" ca="1">IF(ISNUMBER(_xll.VoseSimPercentile(Loss,0.26)),_xll.VoseSimPercentile(Loss,0.26),NA())</f>
        <v>4.434234445817137</v>
      </c>
    </row>
    <row r="143" spans="2:3" hidden="1" outlineLevel="1" x14ac:dyDescent="0.45">
      <c r="B143" s="69">
        <v>0.27</v>
      </c>
      <c r="C143" s="68" cm="1">
        <f t="array" aca="1" ref="C143" ca="1">IF(ISNUMBER(_xll.VoseSimPercentile(Loss,0.27)),_xll.VoseSimPercentile(Loss,0.27),NA())</f>
        <v>4.5866735797585791</v>
      </c>
    </row>
    <row r="144" spans="2:3" hidden="1" outlineLevel="1" x14ac:dyDescent="0.45">
      <c r="B144" s="69">
        <v>0.28000000000000003</v>
      </c>
      <c r="C144" s="68" cm="1">
        <f t="array" aca="1" ref="C144" ca="1">IF(ISNUMBER(_xll.VoseSimPercentile(Loss,0.28)),_xll.VoseSimPercentile(Loss,0.28),NA())</f>
        <v>4.7126658923156173</v>
      </c>
    </row>
    <row r="145" spans="2:3" hidden="1" outlineLevel="1" x14ac:dyDescent="0.45">
      <c r="B145" s="69">
        <v>0.28999999999999998</v>
      </c>
      <c r="C145" s="68" cm="1">
        <f t="array" aca="1" ref="C145" ca="1">IF(ISNUMBER(_xll.VoseSimPercentile(Loss,0.29)),_xll.VoseSimPercentile(Loss,0.29),NA())</f>
        <v>4.8363683034655001</v>
      </c>
    </row>
    <row r="146" spans="2:3" hidden="1" outlineLevel="1" x14ac:dyDescent="0.45">
      <c r="B146" s="69">
        <v>0.3</v>
      </c>
      <c r="C146" s="68" cm="1">
        <f t="array" aca="1" ref="C146" ca="1">IF(ISNUMBER(_xll.VoseSimPercentile(Loss,0.3)),_xll.VoseSimPercentile(Loss,0.3),NA())</f>
        <v>4.9835452188943901</v>
      </c>
    </row>
    <row r="147" spans="2:3" hidden="1" outlineLevel="1" x14ac:dyDescent="0.45">
      <c r="B147" s="69">
        <v>0.31</v>
      </c>
      <c r="C147" s="68" cm="1">
        <f t="array" aca="1" ref="C147" ca="1">IF(ISNUMBER(_xll.VoseSimPercentile(Loss,0.31)),_xll.VoseSimPercentile(Loss,0.31),NA())</f>
        <v>5.134455195254743</v>
      </c>
    </row>
    <row r="148" spans="2:3" hidden="1" outlineLevel="1" x14ac:dyDescent="0.45">
      <c r="B148" s="69">
        <v>0.32</v>
      </c>
      <c r="C148" s="68" cm="1">
        <f t="array" aca="1" ref="C148" ca="1">IF(ISNUMBER(_xll.VoseSimPercentile(Loss,0.32)),_xll.VoseSimPercentile(Loss,0.32),NA())</f>
        <v>5.2693466454153777</v>
      </c>
    </row>
    <row r="149" spans="2:3" hidden="1" outlineLevel="1" x14ac:dyDescent="0.45">
      <c r="B149" s="69">
        <v>0.33</v>
      </c>
      <c r="C149" s="68" cm="1">
        <f t="array" aca="1" ref="C149" ca="1">IF(ISNUMBER(_xll.VoseSimPercentile(Loss,0.33)),_xll.VoseSimPercentile(Loss,0.33),NA())</f>
        <v>5.4333473265134913</v>
      </c>
    </row>
    <row r="150" spans="2:3" hidden="1" outlineLevel="1" x14ac:dyDescent="0.45">
      <c r="B150" s="69">
        <v>0.34</v>
      </c>
      <c r="C150" s="68" cm="1">
        <f t="array" aca="1" ref="C150" ca="1">IF(ISNUMBER(_xll.VoseSimPercentile(Loss,0.34)),_xll.VoseSimPercentile(Loss,0.34),NA())</f>
        <v>5.5667912412192324</v>
      </c>
    </row>
    <row r="151" spans="2:3" hidden="1" outlineLevel="1" x14ac:dyDescent="0.45">
      <c r="B151" s="69">
        <v>0.35</v>
      </c>
      <c r="C151" s="68" cm="1">
        <f t="array" aca="1" ref="C151" ca="1">IF(ISNUMBER(_xll.VoseSimPercentile(Loss,0.35)),_xll.VoseSimPercentile(Loss,0.35),NA())</f>
        <v>5.7243573387828421</v>
      </c>
    </row>
    <row r="152" spans="2:3" hidden="1" outlineLevel="1" x14ac:dyDescent="0.45">
      <c r="B152" s="69">
        <v>0.36</v>
      </c>
      <c r="C152" s="68" cm="1">
        <f t="array" aca="1" ref="C152" ca="1">IF(ISNUMBER(_xll.VoseSimPercentile(Loss,0.36)),_xll.VoseSimPercentile(Loss,0.36),NA())</f>
        <v>5.872232517780831</v>
      </c>
    </row>
    <row r="153" spans="2:3" hidden="1" outlineLevel="1" x14ac:dyDescent="0.45">
      <c r="B153" s="69">
        <v>0.37</v>
      </c>
      <c r="C153" s="68" cm="1">
        <f t="array" aca="1" ref="C153" ca="1">IF(ISNUMBER(_xll.VoseSimPercentile(Loss,0.37)),_xll.VoseSimPercentile(Loss,0.37),NA())</f>
        <v>6.0135795286242493</v>
      </c>
    </row>
    <row r="154" spans="2:3" hidden="1" outlineLevel="1" x14ac:dyDescent="0.45">
      <c r="B154" s="69">
        <v>0.38</v>
      </c>
      <c r="C154" s="68" cm="1">
        <f t="array" aca="1" ref="C154" ca="1">IF(ISNUMBER(_xll.VoseSimPercentile(Loss,0.38)),_xll.VoseSimPercentile(Loss,0.38),NA())</f>
        <v>6.1780227080005989</v>
      </c>
    </row>
    <row r="155" spans="2:3" hidden="1" outlineLevel="1" x14ac:dyDescent="0.45">
      <c r="B155" s="69">
        <v>0.39</v>
      </c>
      <c r="C155" s="68" cm="1">
        <f t="array" aca="1" ref="C155" ca="1">IF(ISNUMBER(_xll.VoseSimPercentile(Loss,0.39)),_xll.VoseSimPercentile(Loss,0.39),NA())</f>
        <v>6.3501535291402282</v>
      </c>
    </row>
    <row r="156" spans="2:3" hidden="1" outlineLevel="1" x14ac:dyDescent="0.45">
      <c r="B156" s="69">
        <v>0.4</v>
      </c>
      <c r="C156" s="68" cm="1">
        <f t="array" aca="1" ref="C156" ca="1">IF(ISNUMBER(_xll.VoseSimPercentile(Loss,0.4)),_xll.VoseSimPercentile(Loss,0.4),NA())</f>
        <v>6.4969730951403069</v>
      </c>
    </row>
    <row r="157" spans="2:3" hidden="1" outlineLevel="1" x14ac:dyDescent="0.45">
      <c r="B157" s="69">
        <v>0.41</v>
      </c>
      <c r="C157" s="68" cm="1">
        <f t="array" aca="1" ref="C157" ca="1">IF(ISNUMBER(_xll.VoseSimPercentile(Loss,0.41)),_xll.VoseSimPercentile(Loss,0.41),NA())</f>
        <v>6.6604698525623869</v>
      </c>
    </row>
    <row r="158" spans="2:3" hidden="1" outlineLevel="1" x14ac:dyDescent="0.45">
      <c r="B158" s="69">
        <v>0.42</v>
      </c>
      <c r="C158" s="68" cm="1">
        <f t="array" aca="1" ref="C158" ca="1">IF(ISNUMBER(_xll.VoseSimPercentile(Loss,0.42)),_xll.VoseSimPercentile(Loss,0.42),NA())</f>
        <v>6.8219885456939515</v>
      </c>
    </row>
    <row r="159" spans="2:3" hidden="1" outlineLevel="1" x14ac:dyDescent="0.45">
      <c r="B159" s="69">
        <v>0.43</v>
      </c>
      <c r="C159" s="68" cm="1">
        <f t="array" aca="1" ref="C159" ca="1">IF(ISNUMBER(_xll.VoseSimPercentile(Loss,0.43)),_xll.VoseSimPercentile(Loss,0.43),NA())</f>
        <v>6.9905869268729406</v>
      </c>
    </row>
    <row r="160" spans="2:3" hidden="1" outlineLevel="1" x14ac:dyDescent="0.45">
      <c r="B160" s="69">
        <v>0.44</v>
      </c>
      <c r="C160" s="68" cm="1">
        <f t="array" aca="1" ref="C160" ca="1">IF(ISNUMBER(_xll.VoseSimPercentile(Loss,0.44)),_xll.VoseSimPercentile(Loss,0.44),NA())</f>
        <v>7.1851984010780487</v>
      </c>
    </row>
    <row r="161" spans="2:3" hidden="1" outlineLevel="1" x14ac:dyDescent="0.45">
      <c r="B161" s="69">
        <v>0.45</v>
      </c>
      <c r="C161" s="68" cm="1">
        <f t="array" aca="1" ref="C161" ca="1">IF(ISNUMBER(_xll.VoseSimPercentile(Loss,0.45)),_xll.VoseSimPercentile(Loss,0.45),NA())</f>
        <v>7.3649714522082252</v>
      </c>
    </row>
    <row r="162" spans="2:3" hidden="1" outlineLevel="1" x14ac:dyDescent="0.45">
      <c r="B162" s="69">
        <v>0.46</v>
      </c>
      <c r="C162" s="68" cm="1">
        <f t="array" aca="1" ref="C162" ca="1">IF(ISNUMBER(_xll.VoseSimPercentile(Loss,0.46)),_xll.VoseSimPercentile(Loss,0.46),NA())</f>
        <v>7.5218562002512348</v>
      </c>
    </row>
    <row r="163" spans="2:3" hidden="1" outlineLevel="1" x14ac:dyDescent="0.45">
      <c r="B163" s="69">
        <v>0.47</v>
      </c>
      <c r="C163" s="68" cm="1">
        <f t="array" aca="1" ref="C163" ca="1">IF(ISNUMBER(_xll.VoseSimPercentile(Loss,0.47)),_xll.VoseSimPercentile(Loss,0.47),NA())</f>
        <v>7.6818688451313806</v>
      </c>
    </row>
    <row r="164" spans="2:3" hidden="1" outlineLevel="1" x14ac:dyDescent="0.45">
      <c r="B164" s="69">
        <v>0.48</v>
      </c>
      <c r="C164" s="68" cm="1">
        <f t="array" aca="1" ref="C164" ca="1">IF(ISNUMBER(_xll.VoseSimPercentile(Loss,0.48)),_xll.VoseSimPercentile(Loss,0.48),NA())</f>
        <v>7.8648836358903278</v>
      </c>
    </row>
    <row r="165" spans="2:3" hidden="1" outlineLevel="1" x14ac:dyDescent="0.45">
      <c r="B165" s="69">
        <v>0.49</v>
      </c>
      <c r="C165" s="68" cm="1">
        <f t="array" aca="1" ref="C165" ca="1">IF(ISNUMBER(_xll.VoseSimPercentile(Loss,0.49)),_xll.VoseSimPercentile(Loss,0.49),NA())</f>
        <v>8.0136445071364495</v>
      </c>
    </row>
    <row r="166" spans="2:3" hidden="1" outlineLevel="1" x14ac:dyDescent="0.45">
      <c r="B166" s="69">
        <v>0.5</v>
      </c>
      <c r="C166" s="68" cm="1">
        <f t="array" aca="1" ref="C166" ca="1">IF(ISNUMBER(_xll.VoseSimPercentile(Loss,0.5)),_xll.VoseSimPercentile(Loss,0.5),NA())</f>
        <v>8.1954169933317331</v>
      </c>
    </row>
    <row r="167" spans="2:3" hidden="1" outlineLevel="1" x14ac:dyDescent="0.45">
      <c r="B167" s="69">
        <v>0.51</v>
      </c>
      <c r="C167" s="68" cm="1">
        <f t="array" aca="1" ref="C167" ca="1">IF(ISNUMBER(_xll.VoseSimPercentile(Loss,0.51)),_xll.VoseSimPercentile(Loss,0.51),NA())</f>
        <v>8.369356075086813</v>
      </c>
    </row>
    <row r="168" spans="2:3" hidden="1" outlineLevel="1" x14ac:dyDescent="0.45">
      <c r="B168" s="69">
        <v>0.52</v>
      </c>
      <c r="C168" s="68" cm="1">
        <f t="array" aca="1" ref="C168" ca="1">IF(ISNUMBER(_xll.VoseSimPercentile(Loss,0.52)),_xll.VoseSimPercentile(Loss,0.52),NA())</f>
        <v>8.5573179330635156</v>
      </c>
    </row>
    <row r="169" spans="2:3" hidden="1" outlineLevel="1" x14ac:dyDescent="0.45">
      <c r="B169" s="69">
        <v>0.53</v>
      </c>
      <c r="C169" s="68" cm="1">
        <f t="array" aca="1" ref="C169" ca="1">IF(ISNUMBER(_xll.VoseSimPercentile(Loss,0.53)),_xll.VoseSimPercentile(Loss,0.53),NA())</f>
        <v>8.7262981529452102</v>
      </c>
    </row>
    <row r="170" spans="2:3" hidden="1" outlineLevel="1" x14ac:dyDescent="0.45">
      <c r="B170" s="69">
        <v>0.54</v>
      </c>
      <c r="C170" s="68" cm="1">
        <f t="array" aca="1" ref="C170" ca="1">IF(ISNUMBER(_xll.VoseSimPercentile(Loss,0.54)),_xll.VoseSimPercentile(Loss,0.54),NA())</f>
        <v>8.9216169430168719</v>
      </c>
    </row>
    <row r="171" spans="2:3" hidden="1" outlineLevel="1" x14ac:dyDescent="0.45">
      <c r="B171" s="69">
        <v>0.55000000000000004</v>
      </c>
      <c r="C171" s="68" cm="1">
        <f t="array" aca="1" ref="C171" ca="1">IF(ISNUMBER(_xll.VoseSimPercentile(Loss,0.55)),_xll.VoseSimPercentile(Loss,0.55),NA())</f>
        <v>9.1385389223516533</v>
      </c>
    </row>
    <row r="172" spans="2:3" hidden="1" outlineLevel="1" x14ac:dyDescent="0.45">
      <c r="B172" s="69">
        <v>0.56000000000000005</v>
      </c>
      <c r="C172" s="68" cm="1">
        <f t="array" aca="1" ref="C172" ca="1">IF(ISNUMBER(_xll.VoseSimPercentile(Loss,0.56)),_xll.VoseSimPercentile(Loss,0.56),NA())</f>
        <v>9.3218102862491072</v>
      </c>
    </row>
    <row r="173" spans="2:3" hidden="1" outlineLevel="1" x14ac:dyDescent="0.45">
      <c r="B173" s="69">
        <v>0.56999999999999995</v>
      </c>
      <c r="C173" s="68" cm="1">
        <f t="array" aca="1" ref="C173" ca="1">IF(ISNUMBER(_xll.VoseSimPercentile(Loss,0.57)),_xll.VoseSimPercentile(Loss,0.57),NA())</f>
        <v>9.5220680778732145</v>
      </c>
    </row>
    <row r="174" spans="2:3" hidden="1" outlineLevel="1" x14ac:dyDescent="0.45">
      <c r="B174" s="69">
        <v>0.57999999999999996</v>
      </c>
      <c r="C174" s="68" cm="1">
        <f t="array" aca="1" ref="C174" ca="1">IF(ISNUMBER(_xll.VoseSimPercentile(Loss,0.58)),_xll.VoseSimPercentile(Loss,0.58),NA())</f>
        <v>9.7330559148702562</v>
      </c>
    </row>
    <row r="175" spans="2:3" hidden="1" outlineLevel="1" x14ac:dyDescent="0.45">
      <c r="B175" s="69">
        <v>0.59</v>
      </c>
      <c r="C175" s="68" cm="1">
        <f t="array" aca="1" ref="C175" ca="1">IF(ISNUMBER(_xll.VoseSimPercentile(Loss,0.59)),_xll.VoseSimPercentile(Loss,0.59),NA())</f>
        <v>9.9304883751624136</v>
      </c>
    </row>
    <row r="176" spans="2:3" hidden="1" outlineLevel="1" x14ac:dyDescent="0.45">
      <c r="B176" s="69">
        <v>0.6</v>
      </c>
      <c r="C176" s="68" cm="1">
        <f t="array" aca="1" ref="C176" ca="1">IF(ISNUMBER(_xll.VoseSimPercentile(Loss,0.6)),_xll.VoseSimPercentile(Loss,0.6),NA())</f>
        <v>10.16649165295963</v>
      </c>
    </row>
    <row r="177" spans="2:3" hidden="1" outlineLevel="1" x14ac:dyDescent="0.45">
      <c r="B177" s="69">
        <v>0.61</v>
      </c>
      <c r="C177" s="68" cm="1">
        <f t="array" aca="1" ref="C177" ca="1">IF(ISNUMBER(_xll.VoseSimPercentile(Loss,0.61)),_xll.VoseSimPercentile(Loss,0.61),NA())</f>
        <v>10.398875899298638</v>
      </c>
    </row>
    <row r="178" spans="2:3" hidden="1" outlineLevel="1" x14ac:dyDescent="0.45">
      <c r="B178" s="69">
        <v>0.62</v>
      </c>
      <c r="C178" s="68" cm="1">
        <f t="array" aca="1" ref="C178" ca="1">IF(ISNUMBER(_xll.VoseSimPercentile(Loss,0.62)),_xll.VoseSimPercentile(Loss,0.62),NA())</f>
        <v>10.641165251424647</v>
      </c>
    </row>
    <row r="179" spans="2:3" hidden="1" outlineLevel="1" x14ac:dyDescent="0.45">
      <c r="B179" s="69">
        <v>0.63</v>
      </c>
      <c r="C179" s="68" cm="1">
        <f t="array" aca="1" ref="C179" ca="1">IF(ISNUMBER(_xll.VoseSimPercentile(Loss,0.63)),_xll.VoseSimPercentile(Loss,0.63),NA())</f>
        <v>10.921758923060292</v>
      </c>
    </row>
    <row r="180" spans="2:3" hidden="1" outlineLevel="1" x14ac:dyDescent="0.45">
      <c r="B180" s="69">
        <v>0.64</v>
      </c>
      <c r="C180" s="68" cm="1">
        <f t="array" aca="1" ref="C180" ca="1">IF(ISNUMBER(_xll.VoseSimPercentile(Loss,0.64)),_xll.VoseSimPercentile(Loss,0.64),NA())</f>
        <v>11.126258293074599</v>
      </c>
    </row>
    <row r="181" spans="2:3" hidden="1" outlineLevel="1" x14ac:dyDescent="0.45">
      <c r="B181" s="69">
        <v>0.65</v>
      </c>
      <c r="C181" s="68" cm="1">
        <f t="array" aca="1" ref="C181" ca="1">IF(ISNUMBER(_xll.VoseSimPercentile(Loss,0.65)),_xll.VoseSimPercentile(Loss,0.65),NA())</f>
        <v>11.371713993731481</v>
      </c>
    </row>
    <row r="182" spans="2:3" hidden="1" outlineLevel="1" x14ac:dyDescent="0.45">
      <c r="B182" s="69">
        <v>0.66</v>
      </c>
      <c r="C182" s="68" cm="1">
        <f t="array" aca="1" ref="C182" ca="1">IF(ISNUMBER(_xll.VoseSimPercentile(Loss,0.66)),_xll.VoseSimPercentile(Loss,0.66),NA())</f>
        <v>11.630066593209408</v>
      </c>
    </row>
    <row r="183" spans="2:3" hidden="1" outlineLevel="1" x14ac:dyDescent="0.45">
      <c r="B183" s="69">
        <v>0.67</v>
      </c>
      <c r="C183" s="68" cm="1">
        <f t="array" aca="1" ref="C183" ca="1">IF(ISNUMBER(_xll.VoseSimPercentile(Loss,0.67)),_xll.VoseSimPercentile(Loss,0.67),NA())</f>
        <v>11.90602361244548</v>
      </c>
    </row>
    <row r="184" spans="2:3" hidden="1" outlineLevel="1" x14ac:dyDescent="0.45">
      <c r="B184" s="69">
        <v>0.68</v>
      </c>
      <c r="C184" s="68" cm="1">
        <f t="array" aca="1" ref="C184" ca="1">IF(ISNUMBER(_xll.VoseSimPercentile(Loss,0.68)),_xll.VoseSimPercentile(Loss,0.68),NA())</f>
        <v>12.199599129960246</v>
      </c>
    </row>
    <row r="185" spans="2:3" hidden="1" outlineLevel="1" x14ac:dyDescent="0.45">
      <c r="B185" s="69">
        <v>0.69</v>
      </c>
      <c r="C185" s="68" cm="1">
        <f t="array" aca="1" ref="C185" ca="1">IF(ISNUMBER(_xll.VoseSimPercentile(Loss,0.69)),_xll.VoseSimPercentile(Loss,0.69),NA())</f>
        <v>12.507628953885035</v>
      </c>
    </row>
    <row r="186" spans="2:3" hidden="1" outlineLevel="1" x14ac:dyDescent="0.45">
      <c r="B186" s="69">
        <v>0.7</v>
      </c>
      <c r="C186" s="68" cm="1">
        <f t="array" aca="1" ref="C186" ca="1">IF(ISNUMBER(_xll.VoseSimPercentile(Loss,0.7)),_xll.VoseSimPercentile(Loss,0.7),NA())</f>
        <v>12.84509030328341</v>
      </c>
    </row>
    <row r="187" spans="2:3" hidden="1" outlineLevel="1" x14ac:dyDescent="0.45">
      <c r="B187" s="69">
        <v>0.71</v>
      </c>
      <c r="C187" s="68" cm="1">
        <f t="array" aca="1" ref="C187" ca="1">IF(ISNUMBER(_xll.VoseSimPercentile(Loss,0.71)),_xll.VoseSimPercentile(Loss,0.71),NA())</f>
        <v>13.157876716699217</v>
      </c>
    </row>
    <row r="188" spans="2:3" hidden="1" outlineLevel="1" x14ac:dyDescent="0.45">
      <c r="B188" s="69">
        <v>0.72</v>
      </c>
      <c r="C188" s="68" cm="1">
        <f t="array" aca="1" ref="C188" ca="1">IF(ISNUMBER(_xll.VoseSimPercentile(Loss,0.72)),_xll.VoseSimPercentile(Loss,0.72),NA())</f>
        <v>13.485254330392348</v>
      </c>
    </row>
    <row r="189" spans="2:3" hidden="1" outlineLevel="1" x14ac:dyDescent="0.45">
      <c r="B189" s="69">
        <v>0.73</v>
      </c>
      <c r="C189" s="68" cm="1">
        <f t="array" aca="1" ref="C189" ca="1">IF(ISNUMBER(_xll.VoseSimPercentile(Loss,0.73)),_xll.VoseSimPercentile(Loss,0.73),NA())</f>
        <v>13.790117293306045</v>
      </c>
    </row>
    <row r="190" spans="2:3" hidden="1" outlineLevel="1" x14ac:dyDescent="0.45">
      <c r="B190" s="69">
        <v>0.74</v>
      </c>
      <c r="C190" s="68" cm="1">
        <f t="array" aca="1" ref="C190" ca="1">IF(ISNUMBER(_xll.VoseSimPercentile(Loss,0.74)),_xll.VoseSimPercentile(Loss,0.74),NA())</f>
        <v>14.159655586119543</v>
      </c>
    </row>
    <row r="191" spans="2:3" hidden="1" outlineLevel="1" x14ac:dyDescent="0.45">
      <c r="B191" s="69">
        <v>0.75</v>
      </c>
      <c r="C191" s="68" cm="1">
        <f t="array" aca="1" ref="C191" ca="1">IF(ISNUMBER(_xll.VoseSimPercentile(Loss,0.75)),_xll.VoseSimPercentile(Loss,0.75),NA())</f>
        <v>14.507812338831751</v>
      </c>
    </row>
    <row r="192" spans="2:3" hidden="1" outlineLevel="1" x14ac:dyDescent="0.45">
      <c r="B192" s="69">
        <v>0.76</v>
      </c>
      <c r="C192" s="68" cm="1">
        <f t="array" aca="1" ref="C192" ca="1">IF(ISNUMBER(_xll.VoseSimPercentile(Loss,0.76)),_xll.VoseSimPercentile(Loss,0.76),NA())</f>
        <v>14.897576317618441</v>
      </c>
    </row>
    <row r="193" spans="2:3" hidden="1" outlineLevel="1" x14ac:dyDescent="0.45">
      <c r="B193" s="69">
        <v>0.77</v>
      </c>
      <c r="C193" s="68" cm="1">
        <f t="array" aca="1" ref="C193" ca="1">IF(ISNUMBER(_xll.VoseSimPercentile(Loss,0.77)),_xll.VoseSimPercentile(Loss,0.77),NA())</f>
        <v>15.319041124591227</v>
      </c>
    </row>
    <row r="194" spans="2:3" hidden="1" outlineLevel="1" x14ac:dyDescent="0.45">
      <c r="B194" s="69">
        <v>0.78</v>
      </c>
      <c r="C194" s="68" cm="1">
        <f t="array" aca="1" ref="C194" ca="1">IF(ISNUMBER(_xll.VoseSimPercentile(Loss,0.78)),_xll.VoseSimPercentile(Loss,0.78),NA())</f>
        <v>15.747369275262432</v>
      </c>
    </row>
    <row r="195" spans="2:3" hidden="1" outlineLevel="1" x14ac:dyDescent="0.45">
      <c r="B195" s="69">
        <v>0.79</v>
      </c>
      <c r="C195" s="68" cm="1">
        <f t="array" aca="1" ref="C195" ca="1">IF(ISNUMBER(_xll.VoseSimPercentile(Loss,0.79)),_xll.VoseSimPercentile(Loss,0.79),NA())</f>
        <v>16.232807556992935</v>
      </c>
    </row>
    <row r="196" spans="2:3" hidden="1" outlineLevel="1" x14ac:dyDescent="0.45">
      <c r="B196" s="69">
        <v>0.8</v>
      </c>
      <c r="C196" s="68" cm="1">
        <f t="array" aca="1" ref="C196" ca="1">IF(ISNUMBER(_xll.VoseSimPercentile(Loss,0.8)),_xll.VoseSimPercentile(Loss,0.8),NA())</f>
        <v>16.704404969083413</v>
      </c>
    </row>
    <row r="197" spans="2:3" hidden="1" outlineLevel="1" x14ac:dyDescent="0.45">
      <c r="B197" s="69">
        <v>0.81</v>
      </c>
      <c r="C197" s="68" cm="1">
        <f t="array" aca="1" ref="C197" ca="1">IF(ISNUMBER(_xll.VoseSimPercentile(Loss,0.81)),_xll.VoseSimPercentile(Loss,0.81),NA())</f>
        <v>17.24511942058232</v>
      </c>
    </row>
    <row r="198" spans="2:3" hidden="1" outlineLevel="1" x14ac:dyDescent="0.45">
      <c r="B198" s="69">
        <v>0.82</v>
      </c>
      <c r="C198" s="68" cm="1">
        <f t="array" aca="1" ref="C198" ca="1">IF(ISNUMBER(_xll.VoseSimPercentile(Loss,0.82)),_xll.VoseSimPercentile(Loss,0.82),NA())</f>
        <v>17.802321340219311</v>
      </c>
    </row>
    <row r="199" spans="2:3" hidden="1" outlineLevel="1" x14ac:dyDescent="0.45">
      <c r="B199" s="69">
        <v>0.83</v>
      </c>
      <c r="C199" s="68" cm="1">
        <f t="array" aca="1" ref="C199" ca="1">IF(ISNUMBER(_xll.VoseSimPercentile(Loss,0.83)),_xll.VoseSimPercentile(Loss,0.83),NA())</f>
        <v>18.295461139629651</v>
      </c>
    </row>
    <row r="200" spans="2:3" hidden="1" outlineLevel="1" x14ac:dyDescent="0.45">
      <c r="B200" s="69">
        <v>0.84</v>
      </c>
      <c r="C200" s="68" cm="1">
        <f t="array" aca="1" ref="C200" ca="1">IF(ISNUMBER(_xll.VoseSimPercentile(Loss,0.84)),_xll.VoseSimPercentile(Loss,0.84),NA())</f>
        <v>18.922851058039495</v>
      </c>
    </row>
    <row r="201" spans="2:3" hidden="1" outlineLevel="1" x14ac:dyDescent="0.45">
      <c r="B201" s="69">
        <v>0.85</v>
      </c>
      <c r="C201" s="68" cm="1">
        <f t="array" aca="1" ref="C201" ca="1">IF(ISNUMBER(_xll.VoseSimPercentile(Loss,0.85)),_xll.VoseSimPercentile(Loss,0.85),NA())</f>
        <v>19.392151495246232</v>
      </c>
    </row>
    <row r="202" spans="2:3" hidden="1" outlineLevel="1" x14ac:dyDescent="0.45">
      <c r="B202" s="69">
        <v>0.86</v>
      </c>
      <c r="C202" s="68" cm="1">
        <f t="array" aca="1" ref="C202" ca="1">IF(ISNUMBER(_xll.VoseSimPercentile(Loss,0.86)),_xll.VoseSimPercentile(Loss,0.86),NA())</f>
        <v>20.036118823734832</v>
      </c>
    </row>
    <row r="203" spans="2:3" hidden="1" outlineLevel="1" x14ac:dyDescent="0.45">
      <c r="B203" s="69">
        <v>0.87</v>
      </c>
      <c r="C203" s="68" cm="1">
        <f t="array" aca="1" ref="C203" ca="1">IF(ISNUMBER(_xll.VoseSimPercentile(Loss,0.87)),_xll.VoseSimPercentile(Loss,0.87),NA())</f>
        <v>20.801147873292166</v>
      </c>
    </row>
    <row r="204" spans="2:3" hidden="1" outlineLevel="1" x14ac:dyDescent="0.45">
      <c r="B204" s="69">
        <v>0.88</v>
      </c>
      <c r="C204" s="68" cm="1">
        <f t="array" aca="1" ref="C204" ca="1">IF(ISNUMBER(_xll.VoseSimPercentile(Loss,0.88)),_xll.VoseSimPercentile(Loss,0.88),NA())</f>
        <v>21.532285231797992</v>
      </c>
    </row>
    <row r="205" spans="2:3" hidden="1" outlineLevel="1" x14ac:dyDescent="0.45">
      <c r="B205" s="69">
        <v>0.89</v>
      </c>
      <c r="C205" s="68" cm="1">
        <f t="array" aca="1" ref="C205" ca="1">IF(ISNUMBER(_xll.VoseSimPercentile(Loss,0.89)),_xll.VoseSimPercentile(Loss,0.89),NA())</f>
        <v>22.430979966119981</v>
      </c>
    </row>
    <row r="206" spans="2:3" hidden="1" outlineLevel="1" x14ac:dyDescent="0.45">
      <c r="B206" s="69">
        <v>0.9</v>
      </c>
      <c r="C206" s="68" cm="1">
        <f t="array" aca="1" ref="C206" ca="1">IF(ISNUMBER(_xll.VoseSimPercentile(Loss,0.9)),_xll.VoseSimPercentile(Loss,0.9),NA())</f>
        <v>23.427666493475083</v>
      </c>
    </row>
    <row r="207" spans="2:3" hidden="1" outlineLevel="1" x14ac:dyDescent="0.45">
      <c r="B207" s="69">
        <v>0.91</v>
      </c>
      <c r="C207" s="68" cm="1">
        <f t="array" aca="1" ref="C207" ca="1">IF(ISNUMBER(_xll.VoseSimPercentile(Loss,0.91)),_xll.VoseSimPercentile(Loss,0.91),NA())</f>
        <v>24.314231436207422</v>
      </c>
    </row>
    <row r="208" spans="2:3" hidden="1" outlineLevel="1" x14ac:dyDescent="0.45">
      <c r="B208" s="69">
        <v>0.92</v>
      </c>
      <c r="C208" s="68" cm="1">
        <f t="array" aca="1" ref="C208" ca="1">IF(ISNUMBER(_xll.VoseSimPercentile(Loss,0.92)),_xll.VoseSimPercentile(Loss,0.92),NA())</f>
        <v>25.598825726406645</v>
      </c>
    </row>
    <row r="209" spans="2:7" hidden="1" outlineLevel="1" x14ac:dyDescent="0.45">
      <c r="B209" s="69">
        <v>0.93</v>
      </c>
      <c r="C209" s="68" cm="1">
        <f t="array" aca="1" ref="C209" ca="1">IF(ISNUMBER(_xll.VoseSimPercentile(Loss,0.93)),_xll.VoseSimPercentile(Loss,0.93),NA())</f>
        <v>26.796464810482135</v>
      </c>
    </row>
    <row r="210" spans="2:7" hidden="1" outlineLevel="1" x14ac:dyDescent="0.45">
      <c r="B210" s="69">
        <v>0.94</v>
      </c>
      <c r="C210" s="68" cm="1">
        <f t="array" aca="1" ref="C210" ca="1">IF(ISNUMBER(_xll.VoseSimPercentile(Loss,0.94)),_xll.VoseSimPercentile(Loss,0.94),NA())</f>
        <v>28.250978602494129</v>
      </c>
    </row>
    <row r="211" spans="2:7" hidden="1" outlineLevel="1" x14ac:dyDescent="0.45">
      <c r="B211" s="69">
        <v>0.95</v>
      </c>
      <c r="C211" s="68" cm="1">
        <f t="array" aca="1" ref="C211" ca="1">IF(ISNUMBER(_xll.VoseSimPercentile(Loss,0.95)),_xll.VoseSimPercentile(Loss,0.95),NA())</f>
        <v>30.130581140479421</v>
      </c>
    </row>
    <row r="212" spans="2:7" hidden="1" outlineLevel="1" x14ac:dyDescent="0.45">
      <c r="B212" s="69">
        <v>0.96</v>
      </c>
      <c r="C212" s="68" cm="1">
        <f t="array" aca="1" ref="C212" ca="1">IF(ISNUMBER(_xll.VoseSimPercentile(Loss,0.96)),_xll.VoseSimPercentile(Loss,0.96),NA())</f>
        <v>32.704513301456942</v>
      </c>
    </row>
    <row r="213" spans="2:7" hidden="1" outlineLevel="1" x14ac:dyDescent="0.45">
      <c r="B213" s="69">
        <v>0.97</v>
      </c>
      <c r="C213" s="68" cm="1">
        <f t="array" aca="1" ref="C213" ca="1">IF(ISNUMBER(_xll.VoseSimPercentile(Loss,0.97)),_xll.VoseSimPercentile(Loss,0.97),NA())</f>
        <v>35.810141864195359</v>
      </c>
    </row>
    <row r="214" spans="2:7" hidden="1" outlineLevel="1" x14ac:dyDescent="0.45">
      <c r="B214" s="69">
        <v>0.98</v>
      </c>
      <c r="C214" s="68" cm="1">
        <f t="array" aca="1" ref="C214" ca="1">IF(ISNUMBER(_xll.VoseSimPercentile(Loss,0.98)),_xll.VoseSimPercentile(Loss,0.98),NA())</f>
        <v>40.233840665309486</v>
      </c>
    </row>
    <row r="215" spans="2:7" hidden="1" outlineLevel="1" x14ac:dyDescent="0.45">
      <c r="B215" s="69">
        <v>0.99</v>
      </c>
      <c r="C215" s="68" cm="1">
        <f t="array" aca="1" ref="C215" ca="1">IF(ISNUMBER(_xll.VoseSimPercentile(Loss,0.99)),_xll.VoseSimPercentile(Loss,0.99),NA())</f>
        <v>47.346876746724703</v>
      </c>
    </row>
    <row r="216" spans="2:7" hidden="1" outlineLevel="1" x14ac:dyDescent="0.45">
      <c r="B216" s="69">
        <v>0.995</v>
      </c>
      <c r="C216" s="68" cm="1">
        <f t="array" aca="1" ref="C216" ca="1">IF(ISNUMBER(_xll.VoseSimPercentile(Loss,0.995)),_xll.VoseSimPercentile(Loss,0.995),NA())</f>
        <v>54.638547721848177</v>
      </c>
    </row>
    <row r="217" spans="2:7" hidden="1" outlineLevel="1" x14ac:dyDescent="0.45"/>
    <row r="218" spans="2:7" ht="18" hidden="1" customHeight="1" outlineLevel="1" x14ac:dyDescent="0.45">
      <c r="B218" s="23" t="s">
        <v>215</v>
      </c>
      <c r="C218" s="24" t="s">
        <v>216</v>
      </c>
      <c r="D218" s="24" t="s">
        <v>217</v>
      </c>
      <c r="E218" s="24" t="s">
        <v>218</v>
      </c>
      <c r="F218" s="24" t="s">
        <v>219</v>
      </c>
      <c r="G218" s="24" t="s">
        <v>220</v>
      </c>
    </row>
    <row r="219" spans="2:7" hidden="1" outlineLevel="1" x14ac:dyDescent="0.45">
      <c r="B219" s="70">
        <v>0</v>
      </c>
      <c r="C219" s="68">
        <f ca="1">IF(ISNUMBER($C$116),$C$116+($C$216-$C$116)*0/24,NA())</f>
        <v>0.28618923889946535</v>
      </c>
      <c r="D219" s="71">
        <f t="shared" ref="D219:D243" ca="1" si="2">IF(ISNUMBER(C219),MATCH(C219,$C$116:$C$216,1),NA())</f>
        <v>1</v>
      </c>
      <c r="E219" s="68">
        <f t="shared" ref="E219:E242" ca="1" si="3">IF(ISNUMBER(C219),(C219+C220)/2,NA())</f>
        <v>1.4185300406275634</v>
      </c>
      <c r="F219" s="69">
        <f t="shared" ref="F219:F242" ca="1" si="4">IF(ISNUMBER(G220),G220-G219,NA())</f>
        <v>0.11383643723322869</v>
      </c>
      <c r="G219" s="69" cm="1">
        <f t="array" aca="1" ref="G219" ca="1">IF(ISNUMBER(D219),IF(D219&gt;=101,INDEX($B$116:$B$216,101),INDEX($B$116:$B$216,D219)+(C219-INDEX($C$116:$C$216,D219))/MAX(0.000000000001,INDEX($C$116:$C$216,D219+1)-INDEX($C$116:$C$216,D219))*(INDEX($B$116:$B$216,D219+1)-INDEX($B$116:$B$216,D219))),NA())</f>
        <v>5.0000000000000001E-3</v>
      </c>
    </row>
    <row r="220" spans="2:7" hidden="1" outlineLevel="1" x14ac:dyDescent="0.45">
      <c r="B220" s="70">
        <v>1</v>
      </c>
      <c r="C220" s="68">
        <f ca="1">IF(ISNUMBER($C$116),$C$116+($C$216-$C$116)*1/24,NA())</f>
        <v>2.5508708423556614</v>
      </c>
      <c r="D220" s="71">
        <f t="shared" ca="1" si="2"/>
        <v>12</v>
      </c>
      <c r="E220" s="68">
        <f t="shared" ca="1" si="3"/>
        <v>3.6832116440837592</v>
      </c>
      <c r="F220" s="69">
        <f t="shared" ca="1" si="4"/>
        <v>0.16948082615233123</v>
      </c>
      <c r="G220" s="69" cm="1">
        <f t="array" aca="1" ref="G220" ca="1">IF(ISNUMBER(D220),IF(D220&gt;=101,INDEX($B$116:$B$216,101),INDEX($B$116:$B$216,D220)+(C220-INDEX($C$116:$C$216,D220))/MAX(0.000000000001,INDEX($C$116:$C$216,D220+1)-INDEX($C$116:$C$216,D220))*(INDEX($B$116:$B$216,D220+1)-INDEX($B$116:$B$216,D220))),NA())</f>
        <v>0.11883643723322869</v>
      </c>
    </row>
    <row r="221" spans="2:7" hidden="1" outlineLevel="1" x14ac:dyDescent="0.45">
      <c r="B221" s="70">
        <v>2</v>
      </c>
      <c r="C221" s="68">
        <f ca="1">IF(ISNUMBER($C$116),$C$116+($C$216-$C$116)*2/24,NA())</f>
        <v>4.815552445811857</v>
      </c>
      <c r="D221" s="71">
        <f t="shared" ca="1" si="2"/>
        <v>29</v>
      </c>
      <c r="E221" s="68">
        <f t="shared" ca="1" si="3"/>
        <v>5.9478932475399553</v>
      </c>
      <c r="F221" s="69">
        <f t="shared" ca="1" si="4"/>
        <v>0.14628920305025933</v>
      </c>
      <c r="G221" s="69" cm="1">
        <f t="array" aca="1" ref="G221" ca="1">IF(ISNUMBER(D221),IF(D221&gt;=101,INDEX($B$116:$B$216,101),INDEX($B$116:$B$216,D221)+(C221-INDEX($C$116:$C$216,D221))/MAX(0.000000000001,INDEX($C$116:$C$216,D221+1)-INDEX($C$116:$C$216,D221))*(INDEX($B$116:$B$216,D221+1)-INDEX($B$116:$B$216,D221))),NA())</f>
        <v>0.28831726338555991</v>
      </c>
    </row>
    <row r="222" spans="2:7" hidden="1" outlineLevel="1" x14ac:dyDescent="0.45">
      <c r="B222" s="70">
        <v>3</v>
      </c>
      <c r="C222" s="68">
        <f ca="1">IF(ISNUMBER($C$116),$C$116+($C$216-$C$116)*3/24,NA())</f>
        <v>7.0802340492680536</v>
      </c>
      <c r="D222" s="71">
        <f t="shared" ca="1" si="2"/>
        <v>44</v>
      </c>
      <c r="E222" s="68">
        <f t="shared" ca="1" si="3"/>
        <v>8.2125748509961518</v>
      </c>
      <c r="F222" s="69">
        <f t="shared" ca="1" si="4"/>
        <v>0.12654731471235769</v>
      </c>
      <c r="G222" s="69" cm="1">
        <f t="array" aca="1" ref="G222" ca="1">IF(ISNUMBER(D222),IF(D222&gt;=101,INDEX($B$116:$B$216,101),INDEX($B$116:$B$216,D222)+(C222-INDEX($C$116:$C$216,D222))/MAX(0.000000000001,INDEX($C$116:$C$216,D222+1)-INDEX($C$116:$C$216,D222))*(INDEX($B$116:$B$216,D222+1)-INDEX($B$116:$B$216,D222))),NA())</f>
        <v>0.43460646643581924</v>
      </c>
    </row>
    <row r="223" spans="2:7" hidden="1" outlineLevel="1" x14ac:dyDescent="0.45">
      <c r="B223" s="70">
        <v>4</v>
      </c>
      <c r="C223" s="68">
        <f ca="1">IF(ISNUMBER($C$116),$C$116+($C$216-$C$116)*4/24,NA())</f>
        <v>9.3449156527242501</v>
      </c>
      <c r="D223" s="71">
        <f t="shared" ca="1" si="2"/>
        <v>57</v>
      </c>
      <c r="E223" s="68">
        <f t="shared" ca="1" si="3"/>
        <v>10.477256454452348</v>
      </c>
      <c r="F223" s="69">
        <f t="shared" ca="1" si="4"/>
        <v>9.8053916507262806E-2</v>
      </c>
      <c r="G223" s="69" cm="1">
        <f t="array" aca="1" ref="G223" ca="1">IF(ISNUMBER(D223),IF(D223&gt;=101,INDEX($B$116:$B$216,101),INDEX($B$116:$B$216,D223)+(C223-INDEX($C$116:$C$216,D223))/MAX(0.000000000001,INDEX($C$116:$C$216,D223+1)-INDEX($C$116:$C$216,D223))*(INDEX($B$116:$B$216,D223+1)-INDEX($B$116:$B$216,D223))),NA())</f>
        <v>0.56115378114817693</v>
      </c>
    </row>
    <row r="224" spans="2:7" hidden="1" outlineLevel="1" x14ac:dyDescent="0.45">
      <c r="B224" s="70">
        <v>5</v>
      </c>
      <c r="C224" s="68">
        <f ca="1">IF(ISNUMBER($C$116),$C$116+($C$216-$C$116)*5/24,NA())</f>
        <v>11.609597256180447</v>
      </c>
      <c r="D224" s="71">
        <f t="shared" ca="1" si="2"/>
        <v>66</v>
      </c>
      <c r="E224" s="68">
        <f t="shared" ca="1" si="3"/>
        <v>12.741938057908545</v>
      </c>
      <c r="F224" s="69">
        <f t="shared" ca="1" si="4"/>
        <v>7.3069781240991505E-2</v>
      </c>
      <c r="G224" s="69" cm="1">
        <f t="array" aca="1" ref="G224" ca="1">IF(ISNUMBER(D224),IF(D224&gt;=101,INDEX($B$116:$B$216,101),INDEX($B$116:$B$216,D224)+(C224-INDEX($C$116:$C$216,D224))/MAX(0.000000000001,INDEX($C$116:$C$216,D224+1)-INDEX($C$116:$C$216,D224))*(INDEX($B$116:$B$216,D224+1)-INDEX($B$116:$B$216,D224))),NA())</f>
        <v>0.65920769765543974</v>
      </c>
    </row>
    <row r="225" spans="2:7" hidden="1" outlineLevel="1" x14ac:dyDescent="0.45">
      <c r="B225" s="70">
        <v>6</v>
      </c>
      <c r="C225" s="68">
        <f ca="1">IF(ISNUMBER($C$116),$C$116+($C$216-$C$116)*6/24,NA())</f>
        <v>13.874278859636643</v>
      </c>
      <c r="D225" s="71">
        <f t="shared" ca="1" si="2"/>
        <v>74</v>
      </c>
      <c r="E225" s="68">
        <f t="shared" ca="1" si="3"/>
        <v>15.006619661364741</v>
      </c>
      <c r="F225" s="69">
        <f t="shared" ca="1" si="4"/>
        <v>5.5789276499011664E-2</v>
      </c>
      <c r="G225" s="69" cm="1">
        <f t="array" aca="1" ref="G225" ca="1">IF(ISNUMBER(D225),IF(D225&gt;=101,INDEX($B$116:$B$216,101),INDEX($B$116:$B$216,D225)+(C225-INDEX($C$116:$C$216,D225))/MAX(0.000000000001,INDEX($C$116:$C$216,D225+1)-INDEX($C$116:$C$216,D225))*(INDEX($B$116:$B$216,D225+1)-INDEX($B$116:$B$216,D225))),NA())</f>
        <v>0.73227747889643124</v>
      </c>
    </row>
    <row r="226" spans="2:7" hidden="1" outlineLevel="1" x14ac:dyDescent="0.45">
      <c r="B226" s="70">
        <v>7</v>
      </c>
      <c r="C226" s="68">
        <f ca="1">IF(ISNUMBER($C$116),$C$116+($C$216-$C$116)*7/24,NA())</f>
        <v>16.13896046309284</v>
      </c>
      <c r="D226" s="71">
        <f t="shared" ca="1" si="2"/>
        <v>79</v>
      </c>
      <c r="E226" s="68">
        <f t="shared" ca="1" si="3"/>
        <v>17.271301264820934</v>
      </c>
      <c r="F226" s="69">
        <f t="shared" ca="1" si="4"/>
        <v>4.365754593208826E-2</v>
      </c>
      <c r="G226" s="69" cm="1">
        <f t="array" aca="1" ref="G226" ca="1">IF(ISNUMBER(D226),IF(D226&gt;=101,INDEX($B$116:$B$216,101),INDEX($B$116:$B$216,D226)+(C226-INDEX($C$116:$C$216,D226))/MAX(0.000000000001,INDEX($C$116:$C$216,D226+1)-INDEX($C$116:$C$216,D226))*(INDEX($B$116:$B$216,D226+1)-INDEX($B$116:$B$216,D226))),NA())</f>
        <v>0.78806675539544291</v>
      </c>
    </row>
    <row r="227" spans="2:7" hidden="1" outlineLevel="1" x14ac:dyDescent="0.45">
      <c r="B227" s="70">
        <v>8</v>
      </c>
      <c r="C227" s="68">
        <f ca="1">IF(ISNUMBER($C$116),$C$116+($C$216-$C$116)*8/24,NA())</f>
        <v>18.403642066549033</v>
      </c>
      <c r="D227" s="71">
        <f t="shared" ca="1" si="2"/>
        <v>84</v>
      </c>
      <c r="E227" s="68">
        <f t="shared" ca="1" si="3"/>
        <v>19.535982868277131</v>
      </c>
      <c r="F227" s="69">
        <f t="shared" ca="1" si="4"/>
        <v>3.6539500506349576E-2</v>
      </c>
      <c r="G227" s="69" cm="1">
        <f t="array" aca="1" ref="G227" ca="1">IF(ISNUMBER(D227),IF(D227&gt;=101,INDEX($B$116:$B$216,101),INDEX($B$116:$B$216,D227)+(C227-INDEX($C$116:$C$216,D227))/MAX(0.000000000001,INDEX($C$116:$C$216,D227+1)-INDEX($C$116:$C$216,D227))*(INDEX($B$116:$B$216,D227+1)-INDEX($B$116:$B$216,D227))),NA())</f>
        <v>0.83172430132753117</v>
      </c>
    </row>
    <row r="228" spans="2:7" hidden="1" outlineLevel="1" x14ac:dyDescent="0.45">
      <c r="B228" s="70">
        <v>9</v>
      </c>
      <c r="C228" s="68">
        <f ca="1">IF(ISNUMBER($C$116),$C$116+($C$216-$C$116)*9/24,NA())</f>
        <v>20.668323670005229</v>
      </c>
      <c r="D228" s="71">
        <f t="shared" ca="1" si="2"/>
        <v>87</v>
      </c>
      <c r="E228" s="68">
        <f t="shared" ca="1" si="3"/>
        <v>21.800664471733327</v>
      </c>
      <c r="F228" s="69">
        <f t="shared" ca="1" si="4"/>
        <v>2.6773141011867008E-2</v>
      </c>
      <c r="G228" s="69" cm="1">
        <f t="array" aca="1" ref="G228" ca="1">IF(ISNUMBER(D228),IF(D228&gt;=101,INDEX($B$116:$B$216,101),INDEX($B$116:$B$216,D228)+(C228-INDEX($C$116:$C$216,D228))/MAX(0.000000000001,INDEX($C$116:$C$216,D228+1)-INDEX($C$116:$C$216,D228))*(INDEX($B$116:$B$216,D228+1)-INDEX($B$116:$B$216,D228))),NA())</f>
        <v>0.86826380183388074</v>
      </c>
    </row>
    <row r="229" spans="2:7" hidden="1" outlineLevel="1" x14ac:dyDescent="0.45">
      <c r="B229" s="70">
        <v>10</v>
      </c>
      <c r="C229" s="68">
        <f ca="1">IF(ISNUMBER($C$116),$C$116+($C$216-$C$116)*10/24,NA())</f>
        <v>22.933005273461426</v>
      </c>
      <c r="D229" s="71">
        <f t="shared" ca="1" si="2"/>
        <v>90</v>
      </c>
      <c r="E229" s="68">
        <f t="shared" ca="1" si="3"/>
        <v>24.065346075189524</v>
      </c>
      <c r="F229" s="69">
        <f t="shared" ca="1" si="4"/>
        <v>2.1840368126677556E-2</v>
      </c>
      <c r="G229" s="69" cm="1">
        <f t="array" aca="1" ref="G229" ca="1">IF(ISNUMBER(D229),IF(D229&gt;=101,INDEX($B$116:$B$216,101),INDEX($B$116:$B$216,D229)+(C229-INDEX($C$116:$C$216,D229))/MAX(0.000000000001,INDEX($C$116:$C$216,D229+1)-INDEX($C$116:$C$216,D229))*(INDEX($B$116:$B$216,D229+1)-INDEX($B$116:$B$216,D229))),NA())</f>
        <v>0.89503694284574775</v>
      </c>
    </row>
    <row r="230" spans="2:7" hidden="1" outlineLevel="1" x14ac:dyDescent="0.45">
      <c r="B230" s="70">
        <v>11</v>
      </c>
      <c r="C230" s="68">
        <f ca="1">IF(ISNUMBER($C$116),$C$116+($C$216-$C$116)*11/24,NA())</f>
        <v>25.197686876917622</v>
      </c>
      <c r="D230" s="71">
        <f t="shared" ca="1" si="2"/>
        <v>92</v>
      </c>
      <c r="E230" s="68">
        <f t="shared" ca="1" si="3"/>
        <v>26.33002767864572</v>
      </c>
      <c r="F230" s="69">
        <f t="shared" ca="1" si="4"/>
        <v>1.7700876416025357E-2</v>
      </c>
      <c r="G230" s="69" cm="1">
        <f t="array" aca="1" ref="G230" ca="1">IF(ISNUMBER(D230),IF(D230&gt;=101,INDEX($B$116:$B$216,101),INDEX($B$116:$B$216,D230)+(C230-INDEX($C$116:$C$216,D230))/MAX(0.000000000001,INDEX($C$116:$C$216,D230+1)-INDEX($C$116:$C$216,D230))*(INDEX($B$116:$B$216,D230+1)-INDEX($B$116:$B$216,D230))),NA())</f>
        <v>0.91687731097242531</v>
      </c>
    </row>
    <row r="231" spans="2:7" hidden="1" outlineLevel="1" x14ac:dyDescent="0.45">
      <c r="B231" s="70">
        <v>12</v>
      </c>
      <c r="C231" s="68">
        <f ca="1">IF(ISNUMBER($C$116),$C$116+($C$216-$C$116)*12/24,NA())</f>
        <v>27.462368480373819</v>
      </c>
      <c r="D231" s="71">
        <f t="shared" ca="1" si="2"/>
        <v>94</v>
      </c>
      <c r="E231" s="68">
        <f t="shared" ca="1" si="3"/>
        <v>28.594709282101917</v>
      </c>
      <c r="F231" s="69">
        <f t="shared" ca="1" si="4"/>
        <v>1.3274916932838665E-2</v>
      </c>
      <c r="G231" s="69" cm="1">
        <f t="array" aca="1" ref="G231" ca="1">IF(ISNUMBER(D231),IF(D231&gt;=101,INDEX($B$116:$B$216,101),INDEX($B$116:$B$216,D231)+(C231-INDEX($C$116:$C$216,D231))/MAX(0.000000000001,INDEX($C$116:$C$216,D231+1)-INDEX($C$116:$C$216,D231))*(INDEX($B$116:$B$216,D231+1)-INDEX($B$116:$B$216,D231))),NA())</f>
        <v>0.93457818738845067</v>
      </c>
    </row>
    <row r="232" spans="2:7" hidden="1" outlineLevel="1" x14ac:dyDescent="0.45">
      <c r="B232" s="70">
        <v>13</v>
      </c>
      <c r="C232" s="68">
        <f ca="1">IF(ISNUMBER($C$116),$C$116+($C$216-$C$116)*13/24,NA())</f>
        <v>29.727050083830015</v>
      </c>
      <c r="D232" s="71">
        <f t="shared" ca="1" si="2"/>
        <v>95</v>
      </c>
      <c r="E232" s="68">
        <f t="shared" ca="1" si="3"/>
        <v>30.859390885558113</v>
      </c>
      <c r="F232" s="69">
        <f t="shared" ca="1" si="4"/>
        <v>9.3776633540325616E-3</v>
      </c>
      <c r="G232" s="69" cm="1">
        <f t="array" aca="1" ref="G232" ca="1">IF(ISNUMBER(D232),IF(D232&gt;=101,INDEX($B$116:$B$216,101),INDEX($B$116:$B$216,D232)+(C232-INDEX($C$116:$C$216,D232))/MAX(0.000000000001,INDEX($C$116:$C$216,D232+1)-INDEX($C$116:$C$216,D232))*(INDEX($B$116:$B$216,D232+1)-INDEX($B$116:$B$216,D232))),NA())</f>
        <v>0.94785310432128933</v>
      </c>
    </row>
    <row r="233" spans="2:7" hidden="1" outlineLevel="1" x14ac:dyDescent="0.45">
      <c r="B233" s="70">
        <v>14</v>
      </c>
      <c r="C233" s="68">
        <f ca="1">IF(ISNUMBER($C$116),$C$116+($C$216-$C$116)*14/24,NA())</f>
        <v>31.991731687286212</v>
      </c>
      <c r="D233" s="71">
        <f t="shared" ca="1" si="2"/>
        <v>96</v>
      </c>
      <c r="E233" s="68">
        <f t="shared" ca="1" si="3"/>
        <v>33.12407248901431</v>
      </c>
      <c r="F233" s="69">
        <f t="shared" ca="1" si="4"/>
        <v>7.7662883406656169E-3</v>
      </c>
      <c r="G233" s="69" cm="1">
        <f t="array" aca="1" ref="G233" ca="1">IF(ISNUMBER(D233),IF(D233&gt;=101,INDEX($B$116:$B$216,101),INDEX($B$116:$B$216,D233)+(C233-INDEX($C$116:$C$216,D233))/MAX(0.000000000001,INDEX($C$116:$C$216,D233+1)-INDEX($C$116:$C$216,D233))*(INDEX($B$116:$B$216,D233+1)-INDEX($B$116:$B$216,D233))),NA())</f>
        <v>0.95723076767532189</v>
      </c>
    </row>
    <row r="234" spans="2:7" hidden="1" outlineLevel="1" x14ac:dyDescent="0.45">
      <c r="B234" s="70">
        <v>15</v>
      </c>
      <c r="C234" s="68">
        <f ca="1">IF(ISNUMBER($C$116),$C$116+($C$216-$C$116)*15/24,NA())</f>
        <v>34.256413290742408</v>
      </c>
      <c r="D234" s="71">
        <f t="shared" ca="1" si="2"/>
        <v>97</v>
      </c>
      <c r="E234" s="68">
        <f t="shared" ca="1" si="3"/>
        <v>35.388754092470506</v>
      </c>
      <c r="F234" s="69">
        <f t="shared" ca="1" si="4"/>
        <v>6.6100900894936476E-3</v>
      </c>
      <c r="G234" s="69" cm="1">
        <f t="array" aca="1" ref="G234" ca="1">IF(ISNUMBER(D234),IF(D234&gt;=101,INDEX($B$116:$B$216,101),INDEX($B$116:$B$216,D234)+(C234-INDEX($C$116:$C$216,D234))/MAX(0.000000000001,INDEX($C$116:$C$216,D234+1)-INDEX($C$116:$C$216,D234))*(INDEX($B$116:$B$216,D234+1)-INDEX($B$116:$B$216,D234))),NA())</f>
        <v>0.96499705601598751</v>
      </c>
    </row>
    <row r="235" spans="2:7" hidden="1" outlineLevel="1" x14ac:dyDescent="0.45">
      <c r="B235" s="70">
        <v>16</v>
      </c>
      <c r="C235" s="68">
        <f ca="1">IF(ISNUMBER($C$116),$C$116+($C$216-$C$116)*16/24,NA())</f>
        <v>36.521094894198605</v>
      </c>
      <c r="D235" s="71">
        <f t="shared" ca="1" si="2"/>
        <v>98</v>
      </c>
      <c r="E235" s="68">
        <f t="shared" ca="1" si="3"/>
        <v>37.653435695926703</v>
      </c>
      <c r="F235" s="69">
        <f t="shared" ca="1" si="4"/>
        <v>5.1194299279277988E-3</v>
      </c>
      <c r="G235" s="69" cm="1">
        <f t="array" aca="1" ref="G235" ca="1">IF(ISNUMBER(D235),IF(D235&gt;=101,INDEX($B$116:$B$216,101),INDEX($B$116:$B$216,D235)+(C235-INDEX($C$116:$C$216,D235))/MAX(0.000000000001,INDEX($C$116:$C$216,D235+1)-INDEX($C$116:$C$216,D235))*(INDEX($B$116:$B$216,D235+1)-INDEX($B$116:$B$216,D235))),NA())</f>
        <v>0.97160714610548116</v>
      </c>
    </row>
    <row r="236" spans="2:7" hidden="1" outlineLevel="1" x14ac:dyDescent="0.45">
      <c r="B236" s="70">
        <v>17</v>
      </c>
      <c r="C236" s="68">
        <f ca="1">IF(ISNUMBER($C$116),$C$116+($C$216-$C$116)*17/24,NA())</f>
        <v>38.785776497654801</v>
      </c>
      <c r="D236" s="71">
        <f t="shared" ca="1" si="2"/>
        <v>98</v>
      </c>
      <c r="E236" s="68">
        <f t="shared" ca="1" si="3"/>
        <v>39.918117299382899</v>
      </c>
      <c r="F236" s="69">
        <f t="shared" ca="1" si="4"/>
        <v>4.4214814577306916E-3</v>
      </c>
      <c r="G236" s="69" cm="1">
        <f t="array" aca="1" ref="G236" ca="1">IF(ISNUMBER(D236),IF(D236&gt;=101,INDEX($B$116:$B$216,101),INDEX($B$116:$B$216,D236)+(C236-INDEX($C$116:$C$216,D236))/MAX(0.000000000001,INDEX($C$116:$C$216,D236+1)-INDEX($C$116:$C$216,D236))*(INDEX($B$116:$B$216,D236+1)-INDEX($B$116:$B$216,D236))),NA())</f>
        <v>0.97672657603340896</v>
      </c>
    </row>
    <row r="237" spans="2:7" hidden="1" outlineLevel="1" x14ac:dyDescent="0.45">
      <c r="B237" s="70">
        <v>18</v>
      </c>
      <c r="C237" s="68">
        <f ca="1">IF(ISNUMBER($C$116),$C$116+($C$216-$C$116)*18/24,NA())</f>
        <v>41.050458101110998</v>
      </c>
      <c r="D237" s="71">
        <f t="shared" ca="1" si="2"/>
        <v>99</v>
      </c>
      <c r="E237" s="68">
        <f t="shared" ca="1" si="3"/>
        <v>42.182798902839096</v>
      </c>
      <c r="F237" s="69">
        <f t="shared" ca="1" si="4"/>
        <v>3.1838466409207511E-3</v>
      </c>
      <c r="G237" s="69" cm="1">
        <f t="array" aca="1" ref="G237" ca="1">IF(ISNUMBER(D237),IF(D237&gt;=101,INDEX($B$116:$B$216,101),INDEX($B$116:$B$216,D237)+(C237-INDEX($C$116:$C$216,D237))/MAX(0.000000000001,INDEX($C$116:$C$216,D237+1)-INDEX($C$116:$C$216,D237))*(INDEX($B$116:$B$216,D237+1)-INDEX($B$116:$B$216,D237))),NA())</f>
        <v>0.98114805749113965</v>
      </c>
    </row>
    <row r="238" spans="2:7" hidden="1" outlineLevel="1" x14ac:dyDescent="0.45">
      <c r="B238" s="70">
        <v>19</v>
      </c>
      <c r="C238" s="68">
        <f ca="1">IF(ISNUMBER($C$116),$C$116+($C$216-$C$116)*19/24,NA())</f>
        <v>43.315139704567194</v>
      </c>
      <c r="D238" s="71">
        <f t="shared" ca="1" si="2"/>
        <v>99</v>
      </c>
      <c r="E238" s="68">
        <f t="shared" ca="1" si="3"/>
        <v>44.447480506295292</v>
      </c>
      <c r="F238" s="69">
        <f t="shared" ca="1" si="4"/>
        <v>3.1838466409207511E-3</v>
      </c>
      <c r="G238" s="69" cm="1">
        <f t="array" aca="1" ref="G238" ca="1">IF(ISNUMBER(D238),IF(D238&gt;=101,INDEX($B$116:$B$216,101),INDEX($B$116:$B$216,D238)+(C238-INDEX($C$116:$C$216,D238))/MAX(0.000000000001,INDEX($C$116:$C$216,D238+1)-INDEX($C$116:$C$216,D238))*(INDEX($B$116:$B$216,D238+1)-INDEX($B$116:$B$216,D238))),NA())</f>
        <v>0.9843319041320604</v>
      </c>
    </row>
    <row r="239" spans="2:7" hidden="1" outlineLevel="1" x14ac:dyDescent="0.45">
      <c r="B239" s="70">
        <v>20</v>
      </c>
      <c r="C239" s="68">
        <f ca="1">IF(ISNUMBER($C$116),$C$116+($C$216-$C$116)*20/24,NA())</f>
        <v>45.579821308023391</v>
      </c>
      <c r="D239" s="71">
        <f t="shared" ca="1" si="2"/>
        <v>99</v>
      </c>
      <c r="E239" s="68">
        <f t="shared" ca="1" si="3"/>
        <v>46.712162109751489</v>
      </c>
      <c r="F239" s="69">
        <f t="shared" ca="1" si="4"/>
        <v>2.8254783955130591E-3</v>
      </c>
      <c r="G239" s="69" cm="1">
        <f t="array" aca="1" ref="G239" ca="1">IF(ISNUMBER(D239),IF(D239&gt;=101,INDEX($B$116:$B$216,101),INDEX($B$116:$B$216,D239)+(C239-INDEX($C$116:$C$216,D239))/MAX(0.000000000001,INDEX($C$116:$C$216,D239+1)-INDEX($C$116:$C$216,D239))*(INDEX($B$116:$B$216,D239+1)-INDEX($B$116:$B$216,D239))),NA())</f>
        <v>0.98751575077298115</v>
      </c>
    </row>
    <row r="240" spans="2:7" hidden="1" outlineLevel="1" x14ac:dyDescent="0.45">
      <c r="B240" s="70">
        <v>21</v>
      </c>
      <c r="C240" s="68">
        <f ca="1">IF(ISNUMBER($C$116),$C$116+($C$216-$C$116)*21/24,NA())</f>
        <v>47.844502911479587</v>
      </c>
      <c r="D240" s="71">
        <f t="shared" ca="1" si="2"/>
        <v>100</v>
      </c>
      <c r="E240" s="68">
        <f t="shared" ca="1" si="3"/>
        <v>48.976843713207685</v>
      </c>
      <c r="F240" s="69">
        <f t="shared" ca="1" si="4"/>
        <v>1.5529236105018551E-3</v>
      </c>
      <c r="G240" s="69" cm="1">
        <f t="array" aca="1" ref="G240" ca="1">IF(ISNUMBER(D240),IF(D240&gt;=101,INDEX($B$116:$B$216,101),INDEX($B$116:$B$216,D240)+(C240-INDEX($C$116:$C$216,D240))/MAX(0.000000000001,INDEX($C$116:$C$216,D240+1)-INDEX($C$116:$C$216,D240))*(INDEX($B$116:$B$216,D240+1)-INDEX($B$116:$B$216,D240))),NA())</f>
        <v>0.99034122916849421</v>
      </c>
    </row>
    <row r="241" spans="2:7" hidden="1" outlineLevel="1" x14ac:dyDescent="0.45">
      <c r="B241" s="70">
        <v>22</v>
      </c>
      <c r="C241" s="68">
        <f ca="1">IF(ISNUMBER($C$116),$C$116+($C$216-$C$116)*22/24,NA())</f>
        <v>50.109184514935784</v>
      </c>
      <c r="D241" s="71">
        <f t="shared" ca="1" si="2"/>
        <v>100</v>
      </c>
      <c r="E241" s="68">
        <f t="shared" ca="1" si="3"/>
        <v>51.241525316663882</v>
      </c>
      <c r="F241" s="69">
        <f t="shared" ca="1" si="4"/>
        <v>1.5529236105019661E-3</v>
      </c>
      <c r="G241" s="69" cm="1">
        <f t="array" aca="1" ref="G241" ca="1">IF(ISNUMBER(D241),IF(D241&gt;=101,INDEX($B$116:$B$216,101),INDEX($B$116:$B$216,D241)+(C241-INDEX($C$116:$C$216,D241))/MAX(0.000000000001,INDEX($C$116:$C$216,D241+1)-INDEX($C$116:$C$216,D241))*(INDEX($B$116:$B$216,D241+1)-INDEX($B$116:$B$216,D241))),NA())</f>
        <v>0.99189415277899606</v>
      </c>
    </row>
    <row r="242" spans="2:7" hidden="1" outlineLevel="1" x14ac:dyDescent="0.45">
      <c r="B242" s="70">
        <v>23</v>
      </c>
      <c r="C242" s="68">
        <f ca="1">IF(ISNUMBER($C$116),$C$116+($C$216-$C$116)*23/24,NA())</f>
        <v>52.37386611839198</v>
      </c>
      <c r="D242" s="71">
        <f t="shared" ca="1" si="2"/>
        <v>100</v>
      </c>
      <c r="E242" s="68">
        <f t="shared" ca="1" si="3"/>
        <v>53.506206920120079</v>
      </c>
      <c r="F242" s="69">
        <f t="shared" ca="1" si="4"/>
        <v>1.5529236105019661E-3</v>
      </c>
      <c r="G242" s="69" cm="1">
        <f t="array" aca="1" ref="G242" ca="1">IF(ISNUMBER(D242),IF(D242&gt;=101,INDEX($B$116:$B$216,101),INDEX($B$116:$B$216,D242)+(C242-INDEX($C$116:$C$216,D242))/MAX(0.000000000001,INDEX($C$116:$C$216,D242+1)-INDEX($C$116:$C$216,D242))*(INDEX($B$116:$B$216,D242+1)-INDEX($B$116:$B$216,D242))),NA())</f>
        <v>0.99344707638949803</v>
      </c>
    </row>
    <row r="243" spans="2:7" hidden="1" outlineLevel="1" x14ac:dyDescent="0.45">
      <c r="B243" s="70">
        <v>24</v>
      </c>
      <c r="C243" s="68">
        <f ca="1">IF(ISNUMBER($C$116),$C$116+($C$216-$C$116)*24/24,NA())</f>
        <v>54.638547721848177</v>
      </c>
      <c r="D243" s="71">
        <f t="shared" ca="1" si="2"/>
        <v>101</v>
      </c>
      <c r="G243" s="69" cm="1">
        <f t="array" aca="1" ref="G243" ca="1">IF(ISNUMBER(D243),IF(D243&gt;=101,INDEX($B$116:$B$216,101),INDEX($B$116:$B$216,D243)+(C243-INDEX($C$116:$C$216,D243))/MAX(0.000000000001,INDEX($C$116:$C$216,D243+1)-INDEX($C$116:$C$216,D243))*(INDEX($B$116:$B$216,D243+1)-INDEX($B$116:$B$216,D243))),NA())</f>
        <v>0.995</v>
      </c>
    </row>
  </sheetData>
  <mergeCells count="4">
    <mergeCell ref="B58:G58"/>
    <mergeCell ref="B56:G56"/>
    <mergeCell ref="B55:G55"/>
    <mergeCell ref="B57:G57"/>
  </mergeCells>
  <conditionalFormatting sqref="B7">
    <cfRule type="expression" dxfId="5" priority="2">
      <formula>LEFT($B$7,1)="✗"</formula>
    </cfRule>
  </conditionalFormatting>
  <conditionalFormatting sqref="B6:G6">
    <cfRule type="expression" dxfId="4" priority="1">
      <formula>LEFT($B$6,1)&lt;&gt;"✔"</formula>
    </cfRule>
  </conditionalFormatting>
  <conditionalFormatting sqref="C116:G243">
    <cfRule type="expression" dxfId="3" priority="6">
      <formula>ISNA($C$116)</formula>
    </cfRule>
  </conditionalFormatting>
  <conditionalFormatting sqref="D25">
    <cfRule type="expression" dxfId="2" priority="3">
      <formula>AND(ISNUMBER($D$24),$D$24&gt;=0)</formula>
    </cfRule>
    <cfRule type="expression" dxfId="1" priority="4">
      <formula>AND(ISNUMBER($D$24),NOT($D$24&gt;=0))</formula>
    </cfRule>
  </conditionalFormatting>
  <conditionalFormatting sqref="D64:E113">
    <cfRule type="expression" dxfId="0" priority="5">
      <formula>ISNA(D64)</formula>
    </cfRule>
  </conditionalFormatting>
  <hyperlinks>
    <hyperlink ref="B4" location="'Кредитный портфель'!A1" display="◂  Кредитный портфель" xr:uid="{00000000-0004-0000-0300-000000000000}"/>
  </hyperlinks>
  <printOptions horizontalCentered="1"/>
  <pageMargins left="0.4" right="0.4" top="0.5" bottom="0.6" header="0.25" footer="0.25"/>
  <pageSetup paperSize="9" scale="73" fitToHeight="0" orientation="landscape" r:id="rId1"/>
  <headerFooter>
    <oddFooter>&amp;L&amp;K3F5876&amp;8&amp;F · &amp;A&amp;R&amp;K3F5876&amp;8Page &amp;P of &amp;N</oddFooter>
  </headerFooter>
  <rowBreaks count="1" manualBreakCount="1">
    <brk id="41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7D3D3-045E-4991-8805-38828AA0C63B}">
  <dimension ref="A1:B1"/>
  <sheetViews>
    <sheetView workbookViewId="0"/>
  </sheetViews>
  <sheetFormatPr defaultRowHeight="14.25" x14ac:dyDescent="0.45"/>
  <sheetData>
    <row r="1" spans="1:2" x14ac:dyDescent="0.45">
      <c r="A1" s="76" t="s">
        <v>221</v>
      </c>
      <c r="B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FE650-6D41-49C0-A964-A4FF3F5F3D25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64F1E-3220-4B04-8D27-284464D22904}">
  <dimension ref="B3:B122"/>
  <sheetViews>
    <sheetView workbookViewId="0"/>
  </sheetViews>
  <sheetFormatPr defaultRowHeight="14.25" x14ac:dyDescent="0.45"/>
  <sheetData>
    <row r="3" spans="2:2" x14ac:dyDescent="0.45">
      <c r="B3">
        <v>9</v>
      </c>
    </row>
    <row r="4" spans="2:2" x14ac:dyDescent="0.45">
      <c r="B4">
        <v>51</v>
      </c>
    </row>
    <row r="5" spans="2:2" x14ac:dyDescent="0.45">
      <c r="B5">
        <v>205</v>
      </c>
    </row>
    <row r="6" spans="2:2" x14ac:dyDescent="0.45">
      <c r="B6">
        <v>432</v>
      </c>
    </row>
    <row r="7" spans="2:2" x14ac:dyDescent="0.45">
      <c r="B7">
        <v>538</v>
      </c>
    </row>
    <row r="8" spans="2:2" x14ac:dyDescent="0.45">
      <c r="B8">
        <v>471</v>
      </c>
    </row>
    <row r="9" spans="2:2" x14ac:dyDescent="0.45">
      <c r="B9">
        <v>216</v>
      </c>
    </row>
    <row r="10" spans="2:2" x14ac:dyDescent="0.45">
      <c r="B10">
        <v>65</v>
      </c>
    </row>
    <row r="11" spans="2:2" x14ac:dyDescent="0.45">
      <c r="B11">
        <v>9</v>
      </c>
    </row>
    <row r="12" spans="2:2" x14ac:dyDescent="0.45">
      <c r="B12">
        <v>4</v>
      </c>
    </row>
    <row r="13" spans="2:2" x14ac:dyDescent="0.45">
      <c r="B13">
        <v>1490</v>
      </c>
    </row>
    <row r="14" spans="2:2" x14ac:dyDescent="0.45">
      <c r="B14">
        <v>271</v>
      </c>
    </row>
    <row r="15" spans="2:2" x14ac:dyDescent="0.45">
      <c r="B15">
        <v>131</v>
      </c>
    </row>
    <row r="16" spans="2:2" x14ac:dyDescent="0.45">
      <c r="B16">
        <v>58</v>
      </c>
    </row>
    <row r="17" spans="2:2" x14ac:dyDescent="0.45">
      <c r="B17">
        <v>18</v>
      </c>
    </row>
    <row r="18" spans="2:2" x14ac:dyDescent="0.45">
      <c r="B18">
        <v>15</v>
      </c>
    </row>
    <row r="19" spans="2:2" x14ac:dyDescent="0.45">
      <c r="B19">
        <v>7</v>
      </c>
    </row>
    <row r="20" spans="2:2" x14ac:dyDescent="0.45">
      <c r="B20">
        <v>4</v>
      </c>
    </row>
    <row r="21" spans="2:2" x14ac:dyDescent="0.45">
      <c r="B21">
        <v>4</v>
      </c>
    </row>
    <row r="22" spans="2:2" x14ac:dyDescent="0.45">
      <c r="B22">
        <v>2</v>
      </c>
    </row>
    <row r="23" spans="2:2" x14ac:dyDescent="0.45">
      <c r="B23">
        <v>1510</v>
      </c>
    </row>
    <row r="24" spans="2:2" x14ac:dyDescent="0.45">
      <c r="B24">
        <v>318</v>
      </c>
    </row>
    <row r="25" spans="2:2" x14ac:dyDescent="0.45">
      <c r="B25">
        <v>113</v>
      </c>
    </row>
    <row r="26" spans="2:2" x14ac:dyDescent="0.45">
      <c r="B26">
        <v>38</v>
      </c>
    </row>
    <row r="27" spans="2:2" x14ac:dyDescent="0.45">
      <c r="B27">
        <v>9</v>
      </c>
    </row>
    <row r="28" spans="2:2" x14ac:dyDescent="0.45">
      <c r="B28">
        <v>3</v>
      </c>
    </row>
    <row r="29" spans="2:2" x14ac:dyDescent="0.45">
      <c r="B29">
        <v>3</v>
      </c>
    </row>
    <row r="30" spans="2:2" x14ac:dyDescent="0.45">
      <c r="B30">
        <v>4</v>
      </c>
    </row>
    <row r="31" spans="2:2" x14ac:dyDescent="0.45">
      <c r="B31">
        <v>1</v>
      </c>
    </row>
    <row r="32" spans="2:2" x14ac:dyDescent="0.45">
      <c r="B32">
        <v>1</v>
      </c>
    </row>
    <row r="33" spans="2:2" x14ac:dyDescent="0.45">
      <c r="B33">
        <v>1237</v>
      </c>
    </row>
    <row r="34" spans="2:2" x14ac:dyDescent="0.45">
      <c r="B34">
        <v>477</v>
      </c>
    </row>
    <row r="35" spans="2:2" x14ac:dyDescent="0.45">
      <c r="B35">
        <v>177</v>
      </c>
    </row>
    <row r="36" spans="2:2" x14ac:dyDescent="0.45">
      <c r="B36">
        <v>73</v>
      </c>
    </row>
    <row r="37" spans="2:2" x14ac:dyDescent="0.45">
      <c r="B37">
        <v>16</v>
      </c>
    </row>
    <row r="38" spans="2:2" x14ac:dyDescent="0.45">
      <c r="B38">
        <v>10</v>
      </c>
    </row>
    <row r="39" spans="2:2" x14ac:dyDescent="0.45">
      <c r="B39">
        <v>2</v>
      </c>
    </row>
    <row r="40" spans="2:2" x14ac:dyDescent="0.45">
      <c r="B40">
        <v>2</v>
      </c>
    </row>
    <row r="41" spans="2:2" x14ac:dyDescent="0.45">
      <c r="B41">
        <v>5</v>
      </c>
    </row>
    <row r="42" spans="2:2" x14ac:dyDescent="0.45">
      <c r="B42">
        <v>1</v>
      </c>
    </row>
    <row r="43" spans="2:2" x14ac:dyDescent="0.45">
      <c r="B43">
        <v>828</v>
      </c>
    </row>
    <row r="44" spans="2:2" x14ac:dyDescent="0.45">
      <c r="B44">
        <v>590</v>
      </c>
    </row>
    <row r="45" spans="2:2" x14ac:dyDescent="0.45">
      <c r="B45">
        <v>308</v>
      </c>
    </row>
    <row r="46" spans="2:2" x14ac:dyDescent="0.45">
      <c r="B46">
        <v>164</v>
      </c>
    </row>
    <row r="47" spans="2:2" x14ac:dyDescent="0.45">
      <c r="B47">
        <v>62</v>
      </c>
    </row>
    <row r="48" spans="2:2" x14ac:dyDescent="0.45">
      <c r="B48">
        <v>26</v>
      </c>
    </row>
    <row r="49" spans="2:2" x14ac:dyDescent="0.45">
      <c r="B49">
        <v>12</v>
      </c>
    </row>
    <row r="50" spans="2:2" x14ac:dyDescent="0.45">
      <c r="B50">
        <v>5</v>
      </c>
    </row>
    <row r="51" spans="2:2" x14ac:dyDescent="0.45">
      <c r="B51">
        <v>3</v>
      </c>
    </row>
    <row r="52" spans="2:2" x14ac:dyDescent="0.45">
      <c r="B52">
        <v>2</v>
      </c>
    </row>
    <row r="53" spans="2:2" x14ac:dyDescent="0.45">
      <c r="B53">
        <v>622</v>
      </c>
    </row>
    <row r="54" spans="2:2" x14ac:dyDescent="0.45">
      <c r="B54">
        <v>650</v>
      </c>
    </row>
    <row r="55" spans="2:2" x14ac:dyDescent="0.45">
      <c r="B55">
        <v>387</v>
      </c>
    </row>
    <row r="56" spans="2:2" x14ac:dyDescent="0.45">
      <c r="B56">
        <v>207</v>
      </c>
    </row>
    <row r="57" spans="2:2" x14ac:dyDescent="0.45">
      <c r="B57">
        <v>84</v>
      </c>
    </row>
    <row r="58" spans="2:2" x14ac:dyDescent="0.45">
      <c r="B58">
        <v>29</v>
      </c>
    </row>
    <row r="59" spans="2:2" x14ac:dyDescent="0.45">
      <c r="B59">
        <v>13</v>
      </c>
    </row>
    <row r="60" spans="2:2" x14ac:dyDescent="0.45">
      <c r="B60">
        <v>4</v>
      </c>
    </row>
    <row r="61" spans="2:2" x14ac:dyDescent="0.45">
      <c r="B61">
        <v>3</v>
      </c>
    </row>
    <row r="62" spans="2:2" x14ac:dyDescent="0.45">
      <c r="B62">
        <v>1</v>
      </c>
    </row>
    <row r="63" spans="2:2" x14ac:dyDescent="0.45">
      <c r="B63">
        <v>1059</v>
      </c>
    </row>
    <row r="64" spans="2:2" x14ac:dyDescent="0.45">
      <c r="B64">
        <v>554</v>
      </c>
    </row>
    <row r="65" spans="2:2" x14ac:dyDescent="0.45">
      <c r="B65">
        <v>237</v>
      </c>
    </row>
    <row r="66" spans="2:2" x14ac:dyDescent="0.45">
      <c r="B66">
        <v>88</v>
      </c>
    </row>
    <row r="67" spans="2:2" x14ac:dyDescent="0.45">
      <c r="B67">
        <v>36</v>
      </c>
    </row>
    <row r="68" spans="2:2" x14ac:dyDescent="0.45">
      <c r="B68">
        <v>16</v>
      </c>
    </row>
    <row r="69" spans="2:2" x14ac:dyDescent="0.45">
      <c r="B69">
        <v>2</v>
      </c>
    </row>
    <row r="70" spans="2:2" x14ac:dyDescent="0.45">
      <c r="B70">
        <v>2</v>
      </c>
    </row>
    <row r="71" spans="2:2" x14ac:dyDescent="0.45">
      <c r="B71">
        <v>4</v>
      </c>
    </row>
    <row r="72" spans="2:2" x14ac:dyDescent="0.45">
      <c r="B72">
        <v>2</v>
      </c>
    </row>
    <row r="73" spans="2:2" x14ac:dyDescent="0.45">
      <c r="B73">
        <v>33</v>
      </c>
    </row>
    <row r="74" spans="2:2" x14ac:dyDescent="0.45">
      <c r="B74">
        <v>124</v>
      </c>
    </row>
    <row r="75" spans="2:2" x14ac:dyDescent="0.45">
      <c r="B75">
        <v>354</v>
      </c>
    </row>
    <row r="76" spans="2:2" x14ac:dyDescent="0.45">
      <c r="B76">
        <v>511</v>
      </c>
    </row>
    <row r="77" spans="2:2" x14ac:dyDescent="0.45">
      <c r="B77">
        <v>492</v>
      </c>
    </row>
    <row r="78" spans="2:2" x14ac:dyDescent="0.45">
      <c r="B78">
        <v>311</v>
      </c>
    </row>
    <row r="79" spans="2:2" x14ac:dyDescent="0.45">
      <c r="B79">
        <v>122</v>
      </c>
    </row>
    <row r="80" spans="2:2" x14ac:dyDescent="0.45">
      <c r="B80">
        <v>45</v>
      </c>
    </row>
    <row r="81" spans="2:2" x14ac:dyDescent="0.45">
      <c r="B81">
        <v>6</v>
      </c>
    </row>
    <row r="82" spans="2:2" x14ac:dyDescent="0.45">
      <c r="B82">
        <v>2</v>
      </c>
    </row>
    <row r="83" spans="2:2" x14ac:dyDescent="0.45">
      <c r="B83">
        <v>991</v>
      </c>
    </row>
    <row r="84" spans="2:2" x14ac:dyDescent="0.45">
      <c r="B84">
        <v>584</v>
      </c>
    </row>
    <row r="85" spans="2:2" x14ac:dyDescent="0.45">
      <c r="B85">
        <v>259</v>
      </c>
    </row>
    <row r="86" spans="2:2" x14ac:dyDescent="0.45">
      <c r="B86">
        <v>97</v>
      </c>
    </row>
    <row r="87" spans="2:2" x14ac:dyDescent="0.45">
      <c r="B87">
        <v>38</v>
      </c>
    </row>
    <row r="88" spans="2:2" x14ac:dyDescent="0.45">
      <c r="B88">
        <v>21</v>
      </c>
    </row>
    <row r="89" spans="2:2" x14ac:dyDescent="0.45">
      <c r="B89">
        <v>2</v>
      </c>
    </row>
    <row r="90" spans="2:2" x14ac:dyDescent="0.45">
      <c r="B90">
        <v>3</v>
      </c>
    </row>
    <row r="91" spans="2:2" x14ac:dyDescent="0.45">
      <c r="B91">
        <v>3</v>
      </c>
    </row>
    <row r="92" spans="2:2" x14ac:dyDescent="0.45">
      <c r="B92">
        <v>2</v>
      </c>
    </row>
    <row r="93" spans="2:2" x14ac:dyDescent="0.45">
      <c r="B93">
        <v>20</v>
      </c>
    </row>
    <row r="94" spans="2:2" x14ac:dyDescent="0.45">
      <c r="B94">
        <v>114</v>
      </c>
    </row>
    <row r="95" spans="2:2" x14ac:dyDescent="0.45">
      <c r="B95">
        <v>370</v>
      </c>
    </row>
    <row r="96" spans="2:2" x14ac:dyDescent="0.45">
      <c r="B96">
        <v>463</v>
      </c>
    </row>
    <row r="97" spans="2:2" x14ac:dyDescent="0.45">
      <c r="B97">
        <v>523</v>
      </c>
    </row>
    <row r="98" spans="2:2" x14ac:dyDescent="0.45">
      <c r="B98">
        <v>321</v>
      </c>
    </row>
    <row r="99" spans="2:2" x14ac:dyDescent="0.45">
      <c r="B99">
        <v>129</v>
      </c>
    </row>
    <row r="100" spans="2:2" x14ac:dyDescent="0.45">
      <c r="B100">
        <v>54</v>
      </c>
    </row>
    <row r="101" spans="2:2" x14ac:dyDescent="0.45">
      <c r="B101">
        <v>4</v>
      </c>
    </row>
    <row r="102" spans="2:2" x14ac:dyDescent="0.45">
      <c r="B102">
        <v>2</v>
      </c>
    </row>
    <row r="103" spans="2:2" x14ac:dyDescent="0.45">
      <c r="B103">
        <v>1964</v>
      </c>
    </row>
    <row r="104" spans="2:2" x14ac:dyDescent="0.45">
      <c r="B104">
        <v>0</v>
      </c>
    </row>
    <row r="105" spans="2:2" x14ac:dyDescent="0.45">
      <c r="B105">
        <v>0</v>
      </c>
    </row>
    <row r="106" spans="2:2" x14ac:dyDescent="0.45">
      <c r="B106">
        <v>0</v>
      </c>
    </row>
    <row r="107" spans="2:2" x14ac:dyDescent="0.45">
      <c r="B107">
        <v>0</v>
      </c>
    </row>
    <row r="108" spans="2:2" x14ac:dyDescent="0.45">
      <c r="B108">
        <v>0</v>
      </c>
    </row>
    <row r="109" spans="2:2" x14ac:dyDescent="0.45">
      <c r="B109">
        <v>0</v>
      </c>
    </row>
    <row r="110" spans="2:2" x14ac:dyDescent="0.45">
      <c r="B110">
        <v>0</v>
      </c>
    </row>
    <row r="111" spans="2:2" x14ac:dyDescent="0.45">
      <c r="B111">
        <v>0</v>
      </c>
    </row>
    <row r="112" spans="2:2" x14ac:dyDescent="0.45">
      <c r="B112">
        <v>36</v>
      </c>
    </row>
    <row r="113" spans="2:2" x14ac:dyDescent="0.45">
      <c r="B113">
        <v>0</v>
      </c>
    </row>
    <row r="114" spans="2:2" x14ac:dyDescent="0.45">
      <c r="B114">
        <v>0</v>
      </c>
    </row>
    <row r="115" spans="2:2" x14ac:dyDescent="0.45">
      <c r="B115">
        <v>0</v>
      </c>
    </row>
    <row r="116" spans="2:2" x14ac:dyDescent="0.45">
      <c r="B116">
        <v>0</v>
      </c>
    </row>
    <row r="117" spans="2:2" x14ac:dyDescent="0.45">
      <c r="B117">
        <v>0</v>
      </c>
    </row>
    <row r="118" spans="2:2" x14ac:dyDescent="0.45">
      <c r="B118">
        <v>2000</v>
      </c>
    </row>
    <row r="119" spans="2:2" x14ac:dyDescent="0.45">
      <c r="B119">
        <v>0</v>
      </c>
    </row>
    <row r="120" spans="2:2" x14ac:dyDescent="0.45">
      <c r="B120">
        <v>0</v>
      </c>
    </row>
    <row r="121" spans="2:2" x14ac:dyDescent="0.45">
      <c r="B121">
        <v>0</v>
      </c>
    </row>
    <row r="122" spans="2:2" x14ac:dyDescent="0.45">
      <c r="B122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r:ModelRisk xmlns:mr="ModelRisk">
  <mr:Charts xmlns:mr="ModelRisk" enc="base64" len="1300">PABGAEkATABUAEUAUgBTAD4ADQAKADwALwBDAE4AVAA6ADAADQAKAEYASQBMAFQARQBSAFMAPgANAAoAPABQAEEARwBFAFMAPgANAAoAQwBOAFQAOgAy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+AA0ACgA8AC8AUABBAEcARQBTAD4ADQAKAA==</mr:Charts>
</mr:ModelRisk>
</file>

<file path=customXml/itemProps1.xml><?xml version="1.0" encoding="utf-8"?>
<ds:datastoreItem xmlns:ds="http://schemas.openxmlformats.org/officeDocument/2006/customXml" ds:itemID="{BD999724-8834-43C9-A7CC-BCC64BFB71B3}">
  <ds:schemaRefs>
    <ds:schemaRef ds:uri="ModelRisk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29</vt:i4>
      </vt:variant>
    </vt:vector>
  </HeadingPairs>
  <TitlesOfParts>
    <vt:vector size="36" baseType="lpstr">
      <vt:lpstr>Описание</vt:lpstr>
      <vt:lpstr>Исходные данные</vt:lpstr>
      <vt:lpstr>Кредитный портфель</vt:lpstr>
      <vt:lpstr>Результаты</vt:lpstr>
      <vt:lpstr>ModelRiskDSN</vt:lpstr>
      <vt:lpstr>ModelRiskSYS1</vt:lpstr>
      <vt:lpstr>ModelRiskCharts</vt:lpstr>
      <vt:lpstr>Capital</vt:lpstr>
      <vt:lpstr>Checks</vt:lpstr>
      <vt:lpstr>Confidence</vt:lpstr>
      <vt:lpstr>Defaults</vt:lpstr>
      <vt:lpstr>Defaults0</vt:lpstr>
      <vt:lpstr>Economy</vt:lpstr>
      <vt:lpstr>EL</vt:lpstr>
      <vt:lpstr>EL_A</vt:lpstr>
      <vt:lpstr>EL_B</vt:lpstr>
      <vt:lpstr>EL_C</vt:lpstr>
      <vt:lpstr>EL_D</vt:lpstr>
      <vt:lpstr>EL_E</vt:lpstr>
      <vt:lpstr>LGD_A</vt:lpstr>
      <vt:lpstr>LGD_B</vt:lpstr>
      <vt:lpstr>LGDMean</vt:lpstr>
      <vt:lpstr>LGDSd</vt:lpstr>
      <vt:lpstr>Loss</vt:lpstr>
      <vt:lpstr>Loss_A</vt:lpstr>
      <vt:lpstr>Loss_B</vt:lpstr>
      <vt:lpstr>Loss_C</vt:lpstr>
      <vt:lpstr>Loss_D</vt:lpstr>
      <vt:lpstr>Loss_E</vt:lpstr>
      <vt:lpstr>Loss0</vt:lpstr>
      <vt:lpstr>OverCap</vt:lpstr>
      <vt:lpstr>OverCap0</vt:lpstr>
      <vt:lpstr>Results!Print_Area</vt:lpstr>
      <vt:lpstr>Inputs!Print_Titles</vt:lpstr>
      <vt:lpstr>Results!Print_Titles</vt:lpstr>
      <vt:lpstr>Rho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CF-07 Потери кредитного портфеля</dc:title>
  <dc:subject>Отраслевые примеры моделей МоделРиск — Корпоративные финансы</dc:subject>
  <dc:creator>ООО «Стратегия Риска»</dc:creator>
  <cp:keywords>МоделРиск; Монте-Карло; корпоративные финансы</cp:keywords>
  <dc:description>Портфель кредитов банка малому и среднему бизнесу: коррелированные дефолты и случайные потери при дефолте, распределение потерь и нужный капитал.</dc:description>
  <cp:lastModifiedBy>ООО «Стратегия Риска»</cp:lastModifiedBy>
  <cp:lastPrinted>2026-10-05T13:53:21Z</cp:lastPrinted>
  <dcterms:created xsi:type="dcterms:W3CDTF">2026-10-05T13:49:41Z</dcterms:created>
  <dcterms:modified xsi:type="dcterms:W3CDTF">2026-10-05T13:53:22Z</dcterms:modified>
</cp:coreProperties>
</file>