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xr:revisionPtr revIDLastSave="0" documentId="8_{B0582527-322B-4765-A38E-FBD483A4570F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Описание" sheetId="1" r:id="rId1"/>
    <sheet name="Исходные данные" sheetId="2" r:id="rId2"/>
    <sheet name="Денежный поток" sheetId="3" r:id="rId3"/>
    <sheet name="Результаты" sheetId="4" r:id="rId4"/>
    <sheet name="ModelRiskDSN" sheetId="5" state="hidden" r:id="rId5"/>
    <sheet name="ModelRiskSYS1" sheetId="6" state="hidden" r:id="rId6"/>
    <sheet name="ModelRiskCharts" sheetId="7" state="hidden" r:id="rId7"/>
  </sheets>
  <definedNames>
    <definedName name="AvgGBP">'Денежный поток'!$D$74</definedName>
    <definedName name="AvgRate">'Денежный поток'!$D$75</definedName>
    <definedName name="AvgUSD">'Денежный поток'!$D$73</definedName>
    <definedName name="CF_Full">'Денежный поток'!$D$71</definedName>
    <definedName name="CF_H">'Денежный поток'!$D$66</definedName>
    <definedName name="CF_I">'Денежный поток'!$D$67</definedName>
    <definedName name="CF_Today">'Денежный поток'!$D$72</definedName>
    <definedName name="CF_U">'Денежный поток'!$D$65</definedName>
    <definedName name="Checks">'Денежный поток'!$D$79:$D$80</definedName>
    <definedName name="CorrFX">'Исходные данные'!$D$32</definedName>
    <definedName name="CorrRate">'Исходные данные'!$D$33</definedName>
    <definedName name="CostEUR">'Исходные данные'!$D$13</definedName>
    <definedName name="CostGBP">'Исходные данные'!$D$12</definedName>
    <definedName name="Euribor0">'Исходные данные'!$D$22</definedName>
    <definedName name="Fx_GBP0">'Исходные данные'!$D$21</definedName>
    <definedName name="Fx_USD0">'Исходные данные'!$D$20</definedName>
    <definedName name="HedgeShare">'Исходные данные'!$D$38</definedName>
    <definedName name="Loan">'Исходные данные'!$D$14</definedName>
    <definedName name="LoanMargin">'Исходные данные'!$D$15</definedName>
    <definedName name="MktCorr">'Денежный поток'!$F$15:$H$17</definedName>
    <definedName name="MktCov">'Денежный поток'!$F$19:$H$21</definedName>
    <definedName name="MktCov0">'Денежный поток'!$F$22:$H$24</definedName>
    <definedName name="MktEigen">'Денежный поток'!$F$18:$H$18</definedName>
    <definedName name="MktInit">'Денежный поток'!$F$14:$H$14</definedName>
    <definedName name="MktMean">'Денежный поток'!$F$13:$H$13</definedName>
    <definedName name="MktVol">'Денежный поток'!$F$12:$H$12</definedName>
    <definedName name="NegQ_H">'Денежный поток'!$D$69</definedName>
    <definedName name="NegQ_I">'Денежный поток'!$D$70</definedName>
    <definedName name="NegQ_U">'Денежный поток'!$D$68</definedName>
    <definedName name="_xlnm.Print_Area" localSheetId="3">'Результаты'!$A$1:$R$75</definedName>
    <definedName name="_xlnm.Print_Titles" localSheetId="2">'Денежный поток'!$6:$7,'Денежный поток'!$A:$D</definedName>
    <definedName name="_xlnm.Print_Titles" localSheetId="1">'Исходные данные'!$1:$4</definedName>
    <definedName name="_xlnm.Print_Titles" localSheetId="3">'Результаты'!$1:$4</definedName>
    <definedName name="RateGBP">'Исходные данные'!$D$24</definedName>
    <definedName name="RateUSD">'Исходные данные'!$D$23</definedName>
    <definedName name="SalesUSD">'Исходные данные'!$D$11</definedName>
    <definedName name="SimOpt_AccountDomain" hidden="1">""</definedName>
    <definedName name="SimOpt_AccountName" hidden="1">""</definedName>
    <definedName name="SimOpt_AccountPassword" hidden="1">""</definedName>
    <definedName name="SimOpt_CheckPrecisionAfter" hidden="1">10</definedName>
    <definedName name="SimOpt_GotoSample" hidden="1">0</definedName>
    <definedName name="SimOpt_Macros0" hidden="1">""</definedName>
    <definedName name="SimOpt_Macros1" hidden="1">""</definedName>
    <definedName name="SimOpt_Macros2" hidden="1">""</definedName>
    <definedName name="SimOpt_Macros3" hidden="1">""</definedName>
    <definedName name="SimOpt_MacrosUsage" hidden="1">0</definedName>
    <definedName name="SimOpt_MinSimBufferSize" hidden="1">0</definedName>
    <definedName name="SimOpt_RefreshExcel" hidden="1">0</definedName>
    <definedName name="SimOpt_RefreshRate" hidden="1">1</definedName>
    <definedName name="SimOpt_SamplesCount" hidden="1">10000</definedName>
    <definedName name="SimOpt_Seed0" hidden="1">1</definedName>
    <definedName name="SimOpt_SeedFixed" hidden="1">1</definedName>
    <definedName name="SimOpt_SeedMultiplyType" hidden="1">0</definedName>
    <definedName name="SimOpt_ServerAddress" hidden="1">""</definedName>
    <definedName name="SimOpt_ShowResultsAtEnd" hidden="1">1</definedName>
    <definedName name="SimOpt_ShowSparklines" hidden="1">0</definedName>
    <definedName name="SimOpt_SimsCount" hidden="1">1</definedName>
    <definedName name="SimOpt_SkipTurboConsistency" hidden="1">0</definedName>
    <definedName name="SimOpt_StopOnOutputError" hidden="1">0</definedName>
    <definedName name="SimOpt_TurboParityChecked" hidden="1">0</definedName>
    <definedName name="SimOpt_UploadEnabled" hidden="1">0</definedName>
    <definedName name="SimOpt_UploadModel" hidden="1">0</definedName>
    <definedName name="SimOpt_UploadProfile" hidden="1">"MODELRISK"</definedName>
    <definedName name="SimOpt_UploadRemotely" hidden="1">0</definedName>
    <definedName name="SimOpt_UseTurboByDefault" hidden="1">0</definedName>
    <definedName name="SwapRate">'Исходные данные'!$D$39</definedName>
    <definedName name="VolGBP">'Исходные данные'!$D$30</definedName>
    <definedName name="VolRate">'Исходные данные'!$D$31</definedName>
    <definedName name="VolUSD">'Исходные данные'!$D$29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53" i="4" l="1"/>
  <c r="B139" i="4"/>
  <c r="C130" i="4"/>
  <c r="C129" i="4"/>
  <c r="C128" i="4"/>
  <c r="C127" i="4"/>
  <c r="C126" i="4"/>
  <c r="C125" i="4"/>
  <c r="C124" i="4"/>
  <c r="C123" i="4"/>
  <c r="C122" i="4"/>
  <c r="C121" i="4"/>
  <c r="C120" i="4"/>
  <c r="C119" i="4"/>
  <c r="C118" i="4"/>
  <c r="C117" i="4"/>
  <c r="C116" i="4"/>
  <c r="C115" i="4"/>
  <c r="C114" i="4"/>
  <c r="C113" i="4"/>
  <c r="C112" i="4"/>
  <c r="C111" i="4"/>
  <c r="C110" i="4"/>
  <c r="C109" i="4"/>
  <c r="C108" i="4"/>
  <c r="C107" i="4"/>
  <c r="C106" i="4"/>
  <c r="C105" i="4"/>
  <c r="C104" i="4"/>
  <c r="C103" i="4"/>
  <c r="C102" i="4"/>
  <c r="C101" i="4"/>
  <c r="C100" i="4"/>
  <c r="C99" i="4"/>
  <c r="C98" i="4"/>
  <c r="C97" i="4"/>
  <c r="C96" i="4"/>
  <c r="C95" i="4"/>
  <c r="C94" i="4"/>
  <c r="C93" i="4"/>
  <c r="C92" i="4"/>
  <c r="C91" i="4"/>
  <c r="C90" i="4"/>
  <c r="C89" i="4"/>
  <c r="C88" i="4"/>
  <c r="C87" i="4"/>
  <c r="C86" i="4"/>
  <c r="C85" i="4"/>
  <c r="C84" i="4"/>
  <c r="C83" i="4"/>
  <c r="C82" i="4"/>
  <c r="C81" i="4"/>
  <c r="D80" i="3"/>
  <c r="D72" i="3"/>
  <c r="D17" i="4"/>
  <c r="Q47" i="3"/>
  <c r="P47" i="3"/>
  <c r="O47" i="3"/>
  <c r="N47" i="3"/>
  <c r="M47" i="3"/>
  <c r="L47" i="3"/>
  <c r="K47" i="3"/>
  <c r="J47" i="3"/>
  <c r="I47" i="3"/>
  <c r="H47" i="3"/>
  <c r="G47" i="3"/>
  <c r="F47" i="3"/>
  <c r="Q38" i="3"/>
  <c r="P38" i="3"/>
  <c r="O38" i="3"/>
  <c r="N38" i="3"/>
  <c r="M38" i="3"/>
  <c r="L38" i="3"/>
  <c r="K38" i="3"/>
  <c r="J38" i="3"/>
  <c r="I38" i="3"/>
  <c r="H38" i="3"/>
  <c r="G38" i="3"/>
  <c r="F38" i="3"/>
  <c r="D38" i="3" s="1"/>
  <c r="F33" i="3"/>
  <c r="F32" i="3"/>
  <c r="F53" i="3" s="1"/>
  <c r="H17" i="3"/>
  <c r="G17" i="3"/>
  <c r="F17" i="3"/>
  <c r="H16" i="3"/>
  <c r="G16" i="3"/>
  <c r="F16" i="3"/>
  <c r="H15" i="3"/>
  <c r="G15" i="3"/>
  <c r="F15" i="3"/>
  <c r="H14" i="3"/>
  <c r="G14" i="3"/>
  <c r="F14" i="3"/>
  <c r="H13" i="3"/>
  <c r="G13" i="3"/>
  <c r="F13" i="3"/>
  <c r="H12" i="3"/>
  <c r="G12" i="3"/>
  <c r="F12" i="3"/>
  <c r="G6" i="3"/>
  <c r="H6" i="3" s="1"/>
  <c r="G32" i="3"/>
  <c r="G33" i="3"/>
  <c r="G53" i="3"/>
  <c r="B154" i="4"/>
  <c r="B140" i="4"/>
  <c r="B141" i="4"/>
  <c r="B155" i="4"/>
  <c r="F18" i="3" a="1"/>
  <c r="F19" i="3" a="1"/>
  <c r="F22" i="3" a="1"/>
  <c r="D47" i="3" l="1"/>
  <c r="H22" i="3"/>
  <c r="H24" i="3"/>
  <c r="G24" i="3"/>
  <c r="G22" i="3"/>
  <c r="F24" i="3"/>
  <c r="H23" i="3"/>
  <c r="G23" i="3"/>
  <c r="F22" i="3"/>
  <c r="F57" i="3" s="1" a="1"/>
  <c r="F23" i="3"/>
  <c r="H20" i="3"/>
  <c r="G19" i="3"/>
  <c r="G20" i="3"/>
  <c r="G21" i="3"/>
  <c r="F20" i="3"/>
  <c r="F19" i="3"/>
  <c r="F28" i="3" s="1" a="1"/>
  <c r="H21" i="3"/>
  <c r="F21" i="3"/>
  <c r="H19" i="3"/>
  <c r="H18" i="3"/>
  <c r="G18" i="3"/>
  <c r="F18" i="3"/>
  <c r="H32" i="3"/>
  <c r="I6" i="3"/>
  <c r="H33" i="3"/>
  <c r="B142" i="4" l="1"/>
  <c r="B156" i="4"/>
  <c r="I33" i="3"/>
  <c r="I32" i="3"/>
  <c r="J6" i="3"/>
  <c r="H53" i="3"/>
  <c r="L29" i="3"/>
  <c r="G30" i="3"/>
  <c r="J29" i="3"/>
  <c r="P29" i="3"/>
  <c r="N29" i="3"/>
  <c r="M30" i="3"/>
  <c r="P28" i="3"/>
  <c r="K29" i="3"/>
  <c r="N30" i="3"/>
  <c r="Q28" i="3"/>
  <c r="K30" i="3"/>
  <c r="O29" i="3"/>
  <c r="L28" i="3"/>
  <c r="N28" i="3"/>
  <c r="J28" i="3"/>
  <c r="Q30" i="3"/>
  <c r="H28" i="3"/>
  <c r="L30" i="3"/>
  <c r="M28" i="3"/>
  <c r="J30" i="3"/>
  <c r="P30" i="3"/>
  <c r="Q29" i="3"/>
  <c r="K28" i="3"/>
  <c r="I30" i="3"/>
  <c r="H30" i="3"/>
  <c r="O30" i="3"/>
  <c r="F29" i="3"/>
  <c r="F28" i="3"/>
  <c r="G29" i="3"/>
  <c r="O28" i="3"/>
  <c r="H29" i="3"/>
  <c r="G28" i="3"/>
  <c r="F30" i="3"/>
  <c r="I28" i="3"/>
  <c r="I29" i="3"/>
  <c r="M29" i="3"/>
  <c r="D79" i="3"/>
  <c r="B7" i="4" s="1"/>
  <c r="P58" i="3"/>
  <c r="N58" i="3"/>
  <c r="F57" i="3"/>
  <c r="J58" i="3"/>
  <c r="O59" i="3"/>
  <c r="H58" i="3"/>
  <c r="F58" i="3"/>
  <c r="P59" i="3"/>
  <c r="H57" i="3"/>
  <c r="N59" i="3"/>
  <c r="K59" i="3"/>
  <c r="G59" i="3"/>
  <c r="O57" i="3"/>
  <c r="G57" i="3"/>
  <c r="O58" i="3"/>
  <c r="Q57" i="3"/>
  <c r="M59" i="3"/>
  <c r="L58" i="3"/>
  <c r="K57" i="3"/>
  <c r="F59" i="3"/>
  <c r="I57" i="3"/>
  <c r="N57" i="3"/>
  <c r="L59" i="3"/>
  <c r="J59" i="3"/>
  <c r="P57" i="3"/>
  <c r="I59" i="3"/>
  <c r="M57" i="3"/>
  <c r="I58" i="3"/>
  <c r="L57" i="3"/>
  <c r="H59" i="3"/>
  <c r="G58" i="3"/>
  <c r="Q58" i="3"/>
  <c r="M58" i="3"/>
  <c r="J57" i="3"/>
  <c r="Q59" i="3"/>
  <c r="K58" i="3"/>
  <c r="B157" i="4" l="1"/>
  <c r="B143" i="4"/>
  <c r="P60" i="3"/>
  <c r="I53" i="3"/>
  <c r="N60" i="3"/>
  <c r="I60" i="3"/>
  <c r="M60" i="3"/>
  <c r="M37" i="3"/>
  <c r="D73" i="3" a="1"/>
  <c r="D73" i="3" s="1"/>
  <c r="F31" i="3" a="1"/>
  <c r="F31" i="3" s="1"/>
  <c r="F36" i="3"/>
  <c r="F45" i="3"/>
  <c r="J39" i="3"/>
  <c r="J48" i="3"/>
  <c r="O37" i="3"/>
  <c r="P37" i="3"/>
  <c r="G60" i="3"/>
  <c r="I46" i="3"/>
  <c r="I37" i="3"/>
  <c r="F37" i="3"/>
  <c r="F46" i="3"/>
  <c r="D74" i="3" a="1"/>
  <c r="D74" i="3" s="1"/>
  <c r="M36" i="3"/>
  <c r="M31" i="3" a="1"/>
  <c r="M31" i="3" s="1"/>
  <c r="K48" i="3"/>
  <c r="K39" i="3"/>
  <c r="J37" i="3"/>
  <c r="L60" i="3"/>
  <c r="O60" i="3"/>
  <c r="I45" i="3"/>
  <c r="I36" i="3"/>
  <c r="I31" i="3" a="1"/>
  <c r="I31" i="3" s="1"/>
  <c r="O48" i="3"/>
  <c r="O39" i="3"/>
  <c r="L48" i="3"/>
  <c r="L39" i="3"/>
  <c r="Q36" i="3"/>
  <c r="Q31" i="3" a="1"/>
  <c r="Q31" i="3" s="1"/>
  <c r="G39" i="3"/>
  <c r="G48" i="3"/>
  <c r="D75" i="3" a="1"/>
  <c r="D75" i="3" s="1"/>
  <c r="F39" i="3"/>
  <c r="F48" i="3"/>
  <c r="H39" i="3"/>
  <c r="H48" i="3"/>
  <c r="H45" i="3"/>
  <c r="H36" i="3"/>
  <c r="H31" i="3" a="1"/>
  <c r="H31" i="3" s="1"/>
  <c r="N39" i="3"/>
  <c r="N48" i="3"/>
  <c r="L37" i="3"/>
  <c r="K60" i="3"/>
  <c r="F60" i="3"/>
  <c r="G45" i="3"/>
  <c r="G31" i="3" a="1"/>
  <c r="G31" i="3" s="1"/>
  <c r="G36" i="3"/>
  <c r="I48" i="3"/>
  <c r="I39" i="3"/>
  <c r="Q39" i="3"/>
  <c r="Q48" i="3"/>
  <c r="K37" i="3"/>
  <c r="J60" i="3"/>
  <c r="H37" i="3"/>
  <c r="H46" i="3"/>
  <c r="K36" i="3"/>
  <c r="K31" i="3" a="1"/>
  <c r="K31" i="3" s="1"/>
  <c r="J31" i="3" a="1"/>
  <c r="J31" i="3" s="1"/>
  <c r="J36" i="3"/>
  <c r="P36" i="3"/>
  <c r="P31" i="3" a="1"/>
  <c r="P31" i="3" s="1"/>
  <c r="J33" i="3"/>
  <c r="J46" i="3" s="1"/>
  <c r="J32" i="3"/>
  <c r="J53" i="3" s="1"/>
  <c r="K6" i="3"/>
  <c r="H60" i="3"/>
  <c r="O31" i="3" a="1"/>
  <c r="O31" i="3" s="1"/>
  <c r="O36" i="3"/>
  <c r="Q37" i="3"/>
  <c r="N31" i="3" a="1"/>
  <c r="N31" i="3" s="1"/>
  <c r="N36" i="3"/>
  <c r="M48" i="3"/>
  <c r="M39" i="3"/>
  <c r="Q60" i="3"/>
  <c r="G46" i="3"/>
  <c r="G37" i="3"/>
  <c r="P48" i="3"/>
  <c r="P39" i="3"/>
  <c r="L36" i="3"/>
  <c r="L31" i="3" a="1"/>
  <c r="L31" i="3" s="1"/>
  <c r="N37" i="3"/>
  <c r="C155" i="4" a="1"/>
  <c r="D155" i="4" a="1"/>
  <c r="F155" i="4" a="1"/>
  <c r="E155" i="4" a="1"/>
  <c r="G44" i="4" a="1"/>
  <c r="F44" i="4" a="1"/>
  <c r="E44" i="4" a="1"/>
  <c r="D44" i="4" a="1"/>
  <c r="F153" i="4" a="1"/>
  <c r="E153" i="4" a="1"/>
  <c r="D153" i="4" a="1"/>
  <c r="C153" i="4" a="1"/>
  <c r="D158" i="4" a="1"/>
  <c r="F158" i="4" a="1"/>
  <c r="E158" i="4" a="1"/>
  <c r="C158" i="4" a="1"/>
  <c r="F160" i="4" a="1"/>
  <c r="E160" i="4" a="1"/>
  <c r="D160" i="4" a="1"/>
  <c r="C160" i="4" a="1"/>
  <c r="D157" i="4" a="1"/>
  <c r="F157" i="4" a="1"/>
  <c r="E157" i="4" a="1"/>
  <c r="C157" i="4" a="1"/>
  <c r="F161" i="4" a="1"/>
  <c r="E161" i="4" a="1"/>
  <c r="D161" i="4" a="1"/>
  <c r="C161" i="4" a="1"/>
  <c r="F162" i="4" a="1"/>
  <c r="E162" i="4" a="1"/>
  <c r="D162" i="4" a="1"/>
  <c r="C162" i="4" a="1"/>
  <c r="D163" i="4" a="1"/>
  <c r="C163" i="4" a="1"/>
  <c r="F163" i="4" a="1"/>
  <c r="E163" i="4" a="1"/>
  <c r="F164" i="4" a="1"/>
  <c r="E164" i="4" a="1"/>
  <c r="D164" i="4" a="1"/>
  <c r="C164" i="4" a="1"/>
  <c r="F154" i="4" a="1"/>
  <c r="E154" i="4" a="1"/>
  <c r="D154" i="4" a="1"/>
  <c r="C154" i="4" a="1"/>
  <c r="C156" i="4" a="1"/>
  <c r="D156" i="4" a="1"/>
  <c r="F156" i="4" a="1"/>
  <c r="E156" i="4" a="1"/>
  <c r="D159" i="4" a="1"/>
  <c r="C159" i="4" a="1"/>
  <c r="F159" i="4" a="1"/>
  <c r="E159" i="4" a="1"/>
  <c r="J45" i="3" l="1"/>
  <c r="B158" i="4"/>
  <c r="B144" i="4"/>
  <c r="K40" i="3"/>
  <c r="K42" i="3" s="1" a="1"/>
  <c r="K42" i="3" s="1"/>
  <c r="N40" i="3"/>
  <c r="N42" i="3" s="1" a="1"/>
  <c r="N42" i="3" s="1"/>
  <c r="E159" i="4"/>
  <c r="F159" i="4"/>
  <c r="C159" i="4"/>
  <c r="D159" i="4"/>
  <c r="E156" i="4"/>
  <c r="F156" i="4"/>
  <c r="D156" i="4"/>
  <c r="C156" i="4"/>
  <c r="C154" i="4"/>
  <c r="D154" i="4"/>
  <c r="E154" i="4"/>
  <c r="F154" i="4"/>
  <c r="C164" i="4"/>
  <c r="D164" i="4"/>
  <c r="E164" i="4"/>
  <c r="F164" i="4"/>
  <c r="E163" i="4"/>
  <c r="F163" i="4"/>
  <c r="C163" i="4"/>
  <c r="D163" i="4"/>
  <c r="C162" i="4"/>
  <c r="D162" i="4"/>
  <c r="E162" i="4"/>
  <c r="F162" i="4"/>
  <c r="C161" i="4"/>
  <c r="D161" i="4"/>
  <c r="E161" i="4"/>
  <c r="F161" i="4"/>
  <c r="C157" i="4"/>
  <c r="E157" i="4"/>
  <c r="F157" i="4"/>
  <c r="D157" i="4"/>
  <c r="C160" i="4"/>
  <c r="D160" i="4"/>
  <c r="E160" i="4"/>
  <c r="F160" i="4"/>
  <c r="C158" i="4"/>
  <c r="E158" i="4"/>
  <c r="F158" i="4"/>
  <c r="D158" i="4"/>
  <c r="C153" i="4"/>
  <c r="D153" i="4"/>
  <c r="E153" i="4"/>
  <c r="F153" i="4"/>
  <c r="D44" i="4"/>
  <c r="E44" i="4"/>
  <c r="F44" i="4"/>
  <c r="G44" i="4"/>
  <c r="E155" i="4"/>
  <c r="F155" i="4"/>
  <c r="D155" i="4"/>
  <c r="C155" i="4"/>
  <c r="M40" i="3"/>
  <c r="M42" i="3" s="1" a="1"/>
  <c r="M42" i="3" s="1"/>
  <c r="H49" i="3"/>
  <c r="I49" i="3"/>
  <c r="D48" i="3"/>
  <c r="O40" i="3"/>
  <c r="O42" i="3" s="1" a="1"/>
  <c r="O42" i="3" s="1"/>
  <c r="P40" i="3"/>
  <c r="P42" i="3" s="1" a="1"/>
  <c r="P42" i="3" s="1"/>
  <c r="D39" i="3"/>
  <c r="L40" i="3"/>
  <c r="L42" i="3" s="1" a="1"/>
  <c r="L42" i="3" s="1"/>
  <c r="J40" i="3"/>
  <c r="J42" i="3" s="1" a="1"/>
  <c r="J42" i="3" s="1"/>
  <c r="G40" i="3"/>
  <c r="G42" i="3" s="1" a="1"/>
  <c r="G42" i="3" s="1"/>
  <c r="D37" i="3"/>
  <c r="K33" i="3"/>
  <c r="K46" i="3" s="1"/>
  <c r="K32" i="3"/>
  <c r="L6" i="3"/>
  <c r="G49" i="3"/>
  <c r="H40" i="3"/>
  <c r="H42" i="3" s="1" a="1"/>
  <c r="H42" i="3" s="1"/>
  <c r="F49" i="3"/>
  <c r="D70" i="3" a="1"/>
  <c r="D70" i="3" s="1"/>
  <c r="D60" i="3"/>
  <c r="D67" i="3" s="1" a="1"/>
  <c r="D67" i="3" s="1"/>
  <c r="I40" i="3"/>
  <c r="I42" i="3" s="1" a="1"/>
  <c r="I42" i="3" s="1"/>
  <c r="D36" i="3"/>
  <c r="F40" i="3"/>
  <c r="Q40" i="3"/>
  <c r="Q42" i="3" s="1" a="1"/>
  <c r="Q42" i="3" s="1"/>
  <c r="J49" i="3"/>
  <c r="C144" i="4" a="1"/>
  <c r="D144" i="4" a="1"/>
  <c r="E144" i="4" a="1"/>
  <c r="F144" i="4" a="1"/>
  <c r="C147" i="4" a="1"/>
  <c r="D147" i="4" a="1"/>
  <c r="E147" i="4" a="1"/>
  <c r="F147" i="4" a="1"/>
  <c r="C145" i="4" a="1"/>
  <c r="D145" i="4" a="1"/>
  <c r="F145" i="4" a="1"/>
  <c r="E145" i="4" a="1"/>
  <c r="D146" i="4" a="1"/>
  <c r="C146" i="4" a="1"/>
  <c r="F146" i="4" a="1"/>
  <c r="E146" i="4" a="1"/>
  <c r="G15" i="4" a="1"/>
  <c r="F92" i="4" a="1"/>
  <c r="C15" i="4" a="1"/>
  <c r="F101" i="4" a="1"/>
  <c r="F98" i="4" a="1"/>
  <c r="F126" i="4" a="1"/>
  <c r="F108" i="4" a="1"/>
  <c r="F90" i="4" a="1"/>
  <c r="F97" i="4" a="1"/>
  <c r="F86" i="4" a="1"/>
  <c r="F129" i="4" a="1"/>
  <c r="F93" i="4" a="1"/>
  <c r="F83" i="4" a="1"/>
  <c r="F114" i="4" a="1"/>
  <c r="F127" i="4" a="1"/>
  <c r="F119" i="4" a="1"/>
  <c r="F125" i="4" a="1"/>
  <c r="F89" i="4" a="1"/>
  <c r="F128" i="4" a="1"/>
  <c r="F107" i="4" a="1"/>
  <c r="F102" i="4" a="1"/>
  <c r="F112" i="4" a="1"/>
  <c r="F121" i="4" a="1"/>
  <c r="F81" i="4" a="1"/>
  <c r="F96" i="4" a="1"/>
  <c r="F82" i="4" a="1"/>
  <c r="F95" i="4" a="1"/>
  <c r="F94" i="4" a="1"/>
  <c r="F117" i="4" a="1"/>
  <c r="F130" i="4" a="1"/>
  <c r="F118" i="4" a="1"/>
  <c r="F124" i="4" a="1"/>
  <c r="F88" i="4" a="1"/>
  <c r="F87" i="4" a="1"/>
  <c r="F113" i="4" a="1"/>
  <c r="F122" i="4" a="1"/>
  <c r="F111" i="4" a="1"/>
  <c r="F106" i="4" a="1"/>
  <c r="F123" i="4" a="1"/>
  <c r="F110" i="4" a="1"/>
  <c r="F105" i="4" a="1"/>
  <c r="F115" i="4" a="1"/>
  <c r="F104" i="4" a="1"/>
  <c r="F99" i="4" a="1"/>
  <c r="F116" i="4" a="1"/>
  <c r="F91" i="4" a="1"/>
  <c r="F103" i="4" a="1"/>
  <c r="F109" i="4" a="1"/>
  <c r="F85" i="4" a="1"/>
  <c r="D15" i="4" a="1"/>
  <c r="F100" i="4" a="1"/>
  <c r="F120" i="4" a="1"/>
  <c r="F84" i="4" a="1"/>
  <c r="C140" i="4" a="1"/>
  <c r="F140" i="4" a="1"/>
  <c r="E140" i="4" a="1"/>
  <c r="D140" i="4" a="1"/>
  <c r="D142" i="4" a="1"/>
  <c r="C142" i="4" a="1"/>
  <c r="F142" i="4" a="1"/>
  <c r="E142" i="4" a="1"/>
  <c r="C148" i="4" a="1"/>
  <c r="D148" i="4" a="1"/>
  <c r="F148" i="4" a="1"/>
  <c r="E148" i="4" a="1"/>
  <c r="C149" i="4" a="1"/>
  <c r="D149" i="4" a="1"/>
  <c r="F149" i="4" a="1"/>
  <c r="E149" i="4" a="1"/>
  <c r="E150" i="4" a="1"/>
  <c r="D150" i="4" a="1"/>
  <c r="C150" i="4" a="1"/>
  <c r="F150" i="4" a="1"/>
  <c r="C141" i="4" a="1"/>
  <c r="F141" i="4" a="1"/>
  <c r="E141" i="4" a="1"/>
  <c r="D141" i="4" a="1"/>
  <c r="E143" i="4" a="1"/>
  <c r="F143" i="4" a="1"/>
  <c r="C143" i="4" a="1"/>
  <c r="D143" i="4" a="1"/>
  <c r="F15" i="4" a="1"/>
  <c r="B159" i="4" l="1"/>
  <c r="B145" i="4"/>
  <c r="F147" i="4"/>
  <c r="E147" i="4"/>
  <c r="D147" i="4"/>
  <c r="C147" i="4"/>
  <c r="F144" i="4"/>
  <c r="E144" i="4"/>
  <c r="D144" i="4"/>
  <c r="C144" i="4"/>
  <c r="F15" i="4"/>
  <c r="D143" i="4"/>
  <c r="C143" i="4"/>
  <c r="F143" i="4"/>
  <c r="E143" i="4"/>
  <c r="D141" i="4"/>
  <c r="E141" i="4"/>
  <c r="F141" i="4"/>
  <c r="C141" i="4"/>
  <c r="F150" i="4"/>
  <c r="C150" i="4"/>
  <c r="D150" i="4"/>
  <c r="E150" i="4"/>
  <c r="E149" i="4"/>
  <c r="F149" i="4"/>
  <c r="D149" i="4"/>
  <c r="C149" i="4"/>
  <c r="E148" i="4"/>
  <c r="F148" i="4"/>
  <c r="D148" i="4"/>
  <c r="C148" i="4"/>
  <c r="E142" i="4"/>
  <c r="F142" i="4"/>
  <c r="C142" i="4"/>
  <c r="D142" i="4"/>
  <c r="D140" i="4"/>
  <c r="E140" i="4"/>
  <c r="F140" i="4"/>
  <c r="C140" i="4"/>
  <c r="F84" i="4"/>
  <c r="F120" i="4"/>
  <c r="F100" i="4"/>
  <c r="D15" i="4"/>
  <c r="F85" i="4"/>
  <c r="F109" i="4"/>
  <c r="F103" i="4"/>
  <c r="F91" i="4"/>
  <c r="F116" i="4"/>
  <c r="F99" i="4"/>
  <c r="F104" i="4"/>
  <c r="F115" i="4"/>
  <c r="F105" i="4"/>
  <c r="F110" i="4"/>
  <c r="F123" i="4"/>
  <c r="F106" i="4"/>
  <c r="F111" i="4"/>
  <c r="F122" i="4"/>
  <c r="F113" i="4"/>
  <c r="F87" i="4"/>
  <c r="F88" i="4"/>
  <c r="F124" i="4"/>
  <c r="F118" i="4"/>
  <c r="F130" i="4"/>
  <c r="F117" i="4"/>
  <c r="F94" i="4"/>
  <c r="F95" i="4"/>
  <c r="F82" i="4"/>
  <c r="F96" i="4"/>
  <c r="F81" i="4"/>
  <c r="F121" i="4"/>
  <c r="F112" i="4"/>
  <c r="F102" i="4"/>
  <c r="F107" i="4"/>
  <c r="F128" i="4"/>
  <c r="F89" i="4"/>
  <c r="F125" i="4"/>
  <c r="F119" i="4"/>
  <c r="F127" i="4"/>
  <c r="F114" i="4"/>
  <c r="F83" i="4"/>
  <c r="F93" i="4"/>
  <c r="F129" i="4"/>
  <c r="F86" i="4"/>
  <c r="F97" i="4"/>
  <c r="F90" i="4"/>
  <c r="F108" i="4"/>
  <c r="F126" i="4"/>
  <c r="F98" i="4"/>
  <c r="F101" i="4"/>
  <c r="C15" i="4"/>
  <c r="F92" i="4"/>
  <c r="G15" i="4"/>
  <c r="E146" i="4"/>
  <c r="F146" i="4"/>
  <c r="C146" i="4"/>
  <c r="D146" i="4"/>
  <c r="E145" i="4"/>
  <c r="F145" i="4"/>
  <c r="D145" i="4"/>
  <c r="C145" i="4"/>
  <c r="K53" i="3"/>
  <c r="K45" i="3"/>
  <c r="D40" i="3"/>
  <c r="D65" i="3" s="1" a="1"/>
  <c r="D65" i="3" s="1"/>
  <c r="F42" i="3" a="1"/>
  <c r="F42" i="3" s="1"/>
  <c r="D68" i="3" a="1"/>
  <c r="D68" i="3" s="1"/>
  <c r="L33" i="3"/>
  <c r="L46" i="3" s="1"/>
  <c r="L32" i="3"/>
  <c r="M6" i="3"/>
  <c r="D112" i="4" a="1"/>
  <c r="D101" i="4" a="1"/>
  <c r="D94" i="4" a="1"/>
  <c r="D121" i="4" a="1"/>
  <c r="B60" i="4" a="1"/>
  <c r="D114" i="4" a="1"/>
  <c r="D92" i="4" a="1"/>
  <c r="D115" i="4" a="1"/>
  <c r="D85" i="4" a="1"/>
  <c r="D119" i="4" a="1"/>
  <c r="D83" i="4" a="1"/>
  <c r="D109" i="4" a="1"/>
  <c r="D84" i="4" a="1"/>
  <c r="D111" i="4" a="1"/>
  <c r="D105" i="4" a="1"/>
  <c r="G13" i="4" a="1"/>
  <c r="D96" i="4" a="1"/>
  <c r="D120" i="4" a="1"/>
  <c r="D125" i="4" a="1"/>
  <c r="D107" i="4" a="1"/>
  <c r="D98" i="4" a="1"/>
  <c r="D129" i="4" a="1"/>
  <c r="D82" i="4" a="1"/>
  <c r="D113" i="4" a="1"/>
  <c r="D93" i="4" a="1"/>
  <c r="D103" i="4" a="1"/>
  <c r="D118" i="4" a="1"/>
  <c r="D104" i="4" a="1"/>
  <c r="C13" i="4" a="1"/>
  <c r="D106" i="4" a="1"/>
  <c r="D86" i="4" a="1"/>
  <c r="D99" i="4" a="1"/>
  <c r="D130" i="4" a="1"/>
  <c r="D97" i="4" a="1"/>
  <c r="D124" i="4" a="1"/>
  <c r="D88" i="4" a="1"/>
  <c r="D13" i="4" a="1"/>
  <c r="D132" i="4" a="1"/>
  <c r="D91" i="4" a="1"/>
  <c r="D126" i="4" a="1"/>
  <c r="D90" i="4" a="1"/>
  <c r="D117" i="4" a="1"/>
  <c r="D81" i="4" a="1"/>
  <c r="D123" i="4" a="1"/>
  <c r="D87" i="4" a="1"/>
  <c r="D108" i="4" a="1"/>
  <c r="D128" i="4" a="1"/>
  <c r="D110" i="4" a="1"/>
  <c r="D116" i="4" a="1"/>
  <c r="D127" i="4" a="1"/>
  <c r="D95" i="4" a="1"/>
  <c r="D100" i="4" a="1"/>
  <c r="D122" i="4" a="1"/>
  <c r="D89" i="4" a="1"/>
  <c r="B6" i="4" a="1"/>
  <c r="D102" i="4" a="1"/>
  <c r="E139" i="4" a="1"/>
  <c r="D139" i="4" a="1"/>
  <c r="C139" i="4" a="1"/>
  <c r="F139" i="4" a="1"/>
  <c r="E33" i="4" a="1"/>
  <c r="D33" i="4" a="1"/>
  <c r="F33" i="4" a="1"/>
  <c r="F13" i="4" a="1"/>
  <c r="G33" i="4" a="1"/>
  <c r="B160" i="4" l="1"/>
  <c r="B146" i="4"/>
  <c r="G33" i="4"/>
  <c r="F13" i="4"/>
  <c r="F33" i="4"/>
  <c r="D33" i="4"/>
  <c r="E33" i="4"/>
  <c r="F139" i="4"/>
  <c r="C139" i="4"/>
  <c r="D139" i="4"/>
  <c r="E139" i="4"/>
  <c r="D102" i="4"/>
  <c r="B6" i="4"/>
  <c r="D89" i="4"/>
  <c r="D122" i="4"/>
  <c r="D100" i="4"/>
  <c r="D95" i="4"/>
  <c r="D127" i="4"/>
  <c r="D116" i="4"/>
  <c r="D110" i="4"/>
  <c r="D128" i="4"/>
  <c r="D108" i="4"/>
  <c r="D87" i="4"/>
  <c r="D123" i="4"/>
  <c r="D81" i="4"/>
  <c r="D117" i="4"/>
  <c r="D90" i="4"/>
  <c r="D126" i="4"/>
  <c r="D91" i="4"/>
  <c r="D132" i="4"/>
  <c r="D13" i="4"/>
  <c r="D88" i="4"/>
  <c r="D124" i="4"/>
  <c r="D97" i="4"/>
  <c r="D130" i="4"/>
  <c r="D99" i="4"/>
  <c r="D86" i="4"/>
  <c r="D106" i="4"/>
  <c r="C13" i="4"/>
  <c r="E13" i="4" s="1"/>
  <c r="D104" i="4"/>
  <c r="D118" i="4"/>
  <c r="D103" i="4"/>
  <c r="D93" i="4"/>
  <c r="D113" i="4"/>
  <c r="D82" i="4"/>
  <c r="D129" i="4"/>
  <c r="D98" i="4"/>
  <c r="D107" i="4"/>
  <c r="D125" i="4"/>
  <c r="D120" i="4"/>
  <c r="D96" i="4"/>
  <c r="G13" i="4"/>
  <c r="D105" i="4"/>
  <c r="D111" i="4"/>
  <c r="D84" i="4"/>
  <c r="D109" i="4"/>
  <c r="D83" i="4"/>
  <c r="D119" i="4"/>
  <c r="D85" i="4"/>
  <c r="D115" i="4"/>
  <c r="D92" i="4"/>
  <c r="D114" i="4"/>
  <c r="D62" i="4"/>
  <c r="B60" i="4"/>
  <c r="B134" i="4" s="1"/>
  <c r="D60" i="4"/>
  <c r="B62" i="4"/>
  <c r="B136" i="4" s="1"/>
  <c r="D61" i="4"/>
  <c r="E62" i="4"/>
  <c r="E60" i="4"/>
  <c r="E61" i="4"/>
  <c r="C60" i="4"/>
  <c r="C62" i="4"/>
  <c r="C61" i="4"/>
  <c r="B61" i="4"/>
  <c r="B135" i="4" s="1"/>
  <c r="D121" i="4"/>
  <c r="D94" i="4"/>
  <c r="D101" i="4"/>
  <c r="D112" i="4"/>
  <c r="E15" i="4"/>
  <c r="K49" i="3"/>
  <c r="L53" i="3"/>
  <c r="L45" i="3"/>
  <c r="L49" i="3" s="1"/>
  <c r="N6" i="3"/>
  <c r="M33" i="3"/>
  <c r="M46" i="3" s="1"/>
  <c r="M32" i="3"/>
  <c r="F136" i="4" l="1"/>
  <c r="G136" i="4"/>
  <c r="B147" i="4"/>
  <c r="B161" i="4"/>
  <c r="G134" i="4"/>
  <c r="F135" i="4"/>
  <c r="G135" i="4"/>
  <c r="F134" i="4"/>
  <c r="M53" i="3"/>
  <c r="M45" i="3"/>
  <c r="N33" i="3"/>
  <c r="N46" i="3" s="1"/>
  <c r="O6" i="3"/>
  <c r="N32" i="3"/>
  <c r="B148" i="4" l="1"/>
  <c r="B162" i="4"/>
  <c r="P6" i="3"/>
  <c r="O32" i="3"/>
  <c r="O33" i="3"/>
  <c r="O46" i="3" s="1"/>
  <c r="N53" i="3"/>
  <c r="N45" i="3"/>
  <c r="N49" i="3" s="1"/>
  <c r="M49" i="3"/>
  <c r="B163" i="4" l="1"/>
  <c r="B149" i="4"/>
  <c r="P33" i="3"/>
  <c r="P46" i="3" s="1"/>
  <c r="Q6" i="3"/>
  <c r="P32" i="3"/>
  <c r="O53" i="3"/>
  <c r="O45" i="3"/>
  <c r="B150" i="4" l="1"/>
  <c r="B164" i="4"/>
  <c r="O49" i="3"/>
  <c r="P53" i="3"/>
  <c r="P45" i="3"/>
  <c r="P49" i="3" s="1"/>
  <c r="Q33" i="3"/>
  <c r="Q46" i="3" s="1"/>
  <c r="D46" i="3" s="1"/>
  <c r="Q32" i="3"/>
  <c r="Q53" i="3" l="1"/>
  <c r="D53" i="3" s="1"/>
  <c r="D71" i="3" s="1"/>
  <c r="Q45" i="3"/>
  <c r="Q49" i="3" s="1"/>
  <c r="D49" i="3" s="1"/>
  <c r="D66" i="3" s="1" a="1"/>
  <c r="D66" i="3" s="1"/>
  <c r="D69" i="3" a="1"/>
  <c r="D69" i="3" s="1"/>
  <c r="C23" i="4" a="1"/>
  <c r="C25" i="4" a="1"/>
  <c r="D24" i="4" a="1"/>
  <c r="C24" i="4" a="1"/>
  <c r="D23" i="4" a="1"/>
  <c r="C27" i="4" a="1"/>
  <c r="D25" i="4" a="1"/>
  <c r="D27" i="4" a="1"/>
  <c r="C26" i="4" a="1"/>
  <c r="D26" i="4" a="1"/>
  <c r="G34" i="4" a="1"/>
  <c r="D34" i="4" a="1"/>
  <c r="F14" i="4" a="1"/>
  <c r="F34" i="4" a="1"/>
  <c r="E34" i="4" a="1"/>
  <c r="E101" i="4" a="1"/>
  <c r="E94" i="4" a="1"/>
  <c r="E90" i="4" a="1"/>
  <c r="E83" i="4" a="1"/>
  <c r="E103" i="4" a="1"/>
  <c r="E104" i="4" a="1"/>
  <c r="E113" i="4" a="1"/>
  <c r="E106" i="4" a="1"/>
  <c r="E100" i="4" a="1"/>
  <c r="E92" i="4" a="1"/>
  <c r="E119" i="4" a="1"/>
  <c r="E95" i="4" a="1"/>
  <c r="E123" i="4" a="1"/>
  <c r="E89" i="4" a="1"/>
  <c r="E128" i="4" a="1"/>
  <c r="E84" i="4" a="1"/>
  <c r="C14" i="4" a="1"/>
  <c r="E111" i="4" a="1"/>
  <c r="E99" i="4" a="1"/>
  <c r="E98" i="4" a="1"/>
  <c r="E124" i="4" a="1"/>
  <c r="E96" i="4" a="1"/>
  <c r="E82" i="4" a="1"/>
  <c r="E93" i="4" a="1"/>
  <c r="E81" i="4" a="1"/>
  <c r="E91" i="4" a="1"/>
  <c r="E116" i="4" a="1"/>
  <c r="E88" i="4" a="1"/>
  <c r="E122" i="4" a="1"/>
  <c r="E86" i="4" a="1"/>
  <c r="G14" i="4" a="1"/>
  <c r="D14" i="4" a="1"/>
  <c r="E118" i="4" a="1"/>
  <c r="E112" i="4" a="1"/>
  <c r="E130" i="4" a="1"/>
  <c r="E115" i="4" a="1"/>
  <c r="E117" i="4" a="1"/>
  <c r="E127" i="4" a="1"/>
  <c r="E121" i="4" a="1"/>
  <c r="E105" i="4" a="1"/>
  <c r="E108" i="4" a="1"/>
  <c r="E126" i="4" a="1"/>
  <c r="E97" i="4" a="1"/>
  <c r="E110" i="4" a="1"/>
  <c r="E109" i="4" a="1"/>
  <c r="E107" i="4" a="1"/>
  <c r="E120" i="4" a="1"/>
  <c r="E129" i="4" a="1"/>
  <c r="E87" i="4" a="1"/>
  <c r="E125" i="4" a="1"/>
  <c r="E85" i="4" a="1"/>
  <c r="E102" i="4" a="1"/>
  <c r="E114" i="4" a="1"/>
  <c r="D26" i="4" l="1"/>
  <c r="C26" i="4"/>
  <c r="D27" i="4"/>
  <c r="D25" i="4"/>
  <c r="C27" i="4"/>
  <c r="E27" i="4" s="1"/>
  <c r="D23" i="4"/>
  <c r="C24" i="4"/>
  <c r="D24" i="4"/>
  <c r="C25" i="4"/>
  <c r="C23" i="4"/>
  <c r="E114" i="4"/>
  <c r="E102" i="4"/>
  <c r="E85" i="4"/>
  <c r="E125" i="4"/>
  <c r="E87" i="4"/>
  <c r="E129" i="4"/>
  <c r="E120" i="4"/>
  <c r="E107" i="4"/>
  <c r="E109" i="4"/>
  <c r="E110" i="4"/>
  <c r="E97" i="4"/>
  <c r="E126" i="4"/>
  <c r="E108" i="4"/>
  <c r="E105" i="4"/>
  <c r="E121" i="4"/>
  <c r="E127" i="4"/>
  <c r="E117" i="4"/>
  <c r="E115" i="4"/>
  <c r="E130" i="4"/>
  <c r="E112" i="4"/>
  <c r="E118" i="4"/>
  <c r="D14" i="4"/>
  <c r="G14" i="4"/>
  <c r="E86" i="4"/>
  <c r="E122" i="4"/>
  <c r="E88" i="4"/>
  <c r="E116" i="4"/>
  <c r="E91" i="4"/>
  <c r="E81" i="4"/>
  <c r="E93" i="4"/>
  <c r="E82" i="4"/>
  <c r="E96" i="4"/>
  <c r="E124" i="4"/>
  <c r="E98" i="4"/>
  <c r="E99" i="4"/>
  <c r="E111" i="4"/>
  <c r="C14" i="4"/>
  <c r="E84" i="4"/>
  <c r="E128" i="4"/>
  <c r="E89" i="4"/>
  <c r="E123" i="4"/>
  <c r="E95" i="4"/>
  <c r="E119" i="4"/>
  <c r="E92" i="4"/>
  <c r="E100" i="4"/>
  <c r="E106" i="4"/>
  <c r="E113" i="4"/>
  <c r="E104" i="4"/>
  <c r="E103" i="4"/>
  <c r="E83" i="4"/>
  <c r="E90" i="4"/>
  <c r="E94" i="4"/>
  <c r="E101" i="4"/>
  <c r="E34" i="4"/>
  <c r="F34" i="4"/>
  <c r="F14" i="4"/>
  <c r="D34" i="4"/>
  <c r="G34" i="4"/>
  <c r="D45" i="3"/>
  <c r="E26" i="4" l="1"/>
  <c r="F24" i="4"/>
  <c r="F25" i="4"/>
  <c r="E23" i="4"/>
  <c r="F26" i="4"/>
  <c r="F27" i="4"/>
  <c r="F23" i="4"/>
  <c r="E25" i="4"/>
  <c r="E24" i="4"/>
  <c r="E14" i="4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<sst xmlns="http://schemas.openxmlformats.org/spreadsheetml/2006/main" count="387" uniqueCount="262">
  <si>
    <t xml:space="preserve">Валютный и процентный риск</t>
  </si>
  <si>
    <t xml:space="preserve">Пример МоделРиск  ·  Корпоративные финансы  ·  CF-05</t>
  </si>
  <si>
    <t xml:space="preserve">Сколько денежного потока могут стоить колебания курсов и ставок и сколько экономит хеджирование половины позиций?</t>
  </si>
  <si>
    <t xml:space="preserve">Далее:  Исходные данные  ▸</t>
  </si>
  <si>
    <t xml:space="preserve">Карточка модели</t>
  </si>
  <si>
    <t xml:space="preserve">Отрасль</t>
  </si>
  <si>
    <t xml:space="preserve">Корпоративные финансы</t>
  </si>
  <si>
    <t xml:space="preserve">Сложность</t>
  </si>
  <si>
    <t xml:space="preserve">★★★☆☆   Три коррелированные рыночные цены, смоделированные вместе (VoseTimeMultiGBM) на двенадцать кварталов; политика хеджирования.</t>
  </si>
  <si>
    <t xml:space="preserve">Вопрос бизнеса</t>
  </si>
  <si>
    <t xml:space="preserve">Европейская машиностроительная компания продает в долларах США, производит большую часть продукции на британском заводе, затраты которого оплачиваются в фунтах, и имеет кредит в евро с плавающей ставкой. Ее квартальный денежный поток невелик. Насколько доллар, фунт и Euribor могут изменить ее денежный поток за следующие три года, как часто квартал будет отрицательным и насколько поможет политика хеджирования половины каждой позиции?</t>
  </si>
  <si>
    <t xml:space="preserve">Для кого</t>
  </si>
  <si>
    <t xml:space="preserve">Казначеям, финансовым директорам и комитетам по рискам, устанавливающим политику хеджирования; службам финансового планирования, прогнозирующим денежные средства в нескольких валютах.</t>
  </si>
  <si>
    <t xml:space="preserve">Основные результаты</t>
  </si>
  <si>
    <t xml:space="preserve">Денежный поток за три года без хеджирования и с хеджированием: среднее, 5-й процентиль и денежный поток под риском · вероятность отрицательного квартала · влияние корреляции доллара и фунта · веер квартальных денежных потоков · главные факторы.</t>
  </si>
  <si>
    <t xml:space="preserve">Приемы МоделРиск</t>
  </si>
  <si>
    <t xml:space="preserve">EUR/USD, EUR/GBP и Euribor, смоделированные вместе как многомерное геометрическое броуновское движение с ковариационной матрицей (VoseTimeMultiGBM) · форвардные курсы из разницы процентных ставок · политика хеджирования на тех же траекториях · сравнение с независимыми валютами · веерная диаграмма и S-кривые.</t>
  </si>
  <si>
    <t xml:space="preserve">Файл</t>
  </si>
  <si>
    <t xml:space="preserve">CF-05 Валютный и процентный риск  ·  Версия 1.0  ·  Ноябрь 2026  ·  создано в МоделРиск</t>
  </si>
  <si>
    <t xml:space="preserve">Вопрос бизнеса</t>
  </si>
  <si>
    <t xml:space="preserve">Европейская машиностроительная компания выставляет американским покупателям счета примерно на 45 млн долл. в квартал. Большую часть продукции она производит на заводе в Великобритании с затратами около 20 млн фунтов в квартал, имеет 12 млн евро прочих затрат и платит Euribor плюс 1,75% по кредиту на 250 млн евро. По текущим курсам бизнес приносит около 2,7 млн евро в квартал — так мало, что более слабый доллар или более сильный фунт может сделать квартал отрицательным. Доллар и фунт обычно движутся относительно евро вместе, и это частично защищает компанию: ее долларовая выручка и затраты в фунтах меняются в одну сторону. Совет директоров обсуждает политику хеджирования половины каждой позиции: форвардные контракты на валюты и процентный своп по кредиту. Модель моделирует три рынка вместе на двенадцать кварталов.</t>
  </si>
  <si>
    <t xml:space="preserve">Как устроена модель</t>
  </si>
  <si>
    <t xml:space="preserve">Дальше три листа, слева направо. Каждый передает данные следующему.</t>
  </si>
  <si>
    <t xml:space="preserve">1  Исходные данные</t>
  </si>
  <si>
    <t xml:space="preserve">Продажи в долларах, затраты в фунтах и евро и кредит; текущие курсы и процентные ставки; годовая волатильность каждого рынка и корреляции между ними; доля каждой позиции, которая хеджируется, и ставка свопа.</t>
  </si>
  <si>
    <t xml:space="preserve">2  Денежный поток</t>
  </si>
  <si>
    <t xml:space="preserve">VoseTimeMultiGBM выбирает двенадцать кварталов трех рынков вместе по их ковариационной матрице. В каждом квартале долларовые продажи и затраты в фунтах пересчитываются по курсам этого квартала, а по кредиту платится Euribor плюс маржа. В варианте с хеджированием половина каждой позиции фиксируется по сегодняшним форвардным курсам и ставке свопа.</t>
  </si>
  <si>
    <t xml:space="preserve">3  Результаты</t>
  </si>
  <si>
    <t xml:space="preserve">Денежный поток за три года — среднее, 5-й процентиль и денежный поток под риском — без хеджирования, с хеджированием и при независимых валютах; вероятность отрицательного квартала; поквартально; главные факторы.</t>
  </si>
  <si>
    <t xml:space="preserve">Как пользоваться моделью</t>
  </si>
  <si>
    <t xml:space="preserve">Шаг 1</t>
  </si>
  <si>
    <t xml:space="preserve">Введите свои квартальные позиции, текущие рыночные курсы и политику хеджирования на листе «Исходные данные».</t>
  </si>
  <si>
    <t xml:space="preserve">Шаг 2</t>
  </si>
  <si>
    <t xml:space="preserve">Задайте волатильности и корреляции по рыночным данным (например, по трем годам недельных изменений).</t>
  </si>
  <si>
    <t xml:space="preserve">Шаг 3</t>
  </si>
  <si>
    <t xml:space="preserve">Запустите моделирование на ленте МоделРиск (уже заданы 10 000 итераций и фиксированное начальное число генератора).</t>
  </si>
  <si>
    <t xml:space="preserve">Шаг 4</t>
  </si>
  <si>
    <t xml:space="preserve">Выберите долю хеджирования, при которой денежный поток под риском приемлем для компании.</t>
  </si>
  <si>
    <t xml:space="preserve">Структура модели</t>
  </si>
  <si>
    <t xml:space="preserve">Исходные данные</t>
  </si>
  <si>
    <t xml:space="preserve">Позиции, рынки, волатильности и корреляции, политика хеджирования.</t>
  </si>
  <si>
    <t xml:space="preserve">Денежный поток</t>
  </si>
  <si>
    <t xml:space="preserve">Модель рынков, двенадцать кварталов курсов и денежных потоков с хеджированием и без; результаты и проверки.</t>
  </si>
  <si>
    <t xml:space="preserve">Результаты</t>
  </si>
  <si>
    <t xml:space="preserve">Денежный поток под риском, отрицательные кварталы, влияние корреляции, главные факторы.</t>
  </si>
  <si>
    <t xml:space="preserve">Цветовые обозначения</t>
  </si>
  <si>
    <t xml:space="preserve">Исходное значение</t>
  </si>
  <si>
    <t xml:space="preserve">Допущение, которое можно менять. Исходные данные — только в этих ячейках.</t>
  </si>
  <si>
    <t xml:space="preserve">Неопределенная величина</t>
  </si>
  <si>
    <t xml:space="preserve">Распределение МоделРиск: новое случайное значение выбирается при каждом пересчете (F9) и в каждой итерации моделирования.</t>
  </si>
  <si>
    <t xml:space="preserve">Расчет</t>
  </si>
  <si>
    <t xml:space="preserve">Формула. Не перезаписывайте.</t>
  </si>
  <si>
    <t xml:space="preserve">Ключевой результат</t>
  </si>
  <si>
    <t xml:space="preserve">Отмечен функцией VoseOutput: при моделировании сохраняется его полное распределение.</t>
  </si>
  <si>
    <t xml:space="preserve">Результат моделирования</t>
  </si>
  <si>
    <t xml:space="preserve">Функция VoseSim…: статистика последнего моделирования, заполняется автоматически.</t>
  </si>
  <si>
    <t xml:space="preserve">Единицы и обозначения</t>
  </si>
  <si>
    <t xml:space="preserve">Деньги</t>
  </si>
  <si>
    <t xml:space="preserve">Миллионы евро (млн евро); суммы в долларах и фунтах — в млн долл. и млн фунтов.</t>
  </si>
  <si>
    <t xml:space="preserve">Валютные курсы</t>
  </si>
  <si>
    <t xml:space="preserve">Единиц иностранной валюты за евро: более высокий EUR/USD означает более слабый доллар.</t>
  </si>
  <si>
    <t xml:space="preserve">Денежный поток под риском</t>
  </si>
  <si>
    <t xml:space="preserve">Средний денежный поток за вычетом его 5-го процентиля: насколько хуже ожидаемого может оказаться результат один раз из двадцати.</t>
  </si>
  <si>
    <t xml:space="preserve">Кварталы</t>
  </si>
  <si>
    <t xml:space="preserve">Квартал 1 — следующий квартал; двенадцать кварталов, три года.</t>
  </si>
  <si>
    <t xml:space="preserve">Основные допущения и ограничения</t>
  </si>
  <si>
    <t xml:space="preserve">Рынки</t>
  </si>
  <si>
    <t xml:space="preserve">Логарифмические изменения нормальны, их волатильности и корреляции постоянны; текущие курсы — медианный прогноз.</t>
  </si>
  <si>
    <t xml:space="preserve">Хеджирование</t>
  </si>
  <si>
    <t xml:space="preserve">Форварды и своп заключаются сегодня на все двенадцать кварталов; без кредитного риска и маржинальных требований.</t>
  </si>
  <si>
    <t xml:space="preserve">Бизнес</t>
  </si>
  <si>
    <t xml:space="preserve">Объемы и цены в местной валюте фиксированы: денежный поток меняют только рынки.</t>
  </si>
  <si>
    <t xml:space="preserve">Данные</t>
  </si>
  <si>
    <t xml:space="preserve">Компания и все цифры придуманы для этого примера.</t>
  </si>
  <si>
    <t xml:space="preserve">Функции МоделРиск в модели</t>
  </si>
  <si>
    <t>VoseTimeMultiGBM</t>
  </si>
  <si>
    <t xml:space="preserve">EUR/USD, EUR/GBP и Euribor на двенадцать кварталов, выбранные вместе по ковариационной матрице.</t>
  </si>
  <si>
    <t>VoseInput, VoseOutput</t>
  </si>
  <si>
    <t xml:space="preserve">Задают имена факторов, а денежные потоки — как результаты.</t>
  </si>
  <si>
    <t>VoseSimMean, VoseSimPercentile</t>
  </si>
  <si>
    <t xml:space="preserve">Статистика моделирования для таблиц и графиков на листе «Результаты».</t>
  </si>
  <si>
    <t>VoseSimSensitivityMean</t>
  </si>
  <si>
    <t xml:space="preserve">Диаграмма «торнадо»: все VoseInput по порядку того, насколько меняется средний денежный поток без хеджирования в пределах их диапазона.</t>
  </si>
  <si>
    <t xml:space="preserve">Что почитать</t>
  </si>
  <si>
    <t xml:space="preserve">Казначейские риски</t>
  </si>
  <si>
    <t>Coyle, B. (2000). Hedging Currency Exposures. Global Professional Publishing.</t>
  </si>
  <si>
    <t xml:space="preserve">Анализ рисков</t>
  </si>
  <si>
    <t xml:space="preserve">Cash Flow at Risk (CFaR): расчет методом Монте-Карло с примером (статья)</t>
  </si>
  <si>
    <t xml:space="preserve">© 2026 ООО «Стратегия Риска»   ·   www.riskstrategy.ru   ·   Учебный пример: цифры придуманы для обучения и не описывают реальную компанию, проект или актив.</t>
  </si>
  <si>
    <t xml:space="preserve">ИСХОДНЫЕ ДАННЫЕ   ·   Все допущения модели, их неопределенность и обоснование. Меняйте только желтые ячейки.</t>
  </si>
  <si>
    <t xml:space="preserve">◂  Описание</t>
  </si>
  <si>
    <t xml:space="preserve">Далее:  Денежный поток  ▸</t>
  </si>
  <si>
    <t xml:space="preserve">Как читать этот лист:  желтые ячейки — исходные данные.</t>
  </si>
  <si>
    <t xml:space="preserve">1   Позиции</t>
  </si>
  <si>
    <t xml:space="preserve">Каждый квартал.</t>
  </si>
  <si>
    <t xml:space="preserve">Допущение</t>
  </si>
  <si>
    <t xml:space="preserve">Ед. изм.</t>
  </si>
  <si>
    <t xml:space="preserve">Значение в модели</t>
  </si>
  <si>
    <t xml:space="preserve">Неопределенность</t>
  </si>
  <si>
    <t xml:space="preserve">Обоснование / источник (условно)</t>
  </si>
  <si>
    <t xml:space="preserve">Продажи в долларах США</t>
  </si>
  <si>
    <t xml:space="preserve">млн долл. в квартал</t>
  </si>
  <si>
    <t xml:space="preserve">Константа</t>
  </si>
  <si>
    <t xml:space="preserve">Американские покупатели, счета в долларах.</t>
  </si>
  <si>
    <t xml:space="preserve">Затраты британского завода</t>
  </si>
  <si>
    <t xml:space="preserve">млн фунтов в квартал</t>
  </si>
  <si>
    <t xml:space="preserve">Прочие затраты</t>
  </si>
  <si>
    <t xml:space="preserve">млн евро в квартал</t>
  </si>
  <si>
    <t xml:space="preserve">Кредит с плавающей ставкой</t>
  </si>
  <si>
    <t xml:space="preserve">млн евро</t>
  </si>
  <si>
    <t xml:space="preserve">Маржа по кредиту сверх Euribor</t>
  </si>
  <si>
    <t xml:space="preserve">в год</t>
  </si>
  <si>
    <t xml:space="preserve">2   Рынки сегодня</t>
  </si>
  <si>
    <t xml:space="preserve">Спот-курсы и процентные ставки, задающие форвардные курсы.</t>
  </si>
  <si>
    <t>EUR/USD</t>
  </si>
  <si>
    <t xml:space="preserve">долл. за евро</t>
  </si>
  <si>
    <t>EUR/GBP</t>
  </si>
  <si>
    <t xml:space="preserve">фунтов за евро</t>
  </si>
  <si>
    <t>Euribor</t>
  </si>
  <si>
    <t xml:space="preserve">Процентная ставка по доллару</t>
  </si>
  <si>
    <t xml:space="preserve">Для форвардных курсов.</t>
  </si>
  <si>
    <t xml:space="preserve">Процентная ставка по фунту</t>
  </si>
  <si>
    <t xml:space="preserve">3   Рыночный риск</t>
  </si>
  <si>
    <t xml:space="preserve">Годовые волатильности логарифмических изменений и их корреляции.</t>
  </si>
  <si>
    <t xml:space="preserve">Волатильность EUR/USD</t>
  </si>
  <si>
    <t xml:space="preserve">Три года недельных изменений.</t>
  </si>
  <si>
    <t xml:space="preserve">Волатильность EUR/GBP</t>
  </si>
  <si>
    <t xml:space="preserve">Волатильность Euribor  (относительная)</t>
  </si>
  <si>
    <t xml:space="preserve">Логарифма курса.</t>
  </si>
  <si>
    <t xml:space="preserve">Корреляция EUR/USD и EUR/GBP</t>
  </si>
  <si>
    <t xml:space="preserve">от −1 до 1</t>
  </si>
  <si>
    <t xml:space="preserve">Доллар и фунт обычно движутся относительно евро вместе.</t>
  </si>
  <si>
    <t xml:space="preserve">Корреляция курсов и Euribor</t>
  </si>
  <si>
    <t xml:space="preserve">4   Политика хеджирования</t>
  </si>
  <si>
    <t xml:space="preserve">Применяется к каждому кварталу начиная с сегодняшнего дня.</t>
  </si>
  <si>
    <t xml:space="preserve">Доля каждой позиции, которая хеджируется</t>
  </si>
  <si>
    <t xml:space="preserve">Форварды на валюты, своп по кредиту.</t>
  </si>
  <si>
    <t xml:space="preserve">Ставка свопа  (фиксированная, вместо Euribor)</t>
  </si>
  <si>
    <t xml:space="preserve">Котировка трехлетнего свопа.</t>
  </si>
  <si>
    <t xml:space="preserve">ДЕНЕЖНЫЙ ПОТОК   ·   Двенадцать кварталов валютных курсов, Euribor и денежного потока без хеджирования и с хеджированием (млн евро).</t>
  </si>
  <si>
    <t xml:space="preserve">◂  Исходные данные</t>
  </si>
  <si>
    <t xml:space="preserve">Далее:  Результаты  ▸</t>
  </si>
  <si>
    <t xml:space="preserve">Квартал</t>
  </si>
  <si>
    <t xml:space="preserve">Итого</t>
  </si>
  <si>
    <t xml:space="preserve">1   Модель рынков</t>
  </si>
  <si>
    <t xml:space="preserve">Квартальные параметры для VoseTimeMultiGBM: среднее логарифмическое изменение −σ²/2 сохраняет ожидаемое значение каждого квартала на уровне текущего курса.</t>
  </si>
  <si>
    <t xml:space="preserve">Параметр</t>
  </si>
  <si>
    <t xml:space="preserve">Квартальная волатильность  (годовая ÷ 2)</t>
  </si>
  <si>
    <t xml:space="preserve">Среднее квартальное логарифмическое изменение  (−σ²/2)</t>
  </si>
  <si>
    <t xml:space="preserve">Текущее значение</t>
  </si>
  <si>
    <t xml:space="preserve">Корреляционная матрица:  EUR/USD</t>
  </si>
  <si>
    <t xml:space="preserve">                       EUR/GBP</t>
  </si>
  <si>
    <t xml:space="preserve">                       Euribor</t>
  </si>
  <si>
    <t xml:space="preserve">Собственные значения корреляционной матрицы</t>
  </si>
  <si>
    <t xml:space="preserve">Все больше 0: матрица корректна (проверка ниже)</t>
  </si>
  <si>
    <t xml:space="preserve">Ковариационная матрица:  EUR/USD</t>
  </si>
  <si>
    <t xml:space="preserve">VoseCorrToCov(корреляции, волатильности)</t>
  </si>
  <si>
    <t xml:space="preserve">                      EUR/GBP</t>
  </si>
  <si>
    <t xml:space="preserve">                      Euribor</t>
  </si>
  <si>
    <t xml:space="preserve">Ковариация, независимые рынки:  EUR/USD</t>
  </si>
  <si>
    <t xml:space="preserve">Те же волатильности, все корреляции равны 0: МЕДИН(3) — единичная матрица</t>
  </si>
  <si>
    <t xml:space="preserve">                                    EUR/GBP</t>
  </si>
  <si>
    <t xml:space="preserve">                                    Euribor</t>
  </si>
  <si>
    <t xml:space="preserve">2   Рынки</t>
  </si>
  <si>
    <t xml:space="preserve">VoseTimeMultiGBM: три рынка, выбранные вместе, квартал за кварталом.</t>
  </si>
  <si>
    <t xml:space="preserve">EUR/USD  (результат, для веерной диаграммы)</t>
  </si>
  <si>
    <t xml:space="preserve">Форвардный EUR/USD, заключенный сегодня</t>
  </si>
  <si>
    <t xml:space="preserve">Форвардный EUR/GBP, заключенный сегодня</t>
  </si>
  <si>
    <t xml:space="preserve">3   Денежный поток без хеджирования</t>
  </si>
  <si>
    <t xml:space="preserve">Продажи в долларах</t>
  </si>
  <si>
    <t xml:space="preserve">Проценты</t>
  </si>
  <si>
    <t xml:space="preserve">Денежный поток без хеджирования  (результат, для веерной диаграммы)</t>
  </si>
  <si>
    <t xml:space="preserve">4   Денежный поток с политикой хеджирования</t>
  </si>
  <si>
    <t xml:space="preserve">5   Полное хеджирование</t>
  </si>
  <si>
    <t xml:space="preserve">Каждый поток по своему форвардному курсу или ставке свопа, поэтому неопределенности нет. Любая доля хеджирования смешивает его с денежным потоком без хеджирования.</t>
  </si>
  <si>
    <t xml:space="preserve">Денежный поток при полном хеджировании</t>
  </si>
  <si>
    <t xml:space="preserve">6   Для сравнения: те же рынки, независимые друг от друга</t>
  </si>
  <si>
    <t xml:space="preserve">Те же волатильности, все корреляции равны нулю.</t>
  </si>
  <si>
    <t xml:space="preserve">Денежный поток без хеджирования, независимые рынки</t>
  </si>
  <si>
    <t xml:space="preserve">7   Значение в этой итерации</t>
  </si>
  <si>
    <t xml:space="preserve">Ключевые результаты, которые МоделРиск записывает в каждой итерации (VoseOutput). Их статистика — на листе «Результаты».</t>
  </si>
  <si>
    <t xml:space="preserve">Результат</t>
  </si>
  <si>
    <t xml:space="preserve">Значение</t>
  </si>
  <si>
    <t xml:space="preserve">Смысл</t>
  </si>
  <si>
    <t xml:space="preserve">Денежный поток за 3 года без хеджирования</t>
  </si>
  <si>
    <t xml:space="preserve">Денежный поток за 3 года с хеджированием</t>
  </si>
  <si>
    <t xml:space="preserve">Денежный поток за 3 года без хеджирования, независимые рынки</t>
  </si>
  <si>
    <t xml:space="preserve">Отрицательные кварталы без хеджирования</t>
  </si>
  <si>
    <t xml:space="preserve">из 12</t>
  </si>
  <si>
    <t xml:space="preserve">Отрицательные кварталы с хеджированием</t>
  </si>
  <si>
    <t xml:space="preserve">Отрицательные кварталы, независимые рынки</t>
  </si>
  <si>
    <t xml:space="preserve">Денежный поток за 3 года при полном хеджировании</t>
  </si>
  <si>
    <t xml:space="preserve">Неопределенности нет: каждый поток по своему форвардному курсу или ставке свопа.</t>
  </si>
  <si>
    <t xml:space="preserve">Денежный поток за 3 года по текущим курсам</t>
  </si>
  <si>
    <t xml:space="preserve">Без движения рынков.</t>
  </si>
  <si>
    <t xml:space="preserve">Средний EUR/USD за 3 года</t>
  </si>
  <si>
    <t xml:space="preserve">Отмечены как исходные величины для диаграммы «торнадо».</t>
  </si>
  <si>
    <t xml:space="preserve">Средний EUR/GBP за 3 года</t>
  </si>
  <si>
    <t xml:space="preserve">Средний Euribor за 3 года</t>
  </si>
  <si>
    <t xml:space="preserve">8   Проверки модели</t>
  </si>
  <si>
    <t xml:space="preserve">Везде должно быть «ОК». «ПРОВЕРИТЬ» означает, что исходное значение вышло за пределы, на которые рассчитана модель.</t>
  </si>
  <si>
    <t xml:space="preserve">Корреляционная матрица корректна  (все собственные значения больше 0)</t>
  </si>
  <si>
    <t xml:space="preserve">Доля хеджирования — от 0% до 100%</t>
  </si>
  <si>
    <t xml:space="preserve">РЕЗУЛЬТАТЫ   ·   Заполняются автоматически по последнему моделированию. После изменения исходных данных запустите моделирование снова.</t>
  </si>
  <si>
    <t xml:space="preserve">◂  Денежный поток</t>
  </si>
  <si>
    <t xml:space="preserve">1   Денежный поток под риском</t>
  </si>
  <si>
    <t xml:space="preserve">Денежный поток за 3 года — интегральная вероятность</t>
  </si>
  <si>
    <t xml:space="preserve">Денежный поток за три года (млн евро). Денежный поток под риском = среднее − 5-й процентиль.</t>
  </si>
  <si>
    <t xml:space="preserve">Политика</t>
  </si>
  <si>
    <t xml:space="preserve">Среднее</t>
  </si>
  <si>
    <t xml:space="preserve">5-й проц.</t>
  </si>
  <si>
    <t xml:space="preserve">Вероятность</t>
  </si>
  <si>
    <t xml:space="preserve">95-й проц.</t>
  </si>
  <si>
    <t xml:space="preserve">под риском</t>
  </si>
  <si>
    <t xml:space="preserve">отрицательного квартала</t>
  </si>
  <si>
    <t xml:space="preserve">Без хеджирования</t>
  </si>
  <si>
    <t xml:space="preserve">Политика хеджирования</t>
  </si>
  <si>
    <t xml:space="preserve">Без хеджирования, если бы рынки были независимы</t>
  </si>
  <si>
    <t xml:space="preserve">Показатель</t>
  </si>
  <si>
    <t xml:space="preserve">2   Какую долю хеджировать?</t>
  </si>
  <si>
    <t xml:space="preserve">Любая доля точно получается из расчета без хеджирования: в каждом варианте будущего денежный поток с хеджированием = (1 − доля) × без хеджирования + доля × при полном хеджировании (млн евро за 3 года).</t>
  </si>
  <si>
    <t xml:space="preserve">Доля хеджирования</t>
  </si>
  <si>
    <t xml:space="preserve">Цена</t>
  </si>
  <si>
    <t xml:space="preserve">хеджирования</t>
  </si>
  <si>
    <t xml:space="preserve">Квартальный денежный поток без хеджирования — от 10-го до 90-го процентиля</t>
  </si>
  <si>
    <t xml:space="preserve">Цена хеджирования: средний денежный поток, от которого компания отказывается по сравнению с отсутствием хеджирования. Строка политики выше — строка для доли, указанной на листе «Исходные данные».</t>
  </si>
  <si>
    <t xml:space="preserve">3   Поквартально</t>
  </si>
  <si>
    <t xml:space="preserve">Сколько из двенадцати кварталов окажутся отрицательными.</t>
  </si>
  <si>
    <t xml:space="preserve">Медиана</t>
  </si>
  <si>
    <t xml:space="preserve">4   Доллар</t>
  </si>
  <si>
    <t xml:space="preserve">EUR/USD по кварталам — от 10-го до 90-го процентиля</t>
  </si>
  <si>
    <t xml:space="preserve">EUR/USD по кварталам: чем дальше вперед, тем шире диапазон.</t>
  </si>
  <si>
    <t xml:space="preserve">10-й проц.</t>
  </si>
  <si>
    <t xml:space="preserve">90-й проц.</t>
  </si>
  <si>
    <t xml:space="preserve">долл. за евро</t>
  </si>
  <si>
    <t xml:space="preserve">5   Что определяет денежный поток</t>
  </si>
  <si>
    <t xml:space="preserve">Что определяет денежный поток без хеджирования  (млн евро)</t>
  </si>
  <si>
    <t xml:space="preserve">Самый низкий и самый высокий средний денежный поток по десяти равным группам среднего значения каждого рынка (VoseSimSensitivityMean), отложенные от общего среднего.</t>
  </si>
  <si>
    <t xml:space="preserve">Исходная величина (по степени влияния)</t>
  </si>
  <si>
    <t xml:space="preserve">Наименьшее среднее</t>
  </si>
  <si>
    <t xml:space="preserve">Наибольшее среднее</t>
  </si>
  <si>
    <t xml:space="preserve">Место</t>
  </si>
  <si>
    <t xml:space="preserve">6   Как читать результаты</t>
  </si>
  <si>
    <t xml:space="preserve">•  Более слабый доллар (более высокий EUR/USD) уменьшает стоимость продаж в евро; более слабый фунт (более высокий EUR/GBP) уменьшает стоимость британского завода в евро. Без хеджирования денежный поток за три года может оказаться намного ниже того, что обещают текущие курсы, а вероятность хотя бы одного отрицательного квартала близка к половине.</t>
  </si>
  <si>
    <t xml:space="preserve">•  Хеджирование половины каждой позиции вдвое уменьшает денежный поток под риском и почти вдвое — вероятность отрицательного квартала, но оно не бесплатно. Процентные ставки по доллару и фунту выше Euribor, поэтому форвардные курсы выше текущих, и проданные вперед доллары покупают меньше евро: хеджирование стоит около 5 млн евро среднего денежного потока за три года. Остальное — собственная позиция бизнеса, которую задает доля хеджирования. Таблица долей показывает все варианты сразу: денежный поток под риском уменьшается пропорционально нехеджированной доле, а цена растет вместе с хеджируемой долей.</t>
  </si>
  <si>
    <t xml:space="preserve">•  Доллар и фунт обычно движутся относительно евро вместе, поэтому продажи и британские затраты частично компенсируют друг друга: при независимых рынках денежный поток под риском был бы заметно больше. Хеджирование без учета этой корреляции оказалось бы избыточным.</t>
  </si>
  <si>
    <t xml:space="preserve">•  Диаграмма «торнадо» показывает главный фактор — EUR/USD: средний денежный поток меняется от примерно 99 млн евро в десятой части вариантов с самым слабым евро до примерно −18 млн евро в десятой части с самым сильным. Полоса EUR/GBP мала, и в основном это эффект EUR/USD: сильный евро против фунта идет вместе с сильным евро против доллара, поэтому денежный поток там ниже, хотя дешевый фунт снижает британские затраты. Когда величины коррелируют, «торнадо» измеряет связь, а не причину. Euribor значит мало: кредит обходится намного дешевле, чем колебания курсов.</t>
  </si>
  <si>
    <t xml:space="preserve">Данные для графиков</t>
  </si>
  <si>
    <t xml:space="preserve">Статистика последнего моделирования для графиков и рейтинга выше. Строки сгруппированы: нажмите «+» на левом поле, чтобы их показать.</t>
  </si>
  <si>
    <t xml:space="preserve">Накопленная вероятность</t>
  </si>
  <si>
    <t xml:space="preserve">Вероятность превышения</t>
  </si>
  <si>
    <t>CF_U</t>
  </si>
  <si>
    <t>CF_H</t>
  </si>
  <si>
    <t>CF_I</t>
  </si>
  <si>
    <t xml:space="preserve">Общее среднее CF_U</t>
  </si>
  <si>
    <t xml:space="preserve">Исходная величина (для графика)</t>
  </si>
  <si>
    <t xml:space="preserve">Наибольшее − среднее</t>
  </si>
  <si>
    <t xml:space="preserve">Наименьшее − среднее</t>
  </si>
  <si>
    <t xml:space="preserve">Период</t>
  </si>
  <si>
    <t xml:space="preserve">10-й процентиль</t>
  </si>
  <si>
    <t xml:space="preserve">90-й процентиль</t>
  </si>
  <si>
    <t>DSN Files Count: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</si>
</sst>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#,##0.0_);\(#,##0.0\);&quot;–&quot;_)"/>
    <numFmt numFmtId="165" formatCode="0.0000"/>
    <numFmt numFmtId="166" formatCode="0.0%"/>
    <numFmt numFmtId="167" formatCode="0.000%"/>
    <numFmt numFmtId="168" formatCode="0.000"/>
    <numFmt numFmtId="169" formatCode="0.00000"/>
    <numFmt numFmtId="170" formatCode="#,##0.00_);\(#,##0.00\);&quot;–&quot;_)"/>
    <numFmt numFmtId="171" formatCode="#,##0.0_);\(#,##0.0\);&quot;–&quot;_);&quot;–&quot;"/>
    <numFmt numFmtId="172" formatCode="#,##0.0;\-#,##0.0;0.0;@"/>
    <numFmt numFmtId="173" formatCode="0.0%;\-0.0%;0.0%;&quot;–&quot;"/>
    <numFmt numFmtId="174" formatCode="0.000;\-0.000;0.000;&quot;–&quot;"/>
    <numFmt numFmtId="175" formatCode="0;\-0;0;&quot;–&quot;"/>
  </numFmts>
  <fonts count="25" x14ac:knownFonts="1">
    <font>
      <sz val="11"/>
      <color theme="1"/>
      <name val="Calibri"/>
      <family val="2"/>
      <scheme val="minor"/>
    </font>
    <font>
      <sz val="10"/>
      <color rgb="FF1F2328"/>
      <name val="Calibri"/>
    </font>
    <font>
      <sz val="10"/>
      <color rgb="FF9A3412"/>
      <name val="Calibri"/>
    </font>
    <font>
      <sz val="10"/>
      <color rgb="FF111214"/>
      <name val="Calibri"/>
    </font>
    <font>
      <b/>
      <sz val="10"/>
      <color rgb="FF14532D"/>
      <name val="Calibri"/>
    </font>
    <font>
      <b/>
      <sz val="16"/>
      <color rgb="FF111214"/>
      <name val="Calibri"/>
    </font>
    <font>
      <sz val="10"/>
      <color rgb="FF55585F"/>
      <name val="Calibri"/>
    </font>
    <font>
      <sz val="9"/>
      <color rgb="FF55585F"/>
      <name val="Calibri"/>
    </font>
    <font>
      <u/>
      <sz val="9"/>
      <color rgb="FF1F2328"/>
      <name val="Calibri"/>
    </font>
    <font>
      <b/>
      <sz val="20"/>
      <color rgb="FF111214"/>
      <name val="Calibri"/>
    </font>
    <font>
      <b/>
      <sz val="12"/>
      <color rgb="FF1F2328"/>
      <name val="Calibri"/>
    </font>
    <font>
      <b/>
      <sz val="10"/>
      <color rgb="FF55585F"/>
      <name val="Calibri"/>
    </font>
    <font>
      <b/>
      <sz val="10"/>
      <color rgb="FF111214"/>
      <name val="Calibri"/>
    </font>
    <font>
      <i/>
      <sz val="9"/>
      <color rgb="FF55585F"/>
      <name val="Calibri"/>
    </font>
    <font>
      <u/>
      <sz val="10"/>
      <color rgb="FF1F2328"/>
      <name val="Calibri"/>
    </font>
    <font>
      <b/>
      <sz val="10"/>
      <color rgb="FF1F2328"/>
      <name val="Calibri"/>
    </font>
    <font>
      <i/>
      <sz val="9"/>
      <color rgb="FF8B8E95"/>
      <name val="Calibri"/>
    </font>
    <font>
      <b/>
      <sz val="9"/>
      <color rgb="FF55585F"/>
      <name val="Calibri"/>
    </font>
    <font>
      <sz val="9"/>
      <color rgb="FF55585F"/>
      <name val="Calibri"/>
    </font>
    <font>
      <b/>
      <sz val="9"/>
      <color rgb="FF111214"/>
      <name val="Calibri"/>
    </font>
    <font>
      <b/>
      <sz val="9"/>
      <color rgb="FF8B8E95"/>
      <name val="Calibri"/>
    </font>
    <font>
      <b/>
      <sz val="10"/>
      <color rgb="FF15803D"/>
      <name val="Calibri"/>
    </font>
    <font>
      <sz val="8"/>
      <color rgb="FF55585F"/>
      <name val="Calibri"/>
    </font>
    <font>
      <sz val="10"/>
      <color rgb="FF55585F"/>
      <name val="Calibri"/>
    </font>
    <font>
      <b/>
      <sz val="11"/>
      <color rgb="FF1F2328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F4CC"/>
        <bgColor rgb="FFFFF4CC"/>
      </patternFill>
    </fill>
    <fill>
      <patternFill patternType="solid">
        <fgColor rgb="FFFCE4D6"/>
        <bgColor rgb="FFFCE4D6"/>
      </patternFill>
    </fill>
    <fill>
      <patternFill patternType="solid">
        <fgColor rgb="FFE3F1E6"/>
        <bgColor rgb="FFE3F1E6"/>
      </patternFill>
    </fill>
    <fill>
      <patternFill patternType="solid">
        <fgColor rgb="FFEEF0F2"/>
        <bgColor rgb="FFEEF0F2"/>
      </patternFill>
    </fill>
    <fill>
      <patternFill patternType="solid">
        <fgColor rgb="FFF4F4F5"/>
        <bgColor rgb="FFF4F4F5"/>
      </patternFill>
    </fill>
    <fill>
      <patternFill patternType="solid">
        <fgColor rgb="FFF4F4F5"/>
        <bgColor rgb="FFF4F4F5"/>
      </patternFill>
    </fill>
  </fills>
  <borders count="12">
    <border>
      <left/>
      <right/>
      <top/>
      <bottom/>
      <diagonal/>
    </border>
    <border>
      <left style="thin">
        <color rgb="FFD9DADD"/>
      </left>
      <right style="thin">
        <color rgb="FFD9DADD"/>
      </right>
      <top style="thin">
        <color rgb="FFD9DADD"/>
      </top>
      <bottom style="thin">
        <color rgb="FFD9DADD"/>
      </bottom>
      <diagonal/>
    </border>
    <border>
      <left/>
      <right/>
      <top/>
      <bottom/>
      <diagonal/>
    </border>
    <border>
      <left style="thin">
        <color rgb="FF15803D"/>
      </left>
      <right style="thin">
        <color rgb="FF15803D"/>
      </right>
      <top style="thin">
        <color rgb="FF15803D"/>
      </top>
      <bottom style="thin">
        <color rgb="FF15803D"/>
      </bottom>
      <diagonal/>
    </border>
    <border>
      <left/>
      <right/>
      <top/>
      <bottom style="thin">
        <color rgb="FFD9DADD"/>
      </bottom>
      <diagonal/>
    </border>
    <border>
      <left/>
      <right/>
      <top/>
      <bottom style="medium">
        <color rgb="FF2F3136"/>
      </bottom>
      <diagonal/>
    </border>
    <border>
      <left/>
      <right/>
      <top/>
      <bottom style="thin">
        <color rgb="FFECEDEF"/>
      </bottom>
      <diagonal/>
    </border>
    <border>
      <left style="thin">
        <color rgb="FFD9DADD"/>
      </left>
      <right style="thin">
        <color rgb="FFD9DADD"/>
      </right>
      <top style="thin">
        <color rgb="FFD9DADD"/>
      </top>
      <bottom style="thin">
        <color rgb="FFECEDEF"/>
      </bottom>
      <diagonal/>
    </border>
    <border>
      <left/>
      <right/>
      <top/>
      <bottom style="thin">
        <color rgb="FFECEDEF"/>
      </bottom>
      <diagonal/>
    </border>
    <border>
      <left style="thin">
        <color rgb="FF15803D"/>
      </left>
      <right style="thin">
        <color rgb="FF15803D"/>
      </right>
      <top style="thin">
        <color rgb="FF15803D"/>
      </top>
      <bottom style="thin">
        <color rgb="FFECEDEF"/>
      </bottom>
      <diagonal/>
    </border>
    <border>
      <left/>
      <right/>
      <top style="thin">
        <color rgb="FF6B6E75"/>
      </top>
      <bottom style="thin">
        <color rgb="FFECEDEF"/>
      </bottom>
      <diagonal/>
    </border>
    <border>
      <left/>
      <right/>
      <top style="thin">
        <color rgb="FFD9DADD"/>
      </top>
      <bottom style="thin">
        <color rgb="FFD9DADD"/>
      </bottom>
      <diagonal/>
    </border>
  </borders>
  <cellStyleXfs count="6">
    <xf numFmtId="0" fontId="0" fillId="0" borderId="0"/>
    <xf numFmtId="0" fontId="1" fillId="2" borderId="1">
      <alignment horizontal="right" vertical="center"/>
    </xf>
    <xf numFmtId="0" fontId="2" fillId="3" borderId="1">
      <alignment horizontal="right" vertical="center"/>
    </xf>
    <xf numFmtId="0" fontId="3" fillId="0" borderId="2">
      <alignment horizontal="right" vertical="center"/>
    </xf>
    <xf numFmtId="0" fontId="4" fillId="4" borderId="3">
      <alignment horizontal="right" vertical="center"/>
    </xf>
    <xf numFmtId="0" fontId="1" fillId="5" borderId="1">
      <alignment horizontal="right" vertical="center"/>
    </xf>
  </cellStyleXfs>
  <cellXfs count="90">
    <xf numFmtId="0" fontId="0" fillId="0" borderId="0" xfId="0"/>
    <xf numFmtId="0" fontId="0" fillId="6" borderId="0" xfId="0" applyFill="1"/>
    <xf numFmtId="0" fontId="9" fillId="6" borderId="0" xfId="0" applyFont="1" applyFill="1" applyAlignment="1">
      <alignment vertical="center"/>
    </xf>
    <xf numFmtId="0" fontId="7" fillId="6" borderId="0" xfId="0" applyFont="1" applyFill="1" applyAlignment="1">
      <alignment horizontal="right" vertical="center"/>
    </xf>
    <xf numFmtId="0" fontId="6" fillId="6" borderId="0" xfId="0" applyFont="1" applyFill="1" applyAlignment="1">
      <alignment vertical="center"/>
    </xf>
    <xf numFmtId="0" fontId="0" fillId="7" borderId="4" xfId="0" applyFill="1" applyBorder="1"/>
    <xf numFmtId="0" fontId="8" fillId="7" borderId="4" xfId="0" applyFont="1" applyFill="1" applyBorder="1" applyAlignment="1">
      <alignment horizontal="right" vertical="center"/>
    </xf>
    <xf numFmtId="0" fontId="10" fillId="0" borderId="5" xfId="0" applyFont="1" applyBorder="1"/>
    <xf numFmtId="0" fontId="0" fillId="0" borderId="5" xfId="0" applyBorder="1"/>
    <xf numFmtId="0" fontId="11" fillId="0" borderId="6" xfId="0" applyFont="1" applyBorder="1" applyAlignment="1">
      <alignment horizontal="left" vertical="top" indent="1"/>
    </xf>
    <xf numFmtId="0" fontId="3" fillId="0" borderId="6" xfId="0" applyFont="1" applyBorder="1" applyAlignment="1">
      <alignment horizontal="left" vertical="top" wrapText="1" indent="1"/>
    </xf>
    <xf numFmtId="0" fontId="12" fillId="0" borderId="6" xfId="0" applyFont="1" applyBorder="1" applyAlignment="1">
      <alignment horizontal="left" vertical="top" wrapText="1" indent="1"/>
    </xf>
    <xf numFmtId="0" fontId="3" fillId="0" borderId="0" xfId="0" applyFont="1" applyAlignment="1">
      <alignment horizontal="left" vertical="top" wrapText="1" indent="1"/>
    </xf>
    <xf numFmtId="0" fontId="13" fillId="0" borderId="0" xfId="0" applyFont="1" applyAlignment="1">
      <alignment vertical="center"/>
    </xf>
    <xf numFmtId="0" fontId="14" fillId="0" borderId="6" xfId="0" applyFont="1" applyBorder="1" applyAlignment="1">
      <alignment horizontal="left" vertical="center" indent="1"/>
    </xf>
    <xf numFmtId="0" fontId="1" fillId="2" borderId="1" xfId="1" applyAlignment="1">
      <alignment horizontal="center" vertical="center"/>
    </xf>
    <xf numFmtId="0" fontId="2" fillId="3" borderId="1" xfId="2" applyAlignment="1">
      <alignment horizontal="center" vertical="center"/>
    </xf>
    <xf numFmtId="0" fontId="3" fillId="0" borderId="2" xfId="3" applyAlignment="1">
      <alignment horizontal="center" vertical="center"/>
    </xf>
    <xf numFmtId="0" fontId="4" fillId="4" borderId="3" xfId="4" applyAlignment="1">
      <alignment horizontal="center" vertical="center"/>
    </xf>
    <xf numFmtId="0" fontId="1" fillId="5" borderId="1" xfId="5" applyAlignment="1">
      <alignment horizontal="center" vertical="center"/>
    </xf>
    <xf numFmtId="0" fontId="15" fillId="0" borderId="6" xfId="0" applyFont="1" applyBorder="1" applyAlignment="1">
      <alignment horizontal="left" vertical="top" wrapText="1" indent="1"/>
    </xf>
    <xf numFmtId="0" fontId="5" fillId="6" borderId="0" xfId="0" applyFont="1" applyFill="1" applyAlignment="1">
      <alignment vertical="center"/>
    </xf>
    <xf numFmtId="0" fontId="8" fillId="7" borderId="4" xfId="0" applyFont="1" applyFill="1" applyBorder="1" applyAlignment="1">
      <alignment vertical="center"/>
    </xf>
    <xf numFmtId="0" fontId="17" fillId="7" borderId="4" xfId="0" applyFont="1" applyFill="1" applyBorder="1" applyAlignment="1">
      <alignment horizontal="left" vertical="center" wrapText="1" indent="1"/>
    </xf>
    <xf numFmtId="0" fontId="17" fillId="7" borderId="4" xfId="0" applyFont="1" applyFill="1" applyBorder="1" applyAlignment="1">
      <alignment horizontal="right" vertical="center" wrapText="1"/>
    </xf>
    <xf numFmtId="0" fontId="3" fillId="0" borderId="6" xfId="0" applyFont="1" applyBorder="1" applyAlignment="1">
      <alignment horizontal="left" vertical="center" indent="1"/>
    </xf>
    <xf numFmtId="0" fontId="18" fillId="0" borderId="6" xfId="0" applyFont="1" applyBorder="1" applyAlignment="1">
      <alignment horizontal="left" vertical="center" indent="1"/>
    </xf>
    <xf numFmtId="164" fontId="1" fillId="2" borderId="7" xfId="1" applyNumberFormat="1" applyBorder="1">
      <alignment horizontal="right" vertical="center"/>
    </xf>
    <xf numFmtId="0" fontId="0" fillId="0" borderId="6" xfId="0" applyBorder="1"/>
    <xf numFmtId="0" fontId="18" fillId="0" borderId="6" xfId="0" applyFont="1" applyBorder="1" applyAlignment="1">
      <alignment horizontal="left" vertical="center" wrapText="1" indent="1"/>
    </xf>
    <xf numFmtId="10" fontId="1" fillId="2" borderId="7" xfId="1" applyNumberFormat="1" applyBorder="1">
      <alignment horizontal="right" vertical="center"/>
    </xf>
    <xf numFmtId="165" fontId="1" fillId="2" borderId="7" xfId="1" applyNumberFormat="1" applyBorder="1">
      <alignment horizontal="right" vertical="center"/>
    </xf>
    <xf numFmtId="166" fontId="1" fillId="2" borderId="7" xfId="1" applyNumberFormat="1" applyBorder="1">
      <alignment horizontal="right" vertical="center"/>
    </xf>
    <xf numFmtId="2" fontId="1" fillId="2" borderId="7" xfId="1" applyNumberFormat="1" applyBorder="1">
      <alignment horizontal="right" vertical="center"/>
    </xf>
    <xf numFmtId="9" fontId="1" fillId="2" borderId="7" xfId="1" applyNumberFormat="1" applyBorder="1">
      <alignment horizontal="right" vertical="center"/>
    </xf>
    <xf numFmtId="0" fontId="17" fillId="7" borderId="0" xfId="0" applyFont="1" applyFill="1" applyAlignment="1">
      <alignment horizontal="left" vertical="center" indent="1"/>
    </xf>
    <xf numFmtId="0" fontId="0" fillId="7" borderId="0" xfId="0" applyFill="1"/>
    <xf numFmtId="0" fontId="17" fillId="7" borderId="0" xfId="0" applyFont="1" applyFill="1" applyAlignment="1">
      <alignment horizontal="right" vertical="center"/>
    </xf>
    <xf numFmtId="0" fontId="20" fillId="7" borderId="0" xfId="0" applyFont="1" applyFill="1" applyAlignment="1">
      <alignment horizontal="right" vertical="center"/>
    </xf>
    <xf numFmtId="1" fontId="19" fillId="7" borderId="0" xfId="0" applyNumberFormat="1" applyFont="1" applyFill="1" applyAlignment="1">
      <alignment horizontal="right" vertical="center"/>
    </xf>
    <xf numFmtId="0" fontId="17" fillId="7" borderId="4" xfId="0" applyFont="1" applyFill="1" applyBorder="1" applyAlignment="1">
      <alignment horizontal="left" vertical="center" indent="1"/>
    </xf>
    <xf numFmtId="0" fontId="17" fillId="7" borderId="4" xfId="0" applyFont="1" applyFill="1" applyBorder="1" applyAlignment="1">
      <alignment horizontal="right" vertical="center"/>
    </xf>
    <xf numFmtId="10" fontId="3" fillId="0" borderId="8" xfId="3" applyNumberFormat="1" applyBorder="1">
      <alignment horizontal="right" vertical="center"/>
    </xf>
    <xf numFmtId="167" fontId="3" fillId="0" borderId="8" xfId="3" applyNumberFormat="1" applyBorder="1">
      <alignment horizontal="right" vertical="center"/>
    </xf>
    <xf numFmtId="165" fontId="3" fillId="0" borderId="8" xfId="3" applyNumberFormat="1" applyBorder="1">
      <alignment horizontal="right" vertical="center"/>
    </xf>
    <xf numFmtId="2" fontId="3" fillId="0" borderId="8" xfId="3" applyNumberFormat="1" applyBorder="1">
      <alignment horizontal="right" vertical="center"/>
    </xf>
    <xf numFmtId="168" fontId="3" fillId="0" borderId="8" xfId="3" applyNumberFormat="1" applyBorder="1">
      <alignment horizontal="right" vertical="center"/>
    </xf>
    <xf numFmtId="169" fontId="3" fillId="0" borderId="8" xfId="3" applyNumberFormat="1" applyBorder="1">
      <alignment horizontal="right" vertical="center"/>
    </xf>
    <xf numFmtId="165" fontId="2" fillId="3" borderId="7" xfId="2" applyNumberFormat="1" applyBorder="1">
      <alignment horizontal="right" vertical="center"/>
    </xf>
    <xf numFmtId="10" fontId="2" fillId="3" borderId="7" xfId="2" applyNumberFormat="1" applyBorder="1">
      <alignment horizontal="right" vertical="center"/>
    </xf>
    <xf numFmtId="165" fontId="4" fillId="4" borderId="9" xfId="4" applyNumberFormat="1" applyBorder="1">
      <alignment horizontal="right" vertical="center"/>
    </xf>
    <xf numFmtId="170" fontId="12" fillId="0" borderId="8" xfId="3" applyNumberFormat="1" applyFont="1" applyBorder="1">
      <alignment horizontal="right" vertical="center"/>
    </xf>
    <xf numFmtId="170" fontId="3" fillId="0" borderId="8" xfId="3" applyNumberFormat="1" applyBorder="1">
      <alignment horizontal="right" vertical="center"/>
    </xf>
    <xf numFmtId="0" fontId="12" fillId="0" borderId="10" xfId="0" applyFont="1" applyBorder="1" applyAlignment="1">
      <alignment horizontal="left" vertical="center" indent="1"/>
    </xf>
    <xf numFmtId="0" fontId="18" fillId="0" borderId="10" xfId="0" applyFont="1" applyBorder="1" applyAlignment="1">
      <alignment horizontal="left" vertical="center" indent="1"/>
    </xf>
    <xf numFmtId="170" fontId="12" fillId="0" borderId="10" xfId="3" applyNumberFormat="1" applyFont="1" applyBorder="1">
      <alignment horizontal="right" vertical="center"/>
    </xf>
    <xf numFmtId="0" fontId="0" fillId="0" borderId="10" xfId="0" applyBorder="1"/>
    <xf numFmtId="170" fontId="4" fillId="4" borderId="9" xfId="4" applyNumberFormat="1" applyBorder="1">
      <alignment horizontal="right" vertical="center"/>
    </xf>
    <xf numFmtId="0" fontId="12" fillId="0" borderId="6" xfId="0" applyFont="1" applyBorder="1" applyAlignment="1">
      <alignment horizontal="left" vertical="center" indent="1"/>
    </xf>
    <xf numFmtId="164" fontId="4" fillId="4" borderId="9" xfId="4" applyNumberFormat="1" applyBorder="1">
      <alignment horizontal="right" vertical="center"/>
    </xf>
    <xf numFmtId="1" fontId="4" fillId="4" borderId="9" xfId="4" applyNumberFormat="1" applyBorder="1">
      <alignment horizontal="right" vertical="center"/>
    </xf>
    <xf numFmtId="164" fontId="3" fillId="0" borderId="8" xfId="3" applyNumberFormat="1" applyBorder="1">
      <alignment horizontal="right" vertical="center"/>
    </xf>
    <xf numFmtId="0" fontId="21" fillId="0" borderId="6" xfId="0" applyFont="1" applyBorder="1" applyAlignment="1">
      <alignment horizontal="center" vertical="center"/>
    </xf>
    <xf numFmtId="0" fontId="15" fillId="5" borderId="11" xfId="0" applyFont="1" applyFill="1" applyBorder="1" applyAlignment="1">
      <alignment horizontal="left" vertical="center" indent="1"/>
    </xf>
    <xf numFmtId="0" fontId="0" fillId="5" borderId="11" xfId="0" applyFill="1" applyBorder="1"/>
    <xf numFmtId="0" fontId="18" fillId="0" borderId="0" xfId="0" applyFont="1" applyAlignment="1">
      <alignment horizontal="left" vertical="center" indent="1"/>
    </xf>
    <xf numFmtId="0" fontId="24" fillId="0" borderId="5" xfId="0" applyFont="1" applyBorder="1"/>
    <xf numFmtId="0" fontId="17" fillId="7" borderId="2" xfId="0" applyFont="1" applyFill="1" applyBorder="1" applyAlignment="1">
      <alignment horizontal="left" vertical="center" wrapText="1" indent="1"/>
    </xf>
    <xf numFmtId="0" fontId="17" fillId="7" borderId="2" xfId="0" applyFont="1" applyFill="1" applyBorder="1" applyAlignment="1">
      <alignment horizontal="right" vertical="center" wrapText="1"/>
    </xf>
    <xf numFmtId="0" fontId="22" fillId="7" borderId="4" xfId="0" applyFont="1" applyFill="1" applyBorder="1" applyAlignment="1">
      <alignment horizontal="right" vertical="center"/>
    </xf>
    <xf numFmtId="171" fontId="1" fillId="5" borderId="7" xfId="5" applyNumberFormat="1" applyBorder="1">
      <alignment horizontal="right" vertical="center"/>
    </xf>
    <xf numFmtId="172" fontId="1" fillId="5" borderId="7" xfId="5" applyNumberFormat="1" applyBorder="1">
      <alignment horizontal="right" vertical="center"/>
    </xf>
    <xf numFmtId="173" fontId="1" fillId="5" borderId="7" xfId="5" applyNumberFormat="1" applyBorder="1">
      <alignment horizontal="right" vertical="center"/>
    </xf>
    <xf numFmtId="0" fontId="23" fillId="0" borderId="6" xfId="0" applyFont="1" applyBorder="1" applyAlignment="1">
      <alignment horizontal="left" vertical="center" indent="1"/>
    </xf>
    <xf numFmtId="9" fontId="3" fillId="0" borderId="8" xfId="3" applyNumberFormat="1" applyBorder="1" applyAlignment="1">
      <alignment horizontal="left" vertical="center" indent="1"/>
    </xf>
    <xf numFmtId="0" fontId="13" fillId="0" borderId="0" xfId="0" applyFont="1" applyAlignment="1">
      <alignment horizontal="left" vertical="center" indent="1"/>
    </xf>
    <xf numFmtId="174" fontId="1" fillId="5" borderId="7" xfId="5" applyNumberFormat="1" applyBorder="1">
      <alignment horizontal="right" vertical="center"/>
    </xf>
    <xf numFmtId="0" fontId="17" fillId="7" borderId="4" xfId="0" applyFont="1" applyFill="1" applyBorder="1" applyAlignment="1">
      <alignment horizontal="center" vertical="center" wrapText="1"/>
    </xf>
    <xf numFmtId="175" fontId="1" fillId="5" borderId="7" xfId="5" applyNumberFormat="1" applyBorder="1" applyAlignment="1">
      <alignment horizontal="center" vertical="center"/>
    </xf>
    <xf numFmtId="9" fontId="3" fillId="0" borderId="2" xfId="3" applyNumberFormat="1">
      <alignment horizontal="right" vertical="center"/>
    </xf>
    <xf numFmtId="4" fontId="3" fillId="0" borderId="2" xfId="3" applyNumberFormat="1">
      <alignment horizontal="right" vertical="center"/>
    </xf>
    <xf numFmtId="0" fontId="3" fillId="0" borderId="0" xfId="0" applyFont="1" applyAlignment="1">
      <alignment horizontal="left" vertical="center" indent="1"/>
    </xf>
    <xf numFmtId="171" fontId="1" fillId="5" borderId="1" xfId="5" applyNumberFormat="1">
      <alignment horizontal="right" vertical="center"/>
    </xf>
    <xf numFmtId="0" fontId="23" fillId="0" borderId="0" xfId="0" applyFont="1" applyAlignment="1">
      <alignment horizontal="left" vertical="center" indent="1"/>
    </xf>
    <xf numFmtId="164" fontId="3" fillId="0" borderId="2" xfId="3" applyNumberFormat="1">
      <alignment horizontal="right" vertical="center"/>
    </xf>
    <xf numFmtId="0" fontId="16" fillId="0" borderId="0" xfId="0" applyFont="1"/>
    <xf numFmtId="0" fontId="0" fillId="0" borderId="0" xfId="0"/>
    <xf numFmtId="0" fontId="3" fillId="0" borderId="0" xfId="0" applyFont="1" applyAlignment="1">
      <alignment horizontal="left" vertical="top" wrapText="1" indent="1"/>
    </xf>
    <xf numFmtId="0" fontId="13" fillId="0" borderId="0" xfId="0" applyFont="1" applyAlignment="1">
      <alignment horizontal="left" vertical="center" wrapText="1" indent="1"/>
    </xf>
    <xf numFmtId="0" fontId="0" fillId="0" borderId="0" xfId="0" applyAlignment="1"/>
  </cellXfs>
  <cellStyles count="6">
    <cellStyle name="Normal" xfId="0" builtinId="0"/>
    <cellStyle name="Расчет" xfId="3" xr:uid="{00000000-0005-0000-0000-000003000000}"/>
    <cellStyle name="Исходное значение" xfId="1" xr:uid="{00000000-0005-0000-0000-000001000000}"/>
    <cellStyle name="Ключевой результат" xfId="4" xr:uid="{00000000-0005-0000-0000-000004000000}"/>
    <cellStyle name="Результат моделирования" xfId="5" xr:uid="{00000000-0005-0000-0000-000005000000}"/>
    <cellStyle name="Неопределенная величина" xfId="2" xr:uid="{00000000-0005-0000-0000-000002000000}"/>
  </cellStyles>
  <dxfs count="7">
    <dxf>
      <font>
        <color rgb="FF8B8E95"/>
      </font>
    </dxf>
    <dxf>
      <font>
        <color rgb="FF8B8E95"/>
      </font>
    </dxf>
    <dxf>
      <font>
        <color rgb="FF8B8E95"/>
      </font>
    </dxf>
    <dxf>
      <font>
        <color rgb="FF8B8E95"/>
      </font>
    </dxf>
    <dxf>
      <font>
        <color rgb="FFB45309"/>
      </font>
      <fill>
        <patternFill patternType="solid">
          <fgColor rgb="FFFEF3C7"/>
          <bgColor rgb="FFFEF3C7"/>
        </patternFill>
      </fill>
    </dxf>
    <dxf>
      <font>
        <b/>
        <color rgb="FFB91C1C"/>
      </font>
    </dxf>
    <dxf>
      <font>
        <b/>
        <color rgb="FFB91C1C"/>
      </font>
      <fill>
        <patternFill patternType="solid">
          <fgColor rgb="FFFEE2E2"/>
          <bgColor rgb="FFFEE2E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13"/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v>Без хеджирования</c:v>
          </c:tx>
          <c:spPr>
            <a:ln w="25400">
              <a:solidFill>
                <a:srgbClr val="2F3136"/>
              </a:solidFill>
              <a:prstDash val="solid"/>
            </a:ln>
          </c:spPr>
          <c:marker>
            <c:symbol val="none"/>
          </c:marker>
          <c:xVal>
            <c:numRef>
              <c:f>'Результаты'!$D$81:$D$130</c:f>
              <c:numCache>
                <c:formatCode>#,##0.00</c:formatCode>
                <c:ptCount val="50"/>
                <c:pt idx="0">
                  <c:v>-43.69379727336112</c:v>
                </c:pt>
                <c:pt idx="1">
                  <c:v>-29.50191744613721</c:v>
                </c:pt>
                <c:pt idx="2">
                  <c:v>-23.151745438313633</c:v>
                </c:pt>
                <c:pt idx="3">
                  <c:v>-17.657226009034247</c:v>
                </c:pt>
                <c:pt idx="4">
                  <c:v>-13.346287285409073</c:v>
                </c:pt>
                <c:pt idx="5">
                  <c:v>-9.4404751652355632</c:v>
                </c:pt>
                <c:pt idx="6">
                  <c:v>-5.9875713747052774</c:v>
                </c:pt>
                <c:pt idx="7">
                  <c:v>-2.712884070834956</c:v>
                </c:pt>
                <c:pt idx="8">
                  <c:v>-0.10142944056934677</c:v>
                </c:pt>
                <c:pt idx="9">
                  <c:v>2.2108448680644379</c:v>
                </c:pt>
                <c:pt idx="10">
                  <c:v>4.8089101546255257</c:v>
                </c:pt>
                <c:pt idx="11">
                  <c:v>7.4188940141457369</c:v>
                </c:pt>
                <c:pt idx="12">
                  <c:v>9.5368308223326892</c:v>
                </c:pt>
                <c:pt idx="13">
                  <c:v>11.904850340335681</c:v>
                </c:pt>
                <c:pt idx="14">
                  <c:v>14.151977811731561</c:v>
                </c:pt>
                <c:pt idx="15">
                  <c:v>16.08665872930748</c:v>
                </c:pt>
                <c:pt idx="16">
                  <c:v>18.033798970533187</c:v>
                </c:pt>
                <c:pt idx="17">
                  <c:v>20.03677202451177</c:v>
                </c:pt>
                <c:pt idx="18">
                  <c:v>21.842167300624297</c:v>
                </c:pt>
                <c:pt idx="19">
                  <c:v>23.99280314167564</c:v>
                </c:pt>
                <c:pt idx="20">
                  <c:v>26.073549664763537</c:v>
                </c:pt>
                <c:pt idx="21">
                  <c:v>27.801292704522925</c:v>
                </c:pt>
                <c:pt idx="22">
                  <c:v>29.577567041262494</c:v>
                </c:pt>
                <c:pt idx="23">
                  <c:v>31.338822246389839</c:v>
                </c:pt>
                <c:pt idx="24">
                  <c:v>33.240764394036205</c:v>
                </c:pt>
                <c:pt idx="25">
                  <c:v>35.029852058506684</c:v>
                </c:pt>
                <c:pt idx="26">
                  <c:v>36.99682400582131</c:v>
                </c:pt>
                <c:pt idx="27">
                  <c:v>38.582042694058224</c:v>
                </c:pt>
                <c:pt idx="28">
                  <c:v>40.580776140315031</c:v>
                </c:pt>
                <c:pt idx="29">
                  <c:v>42.452220562723895</c:v>
                </c:pt>
                <c:pt idx="30">
                  <c:v>44.44440790814695</c:v>
                </c:pt>
                <c:pt idx="31">
                  <c:v>46.333211636575982</c:v>
                </c:pt>
                <c:pt idx="32">
                  <c:v>48.344489806747092</c:v>
                </c:pt>
                <c:pt idx="33">
                  <c:v>50.15997613495626</c:v>
                </c:pt>
                <c:pt idx="34">
                  <c:v>52.274094662534118</c:v>
                </c:pt>
                <c:pt idx="35">
                  <c:v>54.711443052984031</c:v>
                </c:pt>
                <c:pt idx="36">
                  <c:v>56.930789561494691</c:v>
                </c:pt>
                <c:pt idx="37">
                  <c:v>59.379185427439197</c:v>
                </c:pt>
                <c:pt idx="38">
                  <c:v>61.83887884586796</c:v>
                </c:pt>
                <c:pt idx="39">
                  <c:v>64.373786100839965</c:v>
                </c:pt>
                <c:pt idx="40">
                  <c:v>67.117405390064889</c:v>
                </c:pt>
                <c:pt idx="41">
                  <c:v>70.150565505183195</c:v>
                </c:pt>
                <c:pt idx="42">
                  <c:v>73.897286152520309</c:v>
                </c:pt>
                <c:pt idx="43">
                  <c:v>77.30588339725027</c:v>
                </c:pt>
                <c:pt idx="44">
                  <c:v>81.808426386415732</c:v>
                </c:pt>
                <c:pt idx="45">
                  <c:v>86.722562567115631</c:v>
                </c:pt>
                <c:pt idx="46">
                  <c:v>92.200848551827363</c:v>
                </c:pt>
                <c:pt idx="47">
                  <c:v>99.870484067032805</c:v>
                </c:pt>
                <c:pt idx="48">
                  <c:v>110.39267902177674</c:v>
                </c:pt>
                <c:pt idx="49">
                  <c:v>132.0125922752573</c:v>
                </c:pt>
              </c:numCache>
            </c:numRef>
          </c:xVal>
          <c:yVal>
            <c:numRef>
              <c:f>'Результаты'!$B$81:$B$130</c:f>
              <c:numCache>
                <c:formatCode>0%</c:formatCode>
                <c:ptCount val="50"/>
                <c:pt idx="0">
                  <c:v>0.01</c:v>
                </c:pt>
                <c:pt idx="1">
                  <c:v>0.03</c:v>
                </c:pt>
                <c:pt idx="2">
                  <c:v>0.05</c:v>
                </c:pt>
                <c:pt idx="3">
                  <c:v>7.0000000000000007E-2</c:v>
                </c:pt>
                <c:pt idx="4">
                  <c:v>0.09</c:v>
                </c:pt>
                <c:pt idx="5">
                  <c:v>0.11</c:v>
                </c:pt>
                <c:pt idx="6">
                  <c:v>0.13</c:v>
                </c:pt>
                <c:pt idx="7">
                  <c:v>0.15</c:v>
                </c:pt>
                <c:pt idx="8">
                  <c:v>0.17</c:v>
                </c:pt>
                <c:pt idx="9">
                  <c:v>0.19</c:v>
                </c:pt>
                <c:pt idx="10">
                  <c:v>0.21</c:v>
                </c:pt>
                <c:pt idx="11">
                  <c:v>0.23</c:v>
                </c:pt>
                <c:pt idx="12">
                  <c:v>0.25</c:v>
                </c:pt>
                <c:pt idx="13">
                  <c:v>0.27</c:v>
                </c:pt>
                <c:pt idx="14">
                  <c:v>0.28999999999999998</c:v>
                </c:pt>
                <c:pt idx="15">
                  <c:v>0.31</c:v>
                </c:pt>
                <c:pt idx="16">
                  <c:v>0.33</c:v>
                </c:pt>
                <c:pt idx="17">
                  <c:v>0.35</c:v>
                </c:pt>
                <c:pt idx="18">
                  <c:v>0.37</c:v>
                </c:pt>
                <c:pt idx="19">
                  <c:v>0.39</c:v>
                </c:pt>
                <c:pt idx="20">
                  <c:v>0.41</c:v>
                </c:pt>
                <c:pt idx="21">
                  <c:v>0.43</c:v>
                </c:pt>
                <c:pt idx="22">
                  <c:v>0.45</c:v>
                </c:pt>
                <c:pt idx="23">
                  <c:v>0.47</c:v>
                </c:pt>
                <c:pt idx="24">
                  <c:v>0.49</c:v>
                </c:pt>
                <c:pt idx="25">
                  <c:v>0.51</c:v>
                </c:pt>
                <c:pt idx="26">
                  <c:v>0.53</c:v>
                </c:pt>
                <c:pt idx="27">
                  <c:v>0.55000000000000004</c:v>
                </c:pt>
                <c:pt idx="28">
                  <c:v>0.56999999999999995</c:v>
                </c:pt>
                <c:pt idx="29">
                  <c:v>0.59</c:v>
                </c:pt>
                <c:pt idx="30">
                  <c:v>0.61</c:v>
                </c:pt>
                <c:pt idx="31">
                  <c:v>0.63</c:v>
                </c:pt>
                <c:pt idx="32">
                  <c:v>0.65</c:v>
                </c:pt>
                <c:pt idx="33">
                  <c:v>0.67</c:v>
                </c:pt>
                <c:pt idx="34">
                  <c:v>0.69</c:v>
                </c:pt>
                <c:pt idx="35">
                  <c:v>0.71</c:v>
                </c:pt>
                <c:pt idx="36">
                  <c:v>0.73</c:v>
                </c:pt>
                <c:pt idx="37">
                  <c:v>0.75</c:v>
                </c:pt>
                <c:pt idx="38">
                  <c:v>0.77</c:v>
                </c:pt>
                <c:pt idx="39">
                  <c:v>0.79</c:v>
                </c:pt>
                <c:pt idx="40">
                  <c:v>0.81</c:v>
                </c:pt>
                <c:pt idx="41">
                  <c:v>0.83</c:v>
                </c:pt>
                <c:pt idx="42">
                  <c:v>0.85</c:v>
                </c:pt>
                <c:pt idx="43">
                  <c:v>0.87</c:v>
                </c:pt>
                <c:pt idx="44">
                  <c:v>0.89</c:v>
                </c:pt>
                <c:pt idx="45">
                  <c:v>0.91</c:v>
                </c:pt>
                <c:pt idx="46">
                  <c:v>0.93</c:v>
                </c:pt>
                <c:pt idx="47">
                  <c:v>0.95</c:v>
                </c:pt>
                <c:pt idx="48">
                  <c:v>0.97</c:v>
                </c:pt>
                <c:pt idx="49">
                  <c:v>0.99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0CC3-4268-B7FF-A2EF66AAD4BA}"/>
            </c:ext>
          </c:extLst>
        </c:ser>
        <c:ser>
          <c:idx val="1"/>
          <c:order val="1"/>
          <c:tx>
            <c:v>Политика хеджирования</c:v>
          </c:tx>
          <c:spPr>
            <a:ln w="25400">
              <a:solidFill>
                <a:srgbClr val="B45309"/>
              </a:solidFill>
              <a:prstDash val="dash"/>
            </a:ln>
          </c:spPr>
          <c:marker>
            <c:symbol val="none"/>
          </c:marker>
          <c:xVal>
            <c:numRef>
              <c:f>'Результаты'!$E$81:$E$130</c:f>
              <c:numCache>
                <c:formatCode>#,##0.00</c:formatCode>
                <c:ptCount val="50"/>
                <c:pt idx="0">
                  <c:v>-9.2183445348391455</c:v>
                </c:pt>
                <c:pt idx="1">
                  <c:v>-2.1224046212271848</c:v>
                </c:pt>
                <c:pt idx="2">
                  <c:v>1.0526813826845753</c:v>
                </c:pt>
                <c:pt idx="3">
                  <c:v>3.7999410973242762</c:v>
                </c:pt>
                <c:pt idx="4">
                  <c:v>5.955410459136858</c:v>
                </c:pt>
                <c:pt idx="5">
                  <c:v>7.9083165192236233</c:v>
                </c:pt>
                <c:pt idx="6">
                  <c:v>9.6347684144887662</c:v>
                </c:pt>
                <c:pt idx="7">
                  <c:v>11.272112066423929</c:v>
                </c:pt>
                <c:pt idx="8">
                  <c:v>12.577839381556736</c:v>
                </c:pt>
                <c:pt idx="9">
                  <c:v>13.733976535873646</c:v>
                </c:pt>
                <c:pt idx="10">
                  <c:v>15.033009179154156</c:v>
                </c:pt>
                <c:pt idx="11">
                  <c:v>16.338001108914249</c:v>
                </c:pt>
                <c:pt idx="12">
                  <c:v>17.396969513007722</c:v>
                </c:pt>
                <c:pt idx="13">
                  <c:v>18.580979272009237</c:v>
                </c:pt>
                <c:pt idx="14">
                  <c:v>19.704543007707208</c:v>
                </c:pt>
                <c:pt idx="15">
                  <c:v>20.671883466495139</c:v>
                </c:pt>
                <c:pt idx="16">
                  <c:v>21.645453587107962</c:v>
                </c:pt>
                <c:pt idx="17">
                  <c:v>22.646940114097276</c:v>
                </c:pt>
                <c:pt idx="18">
                  <c:v>23.549637752153547</c:v>
                </c:pt>
                <c:pt idx="19">
                  <c:v>24.624955672679214</c:v>
                </c:pt>
                <c:pt idx="20">
                  <c:v>25.665328934223155</c:v>
                </c:pt>
                <c:pt idx="21">
                  <c:v>26.529200454102849</c:v>
                </c:pt>
                <c:pt idx="22">
                  <c:v>27.417337622472623</c:v>
                </c:pt>
                <c:pt idx="23">
                  <c:v>28.297965225036318</c:v>
                </c:pt>
                <c:pt idx="24">
                  <c:v>29.248936298859491</c:v>
                </c:pt>
                <c:pt idx="25">
                  <c:v>30.143480131094762</c:v>
                </c:pt>
                <c:pt idx="26">
                  <c:v>31.126966104752043</c:v>
                </c:pt>
                <c:pt idx="27">
                  <c:v>31.919575448870503</c:v>
                </c:pt>
                <c:pt idx="28">
                  <c:v>32.918942171998943</c:v>
                </c:pt>
                <c:pt idx="29">
                  <c:v>33.854664383203342</c:v>
                </c:pt>
                <c:pt idx="30">
                  <c:v>34.850758055914881</c:v>
                </c:pt>
                <c:pt idx="31">
                  <c:v>35.795159920129372</c:v>
                </c:pt>
                <c:pt idx="32">
                  <c:v>36.800799005214955</c:v>
                </c:pt>
                <c:pt idx="33">
                  <c:v>37.708542169319522</c:v>
                </c:pt>
                <c:pt idx="34">
                  <c:v>38.765601433108458</c:v>
                </c:pt>
                <c:pt idx="35">
                  <c:v>39.984275628333428</c:v>
                </c:pt>
                <c:pt idx="36">
                  <c:v>41.093948882588734</c:v>
                </c:pt>
                <c:pt idx="37">
                  <c:v>42.318146815561015</c:v>
                </c:pt>
                <c:pt idx="38">
                  <c:v>43.547993524775393</c:v>
                </c:pt>
                <c:pt idx="39">
                  <c:v>44.815447152261363</c:v>
                </c:pt>
                <c:pt idx="40">
                  <c:v>46.187256796873839</c:v>
                </c:pt>
                <c:pt idx="41">
                  <c:v>47.703836854433007</c:v>
                </c:pt>
                <c:pt idx="42">
                  <c:v>49.577197178101557</c:v>
                </c:pt>
                <c:pt idx="43">
                  <c:v>51.281495800466566</c:v>
                </c:pt>
                <c:pt idx="44">
                  <c:v>53.532767295049261</c:v>
                </c:pt>
                <c:pt idx="45">
                  <c:v>55.989835385399203</c:v>
                </c:pt>
                <c:pt idx="46">
                  <c:v>58.728978377755077</c:v>
                </c:pt>
                <c:pt idx="47">
                  <c:v>62.563796135357784</c:v>
                </c:pt>
                <c:pt idx="48">
                  <c:v>67.824893612729767</c:v>
                </c:pt>
                <c:pt idx="49">
                  <c:v>78.634850239470055</c:v>
                </c:pt>
              </c:numCache>
            </c:numRef>
          </c:xVal>
          <c:yVal>
            <c:numRef>
              <c:f>'Результаты'!$B$81:$B$130</c:f>
              <c:numCache>
                <c:formatCode>0%</c:formatCode>
                <c:ptCount val="50"/>
                <c:pt idx="0">
                  <c:v>0.01</c:v>
                </c:pt>
                <c:pt idx="1">
                  <c:v>0.03</c:v>
                </c:pt>
                <c:pt idx="2">
                  <c:v>0.05</c:v>
                </c:pt>
                <c:pt idx="3">
                  <c:v>7.0000000000000007E-2</c:v>
                </c:pt>
                <c:pt idx="4">
                  <c:v>0.09</c:v>
                </c:pt>
                <c:pt idx="5">
                  <c:v>0.11</c:v>
                </c:pt>
                <c:pt idx="6">
                  <c:v>0.13</c:v>
                </c:pt>
                <c:pt idx="7">
                  <c:v>0.15</c:v>
                </c:pt>
                <c:pt idx="8">
                  <c:v>0.17</c:v>
                </c:pt>
                <c:pt idx="9">
                  <c:v>0.19</c:v>
                </c:pt>
                <c:pt idx="10">
                  <c:v>0.21</c:v>
                </c:pt>
                <c:pt idx="11">
                  <c:v>0.23</c:v>
                </c:pt>
                <c:pt idx="12">
                  <c:v>0.25</c:v>
                </c:pt>
                <c:pt idx="13">
                  <c:v>0.27</c:v>
                </c:pt>
                <c:pt idx="14">
                  <c:v>0.28999999999999998</c:v>
                </c:pt>
                <c:pt idx="15">
                  <c:v>0.31</c:v>
                </c:pt>
                <c:pt idx="16">
                  <c:v>0.33</c:v>
                </c:pt>
                <c:pt idx="17">
                  <c:v>0.35</c:v>
                </c:pt>
                <c:pt idx="18">
                  <c:v>0.37</c:v>
                </c:pt>
                <c:pt idx="19">
                  <c:v>0.39</c:v>
                </c:pt>
                <c:pt idx="20">
                  <c:v>0.41</c:v>
                </c:pt>
                <c:pt idx="21">
                  <c:v>0.43</c:v>
                </c:pt>
                <c:pt idx="22">
                  <c:v>0.45</c:v>
                </c:pt>
                <c:pt idx="23">
                  <c:v>0.47</c:v>
                </c:pt>
                <c:pt idx="24">
                  <c:v>0.49</c:v>
                </c:pt>
                <c:pt idx="25">
                  <c:v>0.51</c:v>
                </c:pt>
                <c:pt idx="26">
                  <c:v>0.53</c:v>
                </c:pt>
                <c:pt idx="27">
                  <c:v>0.55000000000000004</c:v>
                </c:pt>
                <c:pt idx="28">
                  <c:v>0.56999999999999995</c:v>
                </c:pt>
                <c:pt idx="29">
                  <c:v>0.59</c:v>
                </c:pt>
                <c:pt idx="30">
                  <c:v>0.61</c:v>
                </c:pt>
                <c:pt idx="31">
                  <c:v>0.63</c:v>
                </c:pt>
                <c:pt idx="32">
                  <c:v>0.65</c:v>
                </c:pt>
                <c:pt idx="33">
                  <c:v>0.67</c:v>
                </c:pt>
                <c:pt idx="34">
                  <c:v>0.69</c:v>
                </c:pt>
                <c:pt idx="35">
                  <c:v>0.71</c:v>
                </c:pt>
                <c:pt idx="36">
                  <c:v>0.73</c:v>
                </c:pt>
                <c:pt idx="37">
                  <c:v>0.75</c:v>
                </c:pt>
                <c:pt idx="38">
                  <c:v>0.77</c:v>
                </c:pt>
                <c:pt idx="39">
                  <c:v>0.79</c:v>
                </c:pt>
                <c:pt idx="40">
                  <c:v>0.81</c:v>
                </c:pt>
                <c:pt idx="41">
                  <c:v>0.83</c:v>
                </c:pt>
                <c:pt idx="42">
                  <c:v>0.85</c:v>
                </c:pt>
                <c:pt idx="43">
                  <c:v>0.87</c:v>
                </c:pt>
                <c:pt idx="44">
                  <c:v>0.89</c:v>
                </c:pt>
                <c:pt idx="45">
                  <c:v>0.91</c:v>
                </c:pt>
                <c:pt idx="46">
                  <c:v>0.93</c:v>
                </c:pt>
                <c:pt idx="47">
                  <c:v>0.95</c:v>
                </c:pt>
                <c:pt idx="48">
                  <c:v>0.97</c:v>
                </c:pt>
                <c:pt idx="49">
                  <c:v>0.99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0CC3-4268-B7FF-A2EF66AAD4BA}"/>
            </c:ext>
          </c:extLst>
        </c:ser>
        <c:ser>
          <c:idx val="2"/>
          <c:order val="2"/>
          <c:tx>
            <c:v>Независимые рынки</c:v>
          </c:tx>
          <c:spPr>
            <a:ln w="25400">
              <a:solidFill>
                <a:srgbClr val="15803D"/>
              </a:solidFill>
              <a:prstDash val="solid"/>
            </a:ln>
          </c:spPr>
          <c:marker>
            <c:symbol val="none"/>
          </c:marker>
          <c:xVal>
            <c:numRef>
              <c:f>'Результаты'!$F$81:$F$130</c:f>
              <c:numCache>
                <c:formatCode>#,##0.00</c:formatCode>
                <c:ptCount val="50"/>
                <c:pt idx="0">
                  <c:v>-65.074687332345547</c:v>
                </c:pt>
                <c:pt idx="1">
                  <c:v>-47.948782272358244</c:v>
                </c:pt>
                <c:pt idx="2">
                  <c:v>-37.784833299889733</c:v>
                </c:pt>
                <c:pt idx="3">
                  <c:v>-30.717649561084258</c:v>
                </c:pt>
                <c:pt idx="4">
                  <c:v>-24.669611193882922</c:v>
                </c:pt>
                <c:pt idx="5">
                  <c:v>-20.167899284150593</c:v>
                </c:pt>
                <c:pt idx="6">
                  <c:v>-15.884656845786154</c:v>
                </c:pt>
                <c:pt idx="7">
                  <c:v>-11.963653542212576</c:v>
                </c:pt>
                <c:pt idx="8">
                  <c:v>-8.7187491735837135</c:v>
                </c:pt>
                <c:pt idx="9">
                  <c:v>-5.5220292686670325</c:v>
                </c:pt>
                <c:pt idx="10">
                  <c:v>-2.5345216325597177</c:v>
                </c:pt>
                <c:pt idx="11">
                  <c:v>0.62283045349565747</c:v>
                </c:pt>
                <c:pt idx="12">
                  <c:v>3.5492502202977061</c:v>
                </c:pt>
                <c:pt idx="13">
                  <c:v>6.3110254176537879</c:v>
                </c:pt>
                <c:pt idx="14">
                  <c:v>8.8306022810533538</c:v>
                </c:pt>
                <c:pt idx="15">
                  <c:v>11.643955292935743</c:v>
                </c:pt>
                <c:pt idx="16">
                  <c:v>14.096570387945945</c:v>
                </c:pt>
                <c:pt idx="17">
                  <c:v>16.521740319360809</c:v>
                </c:pt>
                <c:pt idx="18">
                  <c:v>19.043261909436211</c:v>
                </c:pt>
                <c:pt idx="19">
                  <c:v>21.517407813098281</c:v>
                </c:pt>
                <c:pt idx="20">
                  <c:v>23.816212766041783</c:v>
                </c:pt>
                <c:pt idx="21">
                  <c:v>26.006698528049899</c:v>
                </c:pt>
                <c:pt idx="22">
                  <c:v>28.226786873017875</c:v>
                </c:pt>
                <c:pt idx="23">
                  <c:v>30.476886915742561</c:v>
                </c:pt>
                <c:pt idx="24">
                  <c:v>32.782603867336995</c:v>
                </c:pt>
                <c:pt idx="25">
                  <c:v>35.366702189893168</c:v>
                </c:pt>
                <c:pt idx="26">
                  <c:v>37.794885206627107</c:v>
                </c:pt>
                <c:pt idx="27">
                  <c:v>40.097001692413066</c:v>
                </c:pt>
                <c:pt idx="28">
                  <c:v>42.445551766979065</c:v>
                </c:pt>
                <c:pt idx="29">
                  <c:v>44.757452522997816</c:v>
                </c:pt>
                <c:pt idx="30">
                  <c:v>47.056617495803671</c:v>
                </c:pt>
                <c:pt idx="31">
                  <c:v>49.394371247511636</c:v>
                </c:pt>
                <c:pt idx="32">
                  <c:v>52.17943658973828</c:v>
                </c:pt>
                <c:pt idx="33">
                  <c:v>54.541170547130086</c:v>
                </c:pt>
                <c:pt idx="34">
                  <c:v>57.425337142716032</c:v>
                </c:pt>
                <c:pt idx="35">
                  <c:v>60.06992752106013</c:v>
                </c:pt>
                <c:pt idx="36">
                  <c:v>62.560287055053266</c:v>
                </c:pt>
                <c:pt idx="37">
                  <c:v>65.170247830350647</c:v>
                </c:pt>
                <c:pt idx="38">
                  <c:v>68.535583350348347</c:v>
                </c:pt>
                <c:pt idx="39">
                  <c:v>71.642428605274389</c:v>
                </c:pt>
                <c:pt idx="40">
                  <c:v>75.114747901014752</c:v>
                </c:pt>
                <c:pt idx="41">
                  <c:v>79.153512203865475</c:v>
                </c:pt>
                <c:pt idx="42">
                  <c:v>83.255840151735498</c:v>
                </c:pt>
                <c:pt idx="43">
                  <c:v>87.981571031822298</c:v>
                </c:pt>
                <c:pt idx="44">
                  <c:v>93.910435084151032</c:v>
                </c:pt>
                <c:pt idx="45">
                  <c:v>99.122496441422854</c:v>
                </c:pt>
                <c:pt idx="46">
                  <c:v>105.58619332527682</c:v>
                </c:pt>
                <c:pt idx="47">
                  <c:v>114.98929531819829</c:v>
                </c:pt>
                <c:pt idx="48">
                  <c:v>126.50987167980604</c:v>
                </c:pt>
                <c:pt idx="49">
                  <c:v>151.91976236030956</c:v>
                </c:pt>
              </c:numCache>
            </c:numRef>
          </c:xVal>
          <c:yVal>
            <c:numRef>
              <c:f>'Результаты'!$B$81:$B$130</c:f>
              <c:numCache>
                <c:formatCode>0%</c:formatCode>
                <c:ptCount val="50"/>
                <c:pt idx="0">
                  <c:v>0.01</c:v>
                </c:pt>
                <c:pt idx="1">
                  <c:v>0.03</c:v>
                </c:pt>
                <c:pt idx="2">
                  <c:v>0.05</c:v>
                </c:pt>
                <c:pt idx="3">
                  <c:v>7.0000000000000007E-2</c:v>
                </c:pt>
                <c:pt idx="4">
                  <c:v>0.09</c:v>
                </c:pt>
                <c:pt idx="5">
                  <c:v>0.11</c:v>
                </c:pt>
                <c:pt idx="6">
                  <c:v>0.13</c:v>
                </c:pt>
                <c:pt idx="7">
                  <c:v>0.15</c:v>
                </c:pt>
                <c:pt idx="8">
                  <c:v>0.17</c:v>
                </c:pt>
                <c:pt idx="9">
                  <c:v>0.19</c:v>
                </c:pt>
                <c:pt idx="10">
                  <c:v>0.21</c:v>
                </c:pt>
                <c:pt idx="11">
                  <c:v>0.23</c:v>
                </c:pt>
                <c:pt idx="12">
                  <c:v>0.25</c:v>
                </c:pt>
                <c:pt idx="13">
                  <c:v>0.27</c:v>
                </c:pt>
                <c:pt idx="14">
                  <c:v>0.28999999999999998</c:v>
                </c:pt>
                <c:pt idx="15">
                  <c:v>0.31</c:v>
                </c:pt>
                <c:pt idx="16">
                  <c:v>0.33</c:v>
                </c:pt>
                <c:pt idx="17">
                  <c:v>0.35</c:v>
                </c:pt>
                <c:pt idx="18">
                  <c:v>0.37</c:v>
                </c:pt>
                <c:pt idx="19">
                  <c:v>0.39</c:v>
                </c:pt>
                <c:pt idx="20">
                  <c:v>0.41</c:v>
                </c:pt>
                <c:pt idx="21">
                  <c:v>0.43</c:v>
                </c:pt>
                <c:pt idx="22">
                  <c:v>0.45</c:v>
                </c:pt>
                <c:pt idx="23">
                  <c:v>0.47</c:v>
                </c:pt>
                <c:pt idx="24">
                  <c:v>0.49</c:v>
                </c:pt>
                <c:pt idx="25">
                  <c:v>0.51</c:v>
                </c:pt>
                <c:pt idx="26">
                  <c:v>0.53</c:v>
                </c:pt>
                <c:pt idx="27">
                  <c:v>0.55000000000000004</c:v>
                </c:pt>
                <c:pt idx="28">
                  <c:v>0.56999999999999995</c:v>
                </c:pt>
                <c:pt idx="29">
                  <c:v>0.59</c:v>
                </c:pt>
                <c:pt idx="30">
                  <c:v>0.61</c:v>
                </c:pt>
                <c:pt idx="31">
                  <c:v>0.63</c:v>
                </c:pt>
                <c:pt idx="32">
                  <c:v>0.65</c:v>
                </c:pt>
                <c:pt idx="33">
                  <c:v>0.67</c:v>
                </c:pt>
                <c:pt idx="34">
                  <c:v>0.69</c:v>
                </c:pt>
                <c:pt idx="35">
                  <c:v>0.71</c:v>
                </c:pt>
                <c:pt idx="36">
                  <c:v>0.73</c:v>
                </c:pt>
                <c:pt idx="37">
                  <c:v>0.75</c:v>
                </c:pt>
                <c:pt idx="38">
                  <c:v>0.77</c:v>
                </c:pt>
                <c:pt idx="39">
                  <c:v>0.79</c:v>
                </c:pt>
                <c:pt idx="40">
                  <c:v>0.81</c:v>
                </c:pt>
                <c:pt idx="41">
                  <c:v>0.83</c:v>
                </c:pt>
                <c:pt idx="42">
                  <c:v>0.85</c:v>
                </c:pt>
                <c:pt idx="43">
                  <c:v>0.87</c:v>
                </c:pt>
                <c:pt idx="44">
                  <c:v>0.89</c:v>
                </c:pt>
                <c:pt idx="45">
                  <c:v>0.91</c:v>
                </c:pt>
                <c:pt idx="46">
                  <c:v>0.93</c:v>
                </c:pt>
                <c:pt idx="47">
                  <c:v>0.95</c:v>
                </c:pt>
                <c:pt idx="48">
                  <c:v>0.97</c:v>
                </c:pt>
                <c:pt idx="49">
                  <c:v>0.99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0CC3-4268-B7FF-A2EF66AAD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"/>
        <c:axId val="20"/>
      </c:scatterChart>
      <c:valAx>
        <c:axId val="1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млн евро</a:t>
                </a:r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crossAx val="20"/>
        <c:crosses val="autoZero"/>
        <c:crossBetween val="midCat"/>
      </c:valAx>
      <c:valAx>
        <c:axId val="20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rgbClr val="ECEDE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Накопленная вероятность</a:t>
                </a:r>
              </a:p>
            </c:rich>
          </c:tx>
          <c:overlay val="0"/>
        </c:title>
        <c:numFmt formatCode="0%" sourceLinked="0"/>
        <c:majorTickMark val="none"/>
        <c:minorTickMark val="none"/>
        <c:tickLblPos val="nextTo"/>
        <c:crossAx val="10"/>
        <c:crosses val="min"/>
        <c:crossBetween val="midCat"/>
      </c:valAx>
    </c:plotArea>
    <c:legend>
      <c:legendPos val="b"/>
      <c:overlay val="0"/>
    </c:legend>
    <c:plotVisOnly val="0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autoTitleDeleted val="1"/>
    <c:plotArea>
      <c:layout/>
      <c:lineChart>
        <c:grouping val="standard"/>
        <c:varyColors val="0"/>
        <c:ser>
          <c:idx val="0"/>
          <c:order val="0"/>
          <c:tx>
            <c:v>90-й процентиль</c:v>
          </c:tx>
          <c:spPr>
            <a:ln w="15875">
              <a:solidFill>
                <a:srgbClr val="2F3136"/>
              </a:solidFill>
              <a:prstDash val="dash"/>
            </a:ln>
          </c:spPr>
          <c:marker>
            <c:symbol val="none"/>
          </c:marker>
          <c:cat>
            <c:numRef>
              <c:f>'Результаты'!$B$139:$B$150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'Результаты'!$E$139:$E$150</c:f>
              <c:numCache>
                <c:formatCode>#,##0.00</c:formatCode>
                <c:ptCount val="12"/>
                <c:pt idx="0">
                  <c:v>4.6107048191726347</c:v>
                </c:pt>
                <c:pt idx="1">
                  <c:v>5.4183713775908888</c:v>
                </c:pt>
                <c:pt idx="2">
                  <c:v>6.0733661159232906</c:v>
                </c:pt>
                <c:pt idx="3">
                  <c:v>6.5860466394790311</c:v>
                </c:pt>
                <c:pt idx="4">
                  <c:v>7.1208375904583754</c:v>
                </c:pt>
                <c:pt idx="5">
                  <c:v>7.5408658796027801</c:v>
                </c:pt>
                <c:pt idx="6">
                  <c:v>7.950733110125034</c:v>
                </c:pt>
                <c:pt idx="7">
                  <c:v>8.3538858599398083</c:v>
                </c:pt>
                <c:pt idx="8">
                  <c:v>8.8337546367849882</c:v>
                </c:pt>
                <c:pt idx="9">
                  <c:v>9.2841794851258754</c:v>
                </c:pt>
                <c:pt idx="10">
                  <c:v>9.6728449804805461</c:v>
                </c:pt>
                <c:pt idx="11">
                  <c:v>9.9612744267982762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C3A-4BEB-BA45-C9DA80DAA9DB}"/>
            </c:ext>
          </c:extLst>
        </c:ser>
        <c:ser>
          <c:idx val="1"/>
          <c:order val="1"/>
          <c:tx>
            <c:v>Медиана</c:v>
          </c:tx>
          <c:spPr>
            <a:ln w="28575">
              <a:solidFill>
                <a:srgbClr val="2F3136"/>
              </a:solidFill>
              <a:prstDash val="solid"/>
            </a:ln>
          </c:spPr>
          <c:marker>
            <c:symbol val="none"/>
          </c:marker>
          <c:cat>
            <c:numRef>
              <c:f>'Результаты'!$B$139:$B$150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'Результаты'!$D$139:$D$150</c:f>
              <c:numCache>
                <c:formatCode>#,##0.00</c:formatCode>
                <c:ptCount val="12"/>
                <c:pt idx="0">
                  <c:v>2.7082824040715372</c:v>
                </c:pt>
                <c:pt idx="1">
                  <c:v>2.6871899016785203</c:v>
                </c:pt>
                <c:pt idx="2">
                  <c:v>2.70825274396049</c:v>
                </c:pt>
                <c:pt idx="3">
                  <c:v>2.7200656442240416</c:v>
                </c:pt>
                <c:pt idx="4">
                  <c:v>2.7247131670980598</c:v>
                </c:pt>
                <c:pt idx="5">
                  <c:v>2.7779349915739062</c:v>
                </c:pt>
                <c:pt idx="6">
                  <c:v>2.7706742726423355</c:v>
                </c:pt>
                <c:pt idx="7">
                  <c:v>2.8035123068385603</c:v>
                </c:pt>
                <c:pt idx="8">
                  <c:v>2.8382454355073179</c:v>
                </c:pt>
                <c:pt idx="9">
                  <c:v>2.8812279909438994</c:v>
                </c:pt>
                <c:pt idx="10">
                  <c:v>2.9039890459626911</c:v>
                </c:pt>
                <c:pt idx="11">
                  <c:v>2.9053037872872598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C3A-4BEB-BA45-C9DA80DAA9DB}"/>
            </c:ext>
          </c:extLst>
        </c:ser>
        <c:ser>
          <c:idx val="2"/>
          <c:order val="2"/>
          <c:tx>
            <c:v>Среднее</c:v>
          </c:tx>
          <c:spPr>
            <a:ln w="19050">
              <a:solidFill>
                <a:srgbClr val="B45309"/>
              </a:solidFill>
              <a:prstDash val="solid"/>
            </a:ln>
          </c:spPr>
          <c:marker>
            <c:symbol val="none"/>
          </c:marker>
          <c:cat>
            <c:numRef>
              <c:f>'Результаты'!$B$139:$B$150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'Результаты'!$F$139:$F$150</c:f>
              <c:numCache>
                <c:formatCode>#,##0.00</c:formatCode>
                <c:ptCount val="12"/>
                <c:pt idx="0">
                  <c:v>2.7499260634335414</c:v>
                </c:pt>
                <c:pt idx="1">
                  <c:v>2.7774417964998221</c:v>
                </c:pt>
                <c:pt idx="2">
                  <c:v>2.8209572676562371</c:v>
                </c:pt>
                <c:pt idx="3">
                  <c:v>2.8580667817108267</c:v>
                </c:pt>
                <c:pt idx="4">
                  <c:v>2.8877517607986052</c:v>
                </c:pt>
                <c:pt idx="5">
                  <c:v>2.9279957821792082</c:v>
                </c:pt>
                <c:pt idx="6">
                  <c:v>2.9565739962328279</c:v>
                </c:pt>
                <c:pt idx="7">
                  <c:v>2.9989655255253735</c:v>
                </c:pt>
                <c:pt idx="8">
                  <c:v>3.0779238653013525</c:v>
                </c:pt>
                <c:pt idx="9">
                  <c:v>3.1280685758508664</c:v>
                </c:pt>
                <c:pt idx="10">
                  <c:v>3.183203574602413</c:v>
                </c:pt>
                <c:pt idx="11">
                  <c:v>3.2388399155914378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C3A-4BEB-BA45-C9DA80DAA9DB}"/>
            </c:ext>
          </c:extLst>
        </c:ser>
        <c:ser>
          <c:idx val="3"/>
          <c:order val="3"/>
          <c:tx>
            <c:v>10-й процентиль</c:v>
          </c:tx>
          <c:spPr>
            <a:ln w="15875">
              <a:solidFill>
                <a:srgbClr val="2F3136"/>
              </a:solidFill>
              <a:prstDash val="dash"/>
            </a:ln>
          </c:spPr>
          <c:marker>
            <c:symbol val="none"/>
          </c:marker>
          <c:cat>
            <c:numRef>
              <c:f>'Результаты'!$B$139:$B$150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'Результаты'!$C$139:$C$150</c:f>
              <c:numCache>
                <c:formatCode>#,##0.00</c:formatCode>
                <c:ptCount val="12"/>
                <c:pt idx="0">
                  <c:v>0.94327331634304201</c:v>
                </c:pt>
                <c:pt idx="1">
                  <c:v>0.2141325348761951</c:v>
                </c:pt>
                <c:pt idx="2">
                  <c:v>-0.31535570942973656</c:v>
                </c:pt>
                <c:pt idx="3">
                  <c:v>-0.78474510100627848</c:v>
                </c:pt>
                <c:pt idx="4">
                  <c:v>-1.1476896130229615</c:v>
                </c:pt>
                <c:pt idx="5">
                  <c:v>-1.5692600895232509</c:v>
                </c:pt>
                <c:pt idx="6">
                  <c:v>-1.8226713076824645</c:v>
                </c:pt>
                <c:pt idx="7">
                  <c:v>-2.2046437586175016</c:v>
                </c:pt>
                <c:pt idx="8">
                  <c:v>-2.3857421296405446</c:v>
                </c:pt>
                <c:pt idx="9">
                  <c:v>-2.6509141023627927</c:v>
                </c:pt>
                <c:pt idx="10">
                  <c:v>-2.8138050411334219</c:v>
                </c:pt>
                <c:pt idx="11">
                  <c:v>-3.0492919795258016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C3A-4BEB-BA45-C9DA80DAA9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majorGridlines>
          <c:spPr>
            <a:ln>
              <a:solidFill>
                <a:srgbClr val="ECEDE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млн евро</a:t>
                </a:r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0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autoTitleDeleted val="1"/>
    <c:plotArea>
      <c:layout/>
      <c:lineChart>
        <c:grouping val="standard"/>
        <c:varyColors val="0"/>
        <c:ser>
          <c:idx val="0"/>
          <c:order val="0"/>
          <c:tx>
            <c:v>90-й процентиль</c:v>
          </c:tx>
          <c:spPr>
            <a:ln w="15875">
              <a:solidFill>
                <a:srgbClr val="2F3136"/>
              </a:solidFill>
              <a:prstDash val="dash"/>
            </a:ln>
          </c:spPr>
          <c:marker>
            <c:symbol val="none"/>
          </c:marker>
          <c:cat>
            <c:numRef>
              <c:f>'Результаты'!$B$153:$B$164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'Результаты'!$E$153:$E$164</c:f>
              <c:numCache>
                <c:formatCode>#,##0.00</c:formatCode>
                <c:ptCount val="12"/>
                <c:pt idx="0">
                  <c:v>1.1570194466443449</c:v>
                </c:pt>
                <c:pt idx="1">
                  <c:v>1.182471285660968</c:v>
                </c:pt>
                <c:pt idx="2">
                  <c:v>1.1993544023065876</c:v>
                </c:pt>
                <c:pt idx="3">
                  <c:v>1.215586422411131</c:v>
                </c:pt>
                <c:pt idx="4">
                  <c:v>1.2295612750150289</c:v>
                </c:pt>
                <c:pt idx="5">
                  <c:v>1.2424280929184759</c:v>
                </c:pt>
                <c:pt idx="6">
                  <c:v>1.2563920091305667</c:v>
                </c:pt>
                <c:pt idx="7">
                  <c:v>1.2688593742018432</c:v>
                </c:pt>
                <c:pt idx="8">
                  <c:v>1.2800489255649441</c:v>
                </c:pt>
                <c:pt idx="9">
                  <c:v>1.2894211709169217</c:v>
                </c:pt>
                <c:pt idx="10">
                  <c:v>1.2972362522966181</c:v>
                </c:pt>
                <c:pt idx="11">
                  <c:v>1.3022690130276255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D71-400F-9063-B2A2D9EB0213}"/>
            </c:ext>
          </c:extLst>
        </c:ser>
        <c:ser>
          <c:idx val="1"/>
          <c:order val="1"/>
          <c:tx>
            <c:v>Медиана</c:v>
          </c:tx>
          <c:spPr>
            <a:ln w="28575">
              <a:solidFill>
                <a:srgbClr val="2F3136"/>
              </a:solidFill>
              <a:prstDash val="solid"/>
            </a:ln>
          </c:spPr>
          <c:marker>
            <c:symbol val="none"/>
          </c:marker>
          <c:cat>
            <c:numRef>
              <c:f>'Результаты'!$B$153:$B$164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'Результаты'!$D$153:$D$164</c:f>
              <c:numCache>
                <c:formatCode>#,##0.00</c:formatCode>
                <c:ptCount val="12"/>
                <c:pt idx="0">
                  <c:v>1.1000418584525309</c:v>
                </c:pt>
                <c:pt idx="1">
                  <c:v>1.098935535151363</c:v>
                </c:pt>
                <c:pt idx="2">
                  <c:v>1.0984747372873414</c:v>
                </c:pt>
                <c:pt idx="3">
                  <c:v>1.0981447766498889</c:v>
                </c:pt>
                <c:pt idx="4">
                  <c:v>1.0974152754887985</c:v>
                </c:pt>
                <c:pt idx="5">
                  <c:v>1.0962143331530203</c:v>
                </c:pt>
                <c:pt idx="6">
                  <c:v>1.0979527469150838</c:v>
                </c:pt>
                <c:pt idx="7">
                  <c:v>1.0966714079659292</c:v>
                </c:pt>
                <c:pt idx="8">
                  <c:v>1.0941611830587148</c:v>
                </c:pt>
                <c:pt idx="9">
                  <c:v>1.0929448682415255</c:v>
                </c:pt>
                <c:pt idx="10">
                  <c:v>1.0906637916233697</c:v>
                </c:pt>
                <c:pt idx="11">
                  <c:v>1.0903427702580752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D71-400F-9063-B2A2D9EB0213}"/>
            </c:ext>
          </c:extLst>
        </c:ser>
        <c:ser>
          <c:idx val="2"/>
          <c:order val="2"/>
          <c:tx>
            <c:v>Среднее</c:v>
          </c:tx>
          <c:spPr>
            <a:ln w="19050">
              <a:solidFill>
                <a:srgbClr val="B45309"/>
              </a:solidFill>
              <a:prstDash val="solid"/>
            </a:ln>
          </c:spPr>
          <c:marker>
            <c:symbol val="none"/>
          </c:marker>
          <c:cat>
            <c:numRef>
              <c:f>'Результаты'!$B$153:$B$164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'Результаты'!$F$153:$F$164</c:f>
              <c:numCache>
                <c:formatCode>#,##0.00</c:formatCode>
                <c:ptCount val="12"/>
                <c:pt idx="0">
                  <c:v>1.1005741830012374</c:v>
                </c:pt>
                <c:pt idx="1">
                  <c:v>1.1009372471960377</c:v>
                </c:pt>
                <c:pt idx="2">
                  <c:v>1.1010521425972741</c:v>
                </c:pt>
                <c:pt idx="3">
                  <c:v>1.1009675236239518</c:v>
                </c:pt>
                <c:pt idx="4">
                  <c:v>1.1013485600656101</c:v>
                </c:pt>
                <c:pt idx="5">
                  <c:v>1.1016383240284189</c:v>
                </c:pt>
                <c:pt idx="6">
                  <c:v>1.102354555776655</c:v>
                </c:pt>
                <c:pt idx="7">
                  <c:v>1.102473232854114</c:v>
                </c:pt>
                <c:pt idx="8">
                  <c:v>1.1018180632138206</c:v>
                </c:pt>
                <c:pt idx="9">
                  <c:v>1.1016504940635488</c:v>
                </c:pt>
                <c:pt idx="10">
                  <c:v>1.1013726690368526</c:v>
                </c:pt>
                <c:pt idx="11">
                  <c:v>1.1006705048609893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D71-400F-9063-B2A2D9EB0213}"/>
            </c:ext>
          </c:extLst>
        </c:ser>
        <c:ser>
          <c:idx val="3"/>
          <c:order val="3"/>
          <c:tx>
            <c:v>10-й процентиль</c:v>
          </c:tx>
          <c:spPr>
            <a:ln w="15875">
              <a:solidFill>
                <a:srgbClr val="2F3136"/>
              </a:solidFill>
              <a:prstDash val="dash"/>
            </a:ln>
          </c:spPr>
          <c:marker>
            <c:symbol val="none"/>
          </c:marker>
          <c:cat>
            <c:numRef>
              <c:f>'Результаты'!$B$153:$B$164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'Результаты'!$C$153:$C$164</c:f>
              <c:numCache>
                <c:formatCode>#,##0.00</c:formatCode>
                <c:ptCount val="12"/>
                <c:pt idx="0">
                  <c:v>1.0449238962305232</c:v>
                </c:pt>
                <c:pt idx="1">
                  <c:v>1.0216201734308961</c:v>
                </c:pt>
                <c:pt idx="2">
                  <c:v>1.0050817192875157</c:v>
                </c:pt>
                <c:pt idx="3">
                  <c:v>0.98911416456979151</c:v>
                </c:pt>
                <c:pt idx="4">
                  <c:v>0.97697262525866557</c:v>
                </c:pt>
                <c:pt idx="5">
                  <c:v>0.9673445025854297</c:v>
                </c:pt>
                <c:pt idx="6">
                  <c:v>0.95358403270093051</c:v>
                </c:pt>
                <c:pt idx="7">
                  <c:v>0.94538883438440391</c:v>
                </c:pt>
                <c:pt idx="8">
                  <c:v>0.93527642186457194</c:v>
                </c:pt>
                <c:pt idx="9">
                  <c:v>0.92561706110830366</c:v>
                </c:pt>
                <c:pt idx="10">
                  <c:v>0.91886914908750394</c:v>
                </c:pt>
                <c:pt idx="11">
                  <c:v>0.91162952199595482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D71-400F-9063-B2A2D9EB02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  <c:min val="0.8"/>
        </c:scaling>
        <c:delete val="0"/>
        <c:axPos val="l"/>
        <c:majorGridlines>
          <c:spPr>
            <a:ln>
              <a:solidFill>
                <a:srgbClr val="ECEDE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долл. за евро</a:t>
                </a:r>
              </a:p>
            </c:rich>
          </c:tx>
          <c:overlay val="0"/>
        </c:title>
        <c:numFmt formatCode="0.0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0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v>Наибольшее среднее по группе</c:v>
          </c:tx>
          <c:spPr>
            <a:solidFill>
              <a:srgbClr val="2F3136"/>
            </a:solidFill>
            <a:ln>
              <a:noFill/>
              <a:prstDash val="solid"/>
            </a:ln>
          </c:spPr>
          <c:invertIfNegative val="0"/>
          <c:cat>
            <c:strRef>
              <c:f>'Результаты'!$B$134:$B$136</c:f>
              <c:strCache>
                <c:ptCount val="3"/>
                <c:pt idx="0">
                  <c:v>Уровень EUR/USD</c:v>
                </c:pt>
                <c:pt idx="1">
                  <c:v>Уровень Euribor</c:v>
                </c:pt>
                <c:pt idx="2">
                  <c:v>Уровень EUR/GBP</c:v>
                </c:pt>
              </c:strCache>
            </c:strRef>
          </c:cat>
          <c:val>
            <c:numRef>
              <c:f>'Результаты'!$F$134:$F$136</c:f>
              <c:numCache>
                <c:formatCode>#,##0.0_);\(#,##0.0\);"–"_)</c:formatCode>
                <c:ptCount val="3"/>
                <c:pt idx="0">
                  <c:v>63.203403429276868</c:v>
                </c:pt>
                <c:pt idx="1">
                  <c:v>5.7322217969520608</c:v>
                </c:pt>
                <c:pt idx="2">
                  <c:v>6.4751424369908506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84D-43DB-9A16-E140061A74D7}"/>
            </c:ext>
          </c:extLst>
        </c:ser>
        <c:ser>
          <c:idx val="1"/>
          <c:order val="1"/>
          <c:tx>
            <c:v>Наименьшее среднее по группе</c:v>
          </c:tx>
          <c:spPr>
            <a:solidFill>
              <a:srgbClr val="E85F2E"/>
            </a:solidFill>
            <a:ln>
              <a:noFill/>
              <a:prstDash val="solid"/>
            </a:ln>
          </c:spPr>
          <c:invertIfNegative val="0"/>
          <c:cat>
            <c:strRef>
              <c:f>'Результаты'!$B$134:$B$136</c:f>
              <c:strCache>
                <c:ptCount val="3"/>
                <c:pt idx="0">
                  <c:v>Уровень EUR/USD</c:v>
                </c:pt>
                <c:pt idx="1">
                  <c:v>Уровень Euribor</c:v>
                </c:pt>
                <c:pt idx="2">
                  <c:v>Уровень EUR/GBP</c:v>
                </c:pt>
              </c:strCache>
            </c:strRef>
          </c:cat>
          <c:val>
            <c:numRef>
              <c:f>'Результаты'!$G$134:$G$136</c:f>
              <c:numCache>
                <c:formatCode>#,##0.0_);\(#,##0.0\);"–"_)</c:formatCode>
                <c:ptCount val="3"/>
                <c:pt idx="0">
                  <c:v>-53.613081693630235</c:v>
                </c:pt>
                <c:pt idx="1">
                  <c:v>-8.2798664658693113</c:v>
                </c:pt>
                <c:pt idx="2">
                  <c:v>-5.1566797124257988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84D-43DB-9A16-E140061A74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5"/>
        <c:overlap val="100"/>
        <c:axId val="10"/>
        <c:axId val="100"/>
      </c:barChart>
      <c:catAx>
        <c:axId val="1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b"/>
        <c:majorGridlines>
          <c:spPr>
            <a:ln>
              <a:solidFill>
                <a:srgbClr val="ECEDEF"/>
              </a:solidFill>
              <a:prstDash val="solid"/>
            </a:ln>
          </c:spPr>
        </c:majorGridlines>
        <c:numFmt formatCode="#,##0" sourceLinked="0"/>
        <c:majorTickMark val="none"/>
        <c:minorTickMark val="none"/>
        <c:tickLblPos val="nextTo"/>
        <c:crossAx val="10"/>
        <c:crosses val="max"/>
        <c:crossBetween val="between"/>
      </c:valAx>
    </c:plotArea>
    <c:legend>
      <c:legendPos val="b"/>
      <c:overlay val="0"/>
    </c:legend>
    <c:plotVisOnly val="0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19</xdr:row>
      <xdr:rowOff>0</xdr:rowOff>
    </xdr:from>
    <xdr:ext cx="9144000" cy="15240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9</xdr:row>
      <xdr:rowOff>0</xdr:rowOff>
    </xdr:from>
    <xdr:ext cx="6263999" cy="2664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8</xdr:col>
      <xdr:colOff>0</xdr:colOff>
      <xdr:row>25</xdr:row>
      <xdr:rowOff>0</xdr:rowOff>
    </xdr:from>
    <xdr:ext cx="6263999" cy="252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8</xdr:col>
      <xdr:colOff>0</xdr:colOff>
      <xdr:row>41</xdr:row>
      <xdr:rowOff>0</xdr:rowOff>
    </xdr:from>
    <xdr:ext cx="6263999" cy="2520000"/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  <xdr:oneCellAnchor>
    <xdr:from>
      <xdr:col>8</xdr:col>
      <xdr:colOff>0</xdr:colOff>
      <xdr:row>57</xdr:row>
      <xdr:rowOff>0</xdr:rowOff>
    </xdr:from>
    <xdr:ext cx="6263999" cy="2160000"/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F3136"/>
    <pageSetUpPr fitToPage="1"/>
  </sheetPr>
  <dimension ref="A1:D72"/>
  <sheetViews>
    <sheetView showGridLines="0" tabSelected="1" workbookViewId="0">
      <pane ySplit="5" topLeftCell="A6" activePane="bottomLeft" state="frozen"/>
      <selection pane="bottomLeft"/>
    </sheetView>
  </sheetViews>
  <sheetFormatPr defaultRowHeight="14.25" x14ac:dyDescent="0.45"/>
  <cols>
    <col min="1" max="1" width="2" customWidth="1"/>
    <col min="2" max="2" width="26" customWidth="1"/>
    <col min="3" max="3" width="112" customWidth="1"/>
    <col min="4" max="4" width="2" customWidth="1"/>
    <col min="6" max="6" width="9.06640625" customWidth="1"/>
  </cols>
  <sheetData>
    <row r="1" spans="1:4" ht="6" customHeight="1" x14ac:dyDescent="0.45"/>
    <row r="2" spans="1:4" ht="34.049999999999997" customHeight="1" x14ac:dyDescent="0.45">
      <c r="A2" s="1"/>
      <c r="B2" s="2" t="s">
        <v>0</v>
      </c>
      <c r="C2" s="1"/>
      <c r="D2" s="3" t="s">
        <v>1</v>
      </c>
    </row>
    <row r="3" spans="1:4" ht="20" customHeight="1" x14ac:dyDescent="0.45">
      <c r="A3" s="1"/>
      <c r="B3" s="4" t="s">
        <v>2</v>
      </c>
      <c r="C3" s="1"/>
      <c r="D3" s="1"/>
    </row>
    <row r="4" spans="1:4" ht="20" customHeight="1" x14ac:dyDescent="0.45">
      <c r="A4" s="5"/>
      <c r="B4" s="5"/>
      <c r="C4" s="5"/>
      <c r="D4" s="6" t="s">
        <v>3</v>
      </c>
    </row>
    <row r="5" spans="1:4" ht="8" customHeight="1" x14ac:dyDescent="0.45"/>
    <row r="6" spans="1:4" ht="22.05" customHeight="1" x14ac:dyDescent="0.5">
      <c r="B6" s="7" t="s">
        <v>4</v>
      </c>
      <c r="C6" s="8"/>
    </row>
    <row r="7" spans="1:4" x14ac:dyDescent="0.45">
      <c r="B7" s="9" t="s">
        <v>5</v>
      </c>
      <c r="C7" s="10" t="s">
        <v>6</v>
      </c>
    </row>
    <row r="8" spans="1:4" x14ac:dyDescent="0.45">
      <c r="B8" s="9" t="s">
        <v>7</v>
      </c>
      <c r="C8" s="10" t="s">
        <v>8</v>
      </c>
    </row>
    <row r="9" spans="1:4" ht="39.4" x14ac:dyDescent="0.45">
      <c r="B9" s="9" t="s">
        <v>9</v>
      </c>
      <c r="C9" s="11" t="s">
        <v>10</v>
      </c>
    </row>
    <row r="10" spans="1:4" x14ac:dyDescent="0.45">
      <c r="B10" s="9" t="s">
        <v>11</v>
      </c>
      <c r="C10" s="10" t="s">
        <v>12</v>
      </c>
    </row>
    <row r="11" spans="1:4" ht="26.25" x14ac:dyDescent="0.45">
      <c r="B11" s="9" t="s">
        <v>13</v>
      </c>
      <c r="C11" s="10" t="s">
        <v>14</v>
      </c>
    </row>
    <row r="12" spans="1:4" ht="39.4" x14ac:dyDescent="0.45">
      <c r="B12" s="9" t="s">
        <v>15</v>
      </c>
      <c r="C12" s="10" t="s">
        <v>16</v>
      </c>
    </row>
    <row r="13" spans="1:4" x14ac:dyDescent="0.45">
      <c r="B13" s="9" t="s">
        <v>17</v>
      </c>
      <c r="C13" s="10" t="s">
        <v>18</v>
      </c>
    </row>
    <row r="14" spans="1:4" ht="12" customHeight="1" x14ac:dyDescent="0.45"/>
    <row r="15" spans="1:4" ht="22.05" customHeight="1" x14ac:dyDescent="0.5">
      <c r="B15" s="7" t="s">
        <v>19</v>
      </c>
      <c r="C15" s="8"/>
    </row>
    <row r="16" spans="1:4" ht="70.05" customHeight="1" x14ac:dyDescent="0.45">
      <c r="B16" s="87" t="s">
        <v>20</v>
      </c>
      <c r="C16" s="86"/>
    </row>
    <row r="17" spans="2:3" ht="12" customHeight="1" x14ac:dyDescent="0.45"/>
    <row r="18" spans="2:3" ht="22.05" customHeight="1" x14ac:dyDescent="0.5">
      <c r="B18" s="7" t="s">
        <v>21</v>
      </c>
      <c r="C18" s="8"/>
    </row>
    <row r="19" spans="2:3" ht="18" customHeight="1" x14ac:dyDescent="0.45">
      <c r="B19" s="13" t="s">
        <v>22</v>
      </c>
    </row>
    <row r="20" spans="2:3" ht="15" customHeight="1" x14ac:dyDescent="0.45"/>
    <row r="21" spans="2:3" ht="15" customHeight="1" x14ac:dyDescent="0.45"/>
    <row r="22" spans="2:3" ht="15" customHeight="1" x14ac:dyDescent="0.45"/>
    <row r="23" spans="2:3" ht="15" customHeight="1" x14ac:dyDescent="0.45"/>
    <row r="24" spans="2:3" ht="15" customHeight="1" x14ac:dyDescent="0.45"/>
    <row r="25" spans="2:3" ht="15" customHeight="1" x14ac:dyDescent="0.45"/>
    <row r="26" spans="2:3" ht="15" customHeight="1" x14ac:dyDescent="0.45"/>
    <row r="27" spans="2:3" ht="15" customHeight="1" x14ac:dyDescent="0.45"/>
    <row r="28" spans="2:3" ht="26.25" x14ac:dyDescent="0.45">
      <c r="B28" s="9" t="s">
        <v>23</v>
      </c>
      <c r="C28" s="10" t="s">
        <v>24</v>
      </c>
    </row>
    <row r="29" spans="2:3" ht="39.4" x14ac:dyDescent="0.45">
      <c r="B29" s="9" t="s">
        <v>25</v>
      </c>
      <c r="C29" s="10" t="s">
        <v>26</v>
      </c>
    </row>
    <row r="30" spans="2:3" ht="26.25" x14ac:dyDescent="0.45">
      <c r="B30" s="9" t="s">
        <v>27</v>
      </c>
      <c r="C30" s="10" t="s">
        <v>28</v>
      </c>
    </row>
    <row r="31" spans="2:3" ht="12" customHeight="1" x14ac:dyDescent="0.45"/>
    <row r="32" spans="2:3" ht="22.05" customHeight="1" x14ac:dyDescent="0.5">
      <c r="B32" s="7" t="s">
        <v>29</v>
      </c>
      <c r="C32" s="8"/>
    </row>
    <row r="33" spans="2:3" x14ac:dyDescent="0.45">
      <c r="B33" s="9" t="s">
        <v>30</v>
      </c>
      <c r="C33" s="10" t="s">
        <v>31</v>
      </c>
    </row>
    <row r="34" spans="2:3" x14ac:dyDescent="0.45">
      <c r="B34" s="9" t="s">
        <v>32</v>
      </c>
      <c r="C34" s="10" t="s">
        <v>33</v>
      </c>
    </row>
    <row r="35" spans="2:3" x14ac:dyDescent="0.45">
      <c r="B35" s="9" t="s">
        <v>34</v>
      </c>
      <c r="C35" s="10" t="s">
        <v>35</v>
      </c>
    </row>
    <row r="36" spans="2:3" x14ac:dyDescent="0.45">
      <c r="B36" s="9" t="s">
        <v>36</v>
      </c>
      <c r="C36" s="10" t="s">
        <v>37</v>
      </c>
    </row>
    <row r="37" spans="2:3" ht="12" customHeight="1" x14ac:dyDescent="0.45"/>
    <row r="38" spans="2:3" ht="22.05" customHeight="1" x14ac:dyDescent="0.5">
      <c r="B38" s="7" t="s">
        <v>38</v>
      </c>
      <c r="C38" s="8"/>
    </row>
    <row r="39" spans="2:3" x14ac:dyDescent="0.45">
      <c r="B39" s="14" t="s">
        <v>39</v>
      </c>
      <c r="C39" s="10" t="s">
        <v>40</v>
      </c>
    </row>
    <row r="40" spans="2:3" x14ac:dyDescent="0.45">
      <c r="B40" s="14" t="s">
        <v>41</v>
      </c>
      <c r="C40" s="10" t="s">
        <v>42</v>
      </c>
    </row>
    <row r="41" spans="2:3" x14ac:dyDescent="0.45">
      <c r="B41" s="14" t="s">
        <v>43</v>
      </c>
      <c r="C41" s="10" t="s">
        <v>44</v>
      </c>
    </row>
    <row r="42" spans="2:3" ht="12" customHeight="1" x14ac:dyDescent="0.45"/>
    <row r="43" spans="2:3" ht="22.05" customHeight="1" x14ac:dyDescent="0.5">
      <c r="B43" s="7" t="s">
        <v>45</v>
      </c>
      <c r="C43" s="8"/>
    </row>
    <row r="44" spans="2:3" x14ac:dyDescent="0.45">
      <c r="B44" s="15" t="s">
        <v>46</v>
      </c>
      <c r="C44" s="12" t="s">
        <v>47</v>
      </c>
    </row>
    <row r="45" spans="2:3" x14ac:dyDescent="0.45">
      <c r="B45" s="16" t="s">
        <v>48</v>
      </c>
      <c r="C45" s="12" t="s">
        <v>49</v>
      </c>
    </row>
    <row r="46" spans="2:3" x14ac:dyDescent="0.45">
      <c r="B46" s="17" t="s">
        <v>50</v>
      </c>
      <c r="C46" s="12" t="s">
        <v>51</v>
      </c>
    </row>
    <row r="47" spans="2:3" x14ac:dyDescent="0.45">
      <c r="B47" s="18" t="s">
        <v>52</v>
      </c>
      <c r="C47" s="12" t="s">
        <v>53</v>
      </c>
    </row>
    <row r="48" spans="2:3" x14ac:dyDescent="0.45">
      <c r="B48" s="19" t="s">
        <v>54</v>
      </c>
      <c r="C48" s="12" t="s">
        <v>55</v>
      </c>
    </row>
    <row r="49" spans="2:3" ht="12" customHeight="1" x14ac:dyDescent="0.45"/>
    <row r="50" spans="2:3" ht="22.05" customHeight="1" x14ac:dyDescent="0.5">
      <c r="B50" s="7" t="s">
        <v>56</v>
      </c>
      <c r="C50" s="8"/>
    </row>
    <row r="51" spans="2:3" x14ac:dyDescent="0.45">
      <c r="B51" s="9" t="s">
        <v>57</v>
      </c>
      <c r="C51" s="10" t="s">
        <v>58</v>
      </c>
    </row>
    <row r="52" spans="2:3" x14ac:dyDescent="0.45">
      <c r="B52" s="9" t="s">
        <v>59</v>
      </c>
      <c r="C52" s="10" t="s">
        <v>60</v>
      </c>
    </row>
    <row r="53" spans="2:3" x14ac:dyDescent="0.45">
      <c r="B53" s="9" t="s">
        <v>61</v>
      </c>
      <c r="C53" s="10" t="s">
        <v>62</v>
      </c>
    </row>
    <row r="54" spans="2:3" x14ac:dyDescent="0.45">
      <c r="B54" s="9" t="s">
        <v>63</v>
      </c>
      <c r="C54" s="10" t="s">
        <v>64</v>
      </c>
    </row>
    <row r="55" spans="2:3" ht="12" customHeight="1" x14ac:dyDescent="0.45"/>
    <row r="56" spans="2:3" ht="22.05" customHeight="1" x14ac:dyDescent="0.5">
      <c r="B56" s="7" t="s">
        <v>65</v>
      </c>
      <c r="C56" s="8"/>
    </row>
    <row r="57" spans="2:3" x14ac:dyDescent="0.45">
      <c r="B57" s="9" t="s">
        <v>66</v>
      </c>
      <c r="C57" s="10" t="s">
        <v>67</v>
      </c>
    </row>
    <row r="58" spans="2:3" x14ac:dyDescent="0.45">
      <c r="B58" s="9" t="s">
        <v>68</v>
      </c>
      <c r="C58" s="10" t="s">
        <v>69</v>
      </c>
    </row>
    <row r="59" spans="2:3" x14ac:dyDescent="0.45">
      <c r="B59" s="9" t="s">
        <v>70</v>
      </c>
      <c r="C59" s="10" t="s">
        <v>71</v>
      </c>
    </row>
    <row r="60" spans="2:3" x14ac:dyDescent="0.45">
      <c r="B60" s="9" t="s">
        <v>72</v>
      </c>
      <c r="C60" s="10" t="s">
        <v>73</v>
      </c>
    </row>
    <row r="61" spans="2:3" ht="12" customHeight="1" x14ac:dyDescent="0.45"/>
    <row r="62" spans="2:3" ht="22.05" customHeight="1" x14ac:dyDescent="0.5">
      <c r="B62" s="7" t="s">
        <v>74</v>
      </c>
      <c r="C62" s="8"/>
    </row>
    <row r="63" spans="2:3" x14ac:dyDescent="0.45">
      <c r="B63" s="20" t="s">
        <v>75</v>
      </c>
      <c r="C63" s="10" t="s">
        <v>76</v>
      </c>
    </row>
    <row r="64" spans="2:3" x14ac:dyDescent="0.45">
      <c r="B64" s="20" t="s">
        <v>77</v>
      </c>
      <c r="C64" s="10" t="s">
        <v>78</v>
      </c>
    </row>
    <row r="65" spans="2:3" ht="26.25" x14ac:dyDescent="0.45">
      <c r="B65" s="20" t="s">
        <v>79</v>
      </c>
      <c r="C65" s="10" t="s">
        <v>80</v>
      </c>
    </row>
    <row r="66" spans="2:3" x14ac:dyDescent="0.45">
      <c r="B66" s="20" t="s">
        <v>81</v>
      </c>
      <c r="C66" s="10" t="s">
        <v>82</v>
      </c>
    </row>
    <row r="67" spans="2:3" ht="12" customHeight="1" x14ac:dyDescent="0.45"/>
    <row r="68" spans="2:3" ht="22.05" customHeight="1" x14ac:dyDescent="0.5">
      <c r="B68" s="7" t="s">
        <v>83</v>
      </c>
      <c r="C68" s="8"/>
    </row>
    <row r="69" spans="2:3" x14ac:dyDescent="0.45">
      <c r="B69" s="9" t="s">
        <v>84</v>
      </c>
      <c r="C69" s="10" t="s">
        <v>85</v>
      </c>
    </row>
    <row r="70" spans="2:3" x14ac:dyDescent="0.45">
      <c r="B70" s="9" t="s">
        <v>86</v>
      </c>
      <c r="C70" s="10" t="s">
        <v>87</v>
      </c>
    </row>
    <row r="71" spans="2:3" ht="16.05" customHeight="1" x14ac:dyDescent="0.45"/>
    <row r="72" spans="2:3" x14ac:dyDescent="0.45">
      <c r="B72" s="85" t="s">
        <v>88</v>
      </c>
      <c r="C72" s="86"/>
    </row>
  </sheetData>
  <mergeCells count="2">
    <mergeCell ref="B72:C72"/>
    <mergeCell ref="B16:C16"/>
  </mergeCells>
  <hyperlinks>
    <hyperlink ref="D4" location="'Исходные данные'!A1" display="Далее:  Исходные данные  ▸" xr:uid="{00000000-0004-0000-0000-000000000000}"/>
    <hyperlink ref="B39" location="'Исходные данные'!A1" display="Исходные данные" xr:uid="{00000000-0004-0000-0000-000001000000}"/>
    <hyperlink ref="B40" location="'Денежный поток'!A1" display="Денежный поток" xr:uid="{00000000-0004-0000-0000-000002000000}"/>
    <hyperlink ref="B41" location="'Результаты'!A1" display="Результаты" xr:uid="{00000000-0004-0000-0000-000003000000}"/>
  </hyperlinks>
  <printOptions horizontalCentered="1"/>
  <pageMargins left="0.4" right="0.4" top="0.5" bottom="0.6" header="0.25" footer="0.25"/>
  <pageSetup paperSize="9" scale="67" fitToHeight="0" orientation="portrait" r:id="rId1"/>
  <headerFooter>
    <oddFooter>&amp;L&amp;K3F5876&amp;8&amp;F · &amp;A&amp;R&amp;K3F5876&amp;8Page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E0A800"/>
    <pageSetUpPr fitToPage="1"/>
  </sheetPr>
  <dimension ref="A1:J40"/>
  <sheetViews>
    <sheetView showGridLines="0" workbookViewId="0">
      <pane ySplit="5" topLeftCell="A6" activePane="bottomLeft" state="frozen"/>
      <selection pane="bottomLeft"/>
    </sheetView>
  </sheetViews>
  <sheetFormatPr defaultRowHeight="14.25" x14ac:dyDescent="0.45"/>
  <cols>
    <col min="1" max="1" width="2" customWidth="1"/>
    <col min="2" max="2" width="44" customWidth="1"/>
    <col min="3" max="3" width="19" customWidth="1"/>
    <col min="4" max="4" width="13" customWidth="1"/>
    <col min="5" max="5" width="19" customWidth="1"/>
    <col min="6" max="9" width="10" customWidth="1"/>
    <col min="10" max="10" width="59" customWidth="1"/>
    <col min="12" max="12" width="9.06640625" customWidth="1"/>
  </cols>
  <sheetData>
    <row r="1" spans="1:10" ht="6" customHeight="1" x14ac:dyDescent="0.45"/>
    <row r="2" spans="1:10" ht="30" customHeight="1" x14ac:dyDescent="0.45">
      <c r="A2" s="1"/>
      <c r="B2" s="21" t="s">
        <v>0</v>
      </c>
      <c r="C2" s="1"/>
      <c r="D2" s="1"/>
      <c r="E2" s="1"/>
      <c r="F2" s="1"/>
      <c r="G2" s="1"/>
      <c r="H2" s="1"/>
      <c r="I2" s="1"/>
      <c r="J2" s="3" t="s">
        <v>1</v>
      </c>
    </row>
    <row r="3" spans="1:10" ht="20" customHeight="1" x14ac:dyDescent="0.45">
      <c r="A3" s="1"/>
      <c r="B3" s="4" t="s">
        <v>89</v>
      </c>
      <c r="C3" s="1"/>
      <c r="D3" s="1"/>
      <c r="E3" s="1"/>
      <c r="F3" s="1"/>
      <c r="G3" s="1"/>
      <c r="H3" s="1"/>
      <c r="I3" s="1"/>
      <c r="J3" s="1"/>
    </row>
    <row r="4" spans="1:10" ht="20" customHeight="1" x14ac:dyDescent="0.45">
      <c r="A4" s="5"/>
      <c r="B4" s="22" t="s">
        <v>90</v>
      </c>
      <c r="C4" s="5"/>
      <c r="D4" s="5"/>
      <c r="E4" s="5"/>
      <c r="F4" s="5"/>
      <c r="G4" s="5"/>
      <c r="H4" s="5"/>
      <c r="I4" s="5"/>
      <c r="J4" s="6" t="s">
        <v>91</v>
      </c>
    </row>
    <row r="5" spans="1:10" ht="8" customHeight="1" x14ac:dyDescent="0.45"/>
    <row r="6" spans="1:10" ht="20" customHeight="1" x14ac:dyDescent="0.45">
      <c r="B6" s="88" t="s">
        <v>92</v>
      </c>
      <c r="C6" s="86"/>
      <c r="D6" s="86"/>
      <c r="E6" s="86"/>
      <c r="F6" s="86"/>
      <c r="G6" s="86"/>
      <c r="H6" s="86"/>
      <c r="I6" s="86"/>
      <c r="J6" s="86"/>
    </row>
    <row r="7" spans="1:10" ht="6" customHeight="1" x14ac:dyDescent="0.45"/>
    <row r="8" spans="1:10" ht="22.05" customHeight="1" x14ac:dyDescent="0.5">
      <c r="B8" s="7" t="s">
        <v>93</v>
      </c>
      <c r="C8" s="8"/>
      <c r="D8" s="8"/>
      <c r="E8" s="8"/>
      <c r="F8" s="8"/>
      <c r="G8" s="8"/>
      <c r="H8" s="8"/>
      <c r="I8" s="8"/>
      <c r="J8" s="8"/>
    </row>
    <row r="9" spans="1:10" ht="18" customHeight="1" x14ac:dyDescent="0.45">
      <c r="B9" s="13" t="s">
        <v>94</v>
      </c>
    </row>
    <row r="10" spans="1:10" ht="18" customHeight="1" x14ac:dyDescent="0.45">
      <c r="B10" s="23" t="s">
        <v>95</v>
      </c>
      <c r="C10" s="23" t="s">
        <v>96</v>
      </c>
      <c r="D10" s="24" t="s">
        <v>97</v>
      </c>
      <c r="E10" s="23" t="s">
        <v>98</v>
      </c>
      <c r="F10" s="5"/>
      <c r="G10" s="5"/>
      <c r="H10" s="5"/>
      <c r="I10" s="5"/>
      <c r="J10" s="23" t="s">
        <v>99</v>
      </c>
    </row>
    <row r="11" spans="1:10" x14ac:dyDescent="0.45">
      <c r="B11" s="25" t="s">
        <v>100</v>
      </c>
      <c r="C11" s="26" t="s">
        <v>101</v>
      </c>
      <c r="D11" s="27">
        <v>45</v>
      </c>
      <c r="E11" s="26" t="s">
        <v>102</v>
      </c>
      <c r="F11" s="28"/>
      <c r="G11" s="28"/>
      <c r="H11" s="28"/>
      <c r="I11" s="28"/>
      <c r="J11" s="29" t="s">
        <v>103</v>
      </c>
    </row>
    <row r="12" spans="1:10" x14ac:dyDescent="0.45">
      <c r="B12" s="25" t="s">
        <v>104</v>
      </c>
      <c r="C12" s="26" t="s">
        <v>105</v>
      </c>
      <c r="D12" s="27">
        <v>20</v>
      </c>
      <c r="E12" s="26" t="s">
        <v>102</v>
      </c>
      <c r="F12" s="28"/>
      <c r="G12" s="28"/>
      <c r="H12" s="28"/>
      <c r="I12" s="28"/>
      <c r="J12" s="29"/>
    </row>
    <row r="13" spans="1:10" x14ac:dyDescent="0.45">
      <c r="B13" s="25" t="s">
        <v>106</v>
      </c>
      <c r="C13" s="26" t="s">
        <v>107</v>
      </c>
      <c r="D13" s="27">
        <v>12</v>
      </c>
      <c r="E13" s="26" t="s">
        <v>102</v>
      </c>
      <c r="F13" s="28"/>
      <c r="G13" s="28"/>
      <c r="H13" s="28"/>
      <c r="I13" s="28"/>
      <c r="J13" s="29"/>
    </row>
    <row r="14" spans="1:10" x14ac:dyDescent="0.45">
      <c r="B14" s="25" t="s">
        <v>108</v>
      </c>
      <c r="C14" s="26" t="s">
        <v>109</v>
      </c>
      <c r="D14" s="27">
        <v>250</v>
      </c>
      <c r="E14" s="26" t="s">
        <v>102</v>
      </c>
      <c r="F14" s="28"/>
      <c r="G14" s="28"/>
      <c r="H14" s="28"/>
      <c r="I14" s="28"/>
      <c r="J14" s="29"/>
    </row>
    <row r="15" spans="1:10" x14ac:dyDescent="0.45">
      <c r="B15" s="25" t="s">
        <v>110</v>
      </c>
      <c r="C15" s="26" t="s">
        <v>111</v>
      </c>
      <c r="D15" s="30">
        <v>1.7500000000000002E-2</v>
      </c>
      <c r="E15" s="26" t="s">
        <v>102</v>
      </c>
      <c r="F15" s="28"/>
      <c r="G15" s="28"/>
      <c r="H15" s="28"/>
      <c r="I15" s="28"/>
      <c r="J15" s="29"/>
    </row>
    <row r="16" spans="1:10" ht="8" customHeight="1" x14ac:dyDescent="0.45"/>
    <row r="17" spans="2:10" ht="22.05" customHeight="1" x14ac:dyDescent="0.5">
      <c r="B17" s="7" t="s">
        <v>112</v>
      </c>
      <c r="C17" s="8"/>
      <c r="D17" s="8"/>
      <c r="E17" s="8"/>
      <c r="F17" s="8"/>
      <c r="G17" s="8"/>
      <c r="H17" s="8"/>
      <c r="I17" s="8"/>
      <c r="J17" s="8"/>
    </row>
    <row r="18" spans="2:10" ht="18" customHeight="1" x14ac:dyDescent="0.45">
      <c r="B18" s="13" t="s">
        <v>113</v>
      </c>
    </row>
    <row r="19" spans="2:10" ht="18" customHeight="1" x14ac:dyDescent="0.45">
      <c r="B19" s="23" t="s">
        <v>95</v>
      </c>
      <c r="C19" s="23" t="s">
        <v>96</v>
      </c>
      <c r="D19" s="24" t="s">
        <v>97</v>
      </c>
      <c r="E19" s="23" t="s">
        <v>98</v>
      </c>
      <c r="F19" s="5"/>
      <c r="G19" s="5"/>
      <c r="H19" s="5"/>
      <c r="I19" s="5"/>
      <c r="J19" s="23" t="s">
        <v>99</v>
      </c>
    </row>
    <row r="20" spans="2:10" x14ac:dyDescent="0.45">
      <c r="B20" s="25" t="s">
        <v>114</v>
      </c>
      <c r="C20" s="26" t="s">
        <v>115</v>
      </c>
      <c r="D20" s="31">
        <v>1.1000000000000001</v>
      </c>
      <c r="E20" s="26" t="s">
        <v>102</v>
      </c>
      <c r="F20" s="28"/>
      <c r="G20" s="28"/>
      <c r="H20" s="28"/>
      <c r="I20" s="28"/>
      <c r="J20" s="29"/>
    </row>
    <row r="21" spans="2:10" x14ac:dyDescent="0.45">
      <c r="B21" s="25" t="s">
        <v>116</v>
      </c>
      <c r="C21" s="26" t="s">
        <v>117</v>
      </c>
      <c r="D21" s="31">
        <v>0.85</v>
      </c>
      <c r="E21" s="26" t="s">
        <v>102</v>
      </c>
      <c r="F21" s="28"/>
      <c r="G21" s="28"/>
      <c r="H21" s="28"/>
      <c r="I21" s="28"/>
      <c r="J21" s="29"/>
    </row>
    <row r="22" spans="2:10" x14ac:dyDescent="0.45">
      <c r="B22" s="25" t="s">
        <v>118</v>
      </c>
      <c r="C22" s="26" t="s">
        <v>111</v>
      </c>
      <c r="D22" s="30">
        <v>2.5000000000000001E-2</v>
      </c>
      <c r="E22" s="26" t="s">
        <v>102</v>
      </c>
      <c r="F22" s="28"/>
      <c r="G22" s="28"/>
      <c r="H22" s="28"/>
      <c r="I22" s="28"/>
      <c r="J22" s="29"/>
    </row>
    <row r="23" spans="2:10" x14ac:dyDescent="0.45">
      <c r="B23" s="25" t="s">
        <v>119</v>
      </c>
      <c r="C23" s="26" t="s">
        <v>111</v>
      </c>
      <c r="D23" s="30">
        <v>0.04</v>
      </c>
      <c r="E23" s="26" t="s">
        <v>102</v>
      </c>
      <c r="F23" s="28"/>
      <c r="G23" s="28"/>
      <c r="H23" s="28"/>
      <c r="I23" s="28"/>
      <c r="J23" s="29" t="s">
        <v>120</v>
      </c>
    </row>
    <row r="24" spans="2:10" x14ac:dyDescent="0.45">
      <c r="B24" s="25" t="s">
        <v>121</v>
      </c>
      <c r="C24" s="26" t="s">
        <v>111</v>
      </c>
      <c r="D24" s="30">
        <v>3.7499999999999999E-2</v>
      </c>
      <c r="E24" s="26" t="s">
        <v>102</v>
      </c>
      <c r="F24" s="28"/>
      <c r="G24" s="28"/>
      <c r="H24" s="28"/>
      <c r="I24" s="28"/>
      <c r="J24" s="29"/>
    </row>
    <row r="25" spans="2:10" ht="8" customHeight="1" x14ac:dyDescent="0.45"/>
    <row r="26" spans="2:10" ht="22.05" customHeight="1" x14ac:dyDescent="0.5">
      <c r="B26" s="7" t="s">
        <v>122</v>
      </c>
      <c r="C26" s="8"/>
      <c r="D26" s="8"/>
      <c r="E26" s="8"/>
      <c r="F26" s="8"/>
      <c r="G26" s="8"/>
      <c r="H26" s="8"/>
      <c r="I26" s="8"/>
      <c r="J26" s="8"/>
    </row>
    <row r="27" spans="2:10" ht="18" customHeight="1" x14ac:dyDescent="0.45">
      <c r="B27" s="13" t="s">
        <v>123</v>
      </c>
    </row>
    <row r="28" spans="2:10" ht="18" customHeight="1" x14ac:dyDescent="0.45">
      <c r="B28" s="23" t="s">
        <v>95</v>
      </c>
      <c r="C28" s="23" t="s">
        <v>96</v>
      </c>
      <c r="D28" s="24" t="s">
        <v>97</v>
      </c>
      <c r="E28" s="23" t="s">
        <v>98</v>
      </c>
      <c r="F28" s="5"/>
      <c r="G28" s="5"/>
      <c r="H28" s="5"/>
      <c r="I28" s="5"/>
      <c r="J28" s="23" t="s">
        <v>99</v>
      </c>
    </row>
    <row r="29" spans="2:10" x14ac:dyDescent="0.45">
      <c r="B29" s="25" t="s">
        <v>124</v>
      </c>
      <c r="C29" s="26" t="s">
        <v>111</v>
      </c>
      <c r="D29" s="32">
        <v>0.08</v>
      </c>
      <c r="E29" s="26" t="s">
        <v>102</v>
      </c>
      <c r="F29" s="28"/>
      <c r="G29" s="28"/>
      <c r="H29" s="28"/>
      <c r="I29" s="28"/>
      <c r="J29" s="29" t="s">
        <v>125</v>
      </c>
    </row>
    <row r="30" spans="2:10" x14ac:dyDescent="0.45">
      <c r="B30" s="25" t="s">
        <v>126</v>
      </c>
      <c r="C30" s="26" t="s">
        <v>111</v>
      </c>
      <c r="D30" s="32">
        <v>0.06</v>
      </c>
      <c r="E30" s="26" t="s">
        <v>102</v>
      </c>
      <c r="F30" s="28"/>
      <c r="G30" s="28"/>
      <c r="H30" s="28"/>
      <c r="I30" s="28"/>
      <c r="J30" s="29"/>
    </row>
    <row r="31" spans="2:10" x14ac:dyDescent="0.45">
      <c r="B31" s="25" t="s">
        <v>127</v>
      </c>
      <c r="C31" s="26" t="s">
        <v>111</v>
      </c>
      <c r="D31" s="32">
        <v>0.2</v>
      </c>
      <c r="E31" s="26" t="s">
        <v>102</v>
      </c>
      <c r="F31" s="28"/>
      <c r="G31" s="28"/>
      <c r="H31" s="28"/>
      <c r="I31" s="28"/>
      <c r="J31" s="29" t="s">
        <v>128</v>
      </c>
    </row>
    <row r="32" spans="2:10" x14ac:dyDescent="0.45">
      <c r="B32" s="25" t="s">
        <v>129</v>
      </c>
      <c r="C32" s="26" t="s">
        <v>130</v>
      </c>
      <c r="D32" s="33">
        <v>0.5</v>
      </c>
      <c r="E32" s="26" t="s">
        <v>102</v>
      </c>
      <c r="F32" s="28"/>
      <c r="G32" s="28"/>
      <c r="H32" s="28"/>
      <c r="I32" s="28"/>
      <c r="J32" s="29" t="s">
        <v>131</v>
      </c>
    </row>
    <row r="33" spans="2:10" x14ac:dyDescent="0.45">
      <c r="B33" s="25" t="s">
        <v>132</v>
      </c>
      <c r="C33" s="26" t="s">
        <v>130</v>
      </c>
      <c r="D33" s="33">
        <v>0</v>
      </c>
      <c r="E33" s="26" t="s">
        <v>102</v>
      </c>
      <c r="F33" s="28"/>
      <c r="G33" s="28"/>
      <c r="H33" s="28"/>
      <c r="I33" s="28"/>
      <c r="J33" s="29"/>
    </row>
    <row r="34" spans="2:10" ht="8" customHeight="1" x14ac:dyDescent="0.45"/>
    <row r="35" spans="2:10" ht="22.05" customHeight="1" x14ac:dyDescent="0.5">
      <c r="B35" s="7" t="s">
        <v>133</v>
      </c>
      <c r="C35" s="8"/>
      <c r="D35" s="8"/>
      <c r="E35" s="8"/>
      <c r="F35" s="8"/>
      <c r="G35" s="8"/>
      <c r="H35" s="8"/>
      <c r="I35" s="8"/>
      <c r="J35" s="8"/>
    </row>
    <row r="36" spans="2:10" ht="18" customHeight="1" x14ac:dyDescent="0.45">
      <c r="B36" s="13" t="s">
        <v>134</v>
      </c>
    </row>
    <row r="37" spans="2:10" ht="18" customHeight="1" x14ac:dyDescent="0.45">
      <c r="B37" s="23" t="s">
        <v>95</v>
      </c>
      <c r="C37" s="23" t="s">
        <v>96</v>
      </c>
      <c r="D37" s="24" t="s">
        <v>97</v>
      </c>
      <c r="E37" s="23" t="s">
        <v>98</v>
      </c>
      <c r="F37" s="5"/>
      <c r="G37" s="5"/>
      <c r="H37" s="5"/>
      <c r="I37" s="5"/>
      <c r="J37" s="23" t="s">
        <v>99</v>
      </c>
    </row>
    <row r="38" spans="2:10" x14ac:dyDescent="0.45">
      <c r="B38" s="25" t="s">
        <v>135</v>
      </c>
      <c r="C38" s="26"/>
      <c r="D38" s="34">
        <v>0.5</v>
      </c>
      <c r="E38" s="26" t="s">
        <v>102</v>
      </c>
      <c r="F38" s="28"/>
      <c r="G38" s="28"/>
      <c r="H38" s="28"/>
      <c r="I38" s="28"/>
      <c r="J38" s="29" t="s">
        <v>136</v>
      </c>
    </row>
    <row r="39" spans="2:10" x14ac:dyDescent="0.45">
      <c r="B39" s="25" t="s">
        <v>137</v>
      </c>
      <c r="C39" s="26" t="s">
        <v>111</v>
      </c>
      <c r="D39" s="30">
        <v>2.7E-2</v>
      </c>
      <c r="E39" s="26" t="s">
        <v>102</v>
      </c>
      <c r="F39" s="28"/>
      <c r="G39" s="28"/>
      <c r="H39" s="28"/>
      <c r="I39" s="28"/>
      <c r="J39" s="29" t="s">
        <v>138</v>
      </c>
    </row>
    <row r="40" spans="2:10" ht="8" customHeight="1" x14ac:dyDescent="0.45"/>
  </sheetData>
  <mergeCells count="1">
    <mergeCell ref="B6:J6"/>
  </mergeCells>
  <dataValidations count="4">
    <dataValidation type="decimal" showErrorMessage="1" errorTitle="Значение" error="Введите значение не меньше нуля." sqref="D39 D23:D24 D11:D15" xr:uid="{00000000-0002-0000-0100-000000000000}">
      <formula1>0</formula1>
      <formula2>1000000000000</formula2>
    </dataValidation>
    <dataValidation type="decimal" operator="greaterThan" showErrorMessage="1" errorTitle="Положительное значение" error="Введите значение больше нуля." sqref="D29:D31 D20:D22" xr:uid="{00000000-0002-0000-0100-000005000000}">
      <formula1>0</formula1>
    </dataValidation>
    <dataValidation type="decimal" showErrorMessage="1" errorTitle="Корреляция" error="Введите корреляцию от -0,99 до 0,99." sqref="D32:D33" xr:uid="{00000000-0002-0000-0100-00000D000000}">
      <formula1>-0.99</formula1>
      <formula2>0.99</formula2>
    </dataValidation>
    <dataValidation type="decimal" showErrorMessage="1" errorTitle="Вероятность" error="Введите значение от 0% до 100%." sqref="D38" xr:uid="{00000000-0002-0000-0100-00000F000000}">
      <formula1>0</formula1>
      <formula2>1</formula2>
    </dataValidation>
  </dataValidations>
  <hyperlinks>
    <hyperlink ref="B4" location="'Описание'!A1" display="◂  Описание" xr:uid="{00000000-0004-0000-0100-000000000000}"/>
    <hyperlink ref="J4" location="'Денежный поток'!A1" display="Далее:  Денежный поток  ▸" xr:uid="{00000000-0004-0000-0100-000001000000}"/>
  </hyperlinks>
  <printOptions horizontalCentered="1"/>
  <pageMargins left="0.4" right="0.4" top="0.5" bottom="0.6" header="0.25" footer="0.25"/>
  <pageSetup paperSize="9" scale="70" fitToHeight="0" orientation="landscape" r:id="rId1"/>
  <headerFooter>
    <oddFooter>&amp;L&amp;K3F5876&amp;8&amp;F · &amp;A&amp;R&amp;K3F5876&amp;8Page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8AA0BA"/>
    <pageSetUpPr fitToPage="1"/>
  </sheetPr>
  <dimension ref="A1:Q81"/>
  <sheetViews>
    <sheetView showGridLines="0" workbookViewId="0">
      <pane xSplit="5" ySplit="7" topLeftCell="F8" activePane="bottomRight" state="frozen"/>
      <selection pane="topRight"/>
      <selection pane="bottomLeft"/>
      <selection pane="bottomRight"/>
    </sheetView>
  </sheetViews>
  <sheetFormatPr defaultRowHeight="14.25" x14ac:dyDescent="0.45"/>
  <cols>
    <col min="1" max="1" width="2" customWidth="1"/>
    <col min="2" max="2" width="44" customWidth="1"/>
    <col min="3" max="3" width="12" customWidth="1"/>
    <col min="4" max="4" width="10" customWidth="1"/>
    <col min="5" max="5" width="3" customWidth="1"/>
    <col min="6" max="17" width="8.3984375" customWidth="1"/>
  </cols>
  <sheetData>
    <row r="1" spans="1:17" ht="6" customHeight="1" x14ac:dyDescent="0.45"/>
    <row r="2" spans="1:17" ht="30" customHeight="1" x14ac:dyDescent="0.45">
      <c r="A2" s="1"/>
      <c r="B2" s="2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3" t="s">
        <v>1</v>
      </c>
    </row>
    <row r="3" spans="1:17" ht="20" customHeight="1" x14ac:dyDescent="0.45">
      <c r="A3" s="1"/>
      <c r="B3" s="4" t="s">
        <v>139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20" customHeight="1" x14ac:dyDescent="0.45">
      <c r="A4" s="5"/>
      <c r="B4" s="22" t="s">
        <v>140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6" t="s">
        <v>141</v>
      </c>
    </row>
    <row r="5" spans="1:17" ht="8" customHeight="1" x14ac:dyDescent="0.45"/>
    <row r="6" spans="1:17" ht="16.05" customHeight="1" x14ac:dyDescent="0.45">
      <c r="B6" s="35" t="s">
        <v>142</v>
      </c>
      <c r="C6" s="36"/>
      <c r="D6" s="37" t="s">
        <v>143</v>
      </c>
      <c r="E6" s="38"/>
      <c r="F6" s="39">
        <v>1</v>
      </c>
      <c r="G6" s="39">
        <f t="shared" ref="G6:Q6" si="0">F6+1</f>
        <v>2</v>
      </c>
      <c r="H6" s="39">
        <f t="shared" si="0"/>
        <v>3</v>
      </c>
      <c r="I6" s="39">
        <f t="shared" si="0"/>
        <v>4</v>
      </c>
      <c r="J6" s="39">
        <f t="shared" si="0"/>
        <v>5</v>
      </c>
      <c r="K6" s="39">
        <f t="shared" si="0"/>
        <v>6</v>
      </c>
      <c r="L6" s="39">
        <f t="shared" si="0"/>
        <v>7</v>
      </c>
      <c r="M6" s="39">
        <f t="shared" si="0"/>
        <v>8</v>
      </c>
      <c r="N6" s="39">
        <f t="shared" si="0"/>
        <v>9</v>
      </c>
      <c r="O6" s="39">
        <f t="shared" si="0"/>
        <v>10</v>
      </c>
      <c r="P6" s="39">
        <f t="shared" si="0"/>
        <v>11</v>
      </c>
      <c r="Q6" s="39">
        <f t="shared" si="0"/>
        <v>12</v>
      </c>
    </row>
    <row r="7" spans="1:17" ht="16.05" customHeight="1" x14ac:dyDescent="0.45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17" ht="6" customHeight="1" x14ac:dyDescent="0.45"/>
    <row r="9" spans="1:17" ht="22.05" customHeight="1" x14ac:dyDescent="0.5">
      <c r="B9" s="7" t="s">
        <v>144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</row>
    <row r="10" spans="1:17" ht="18" customHeight="1" x14ac:dyDescent="0.45">
      <c r="B10" s="13" t="s">
        <v>145</v>
      </c>
    </row>
    <row r="11" spans="1:17" ht="18" customHeight="1" x14ac:dyDescent="0.45">
      <c r="B11" s="40" t="s">
        <v>146</v>
      </c>
      <c r="C11" s="5"/>
      <c r="D11" s="5"/>
      <c r="E11" s="5"/>
      <c r="F11" s="41" t="s">
        <v>114</v>
      </c>
      <c r="G11" s="41" t="s">
        <v>116</v>
      </c>
      <c r="H11" s="41" t="s">
        <v>118</v>
      </c>
      <c r="I11" s="5"/>
      <c r="J11" s="5"/>
      <c r="K11" s="5"/>
      <c r="L11" s="5"/>
      <c r="M11" s="5"/>
      <c r="N11" s="5"/>
      <c r="O11" s="5"/>
      <c r="P11" s="5"/>
      <c r="Q11" s="5"/>
    </row>
    <row r="12" spans="1:17" x14ac:dyDescent="0.45">
      <c r="B12" s="25" t="s">
        <v>147</v>
      </c>
      <c r="C12" s="28"/>
      <c r="D12" s="28"/>
      <c r="E12" s="28"/>
      <c r="F12" s="42">
        <f>VolUSD/2</f>
        <v>0.04</v>
      </c>
      <c r="G12" s="42">
        <f>VolGBP/2</f>
        <v>0.03</v>
      </c>
      <c r="H12" s="42">
        <f>VolRate/2</f>
        <v>0.1</v>
      </c>
      <c r="I12" s="28"/>
      <c r="J12" s="28"/>
      <c r="K12" s="28"/>
      <c r="L12" s="28"/>
      <c r="M12" s="28"/>
      <c r="N12" s="28"/>
      <c r="O12" s="28"/>
      <c r="P12" s="28"/>
      <c r="Q12" s="28"/>
    </row>
    <row r="13" spans="1:17" x14ac:dyDescent="0.45">
      <c r="B13" s="25" t="s">
        <v>148</v>
      </c>
      <c r="C13" s="28"/>
      <c r="D13" s="28"/>
      <c r="E13" s="28"/>
      <c r="F13" s="43">
        <f>-0.5*(VolUSD/2)^2</f>
        <v>-8.0000000000000004E-4</v>
      </c>
      <c r="G13" s="43">
        <f>-0.5*(VolGBP/2)^2</f>
        <v>-4.4999999999999999E-4</v>
      </c>
      <c r="H13" s="43">
        <f>-0.5*(VolRate/2)^2</f>
        <v>-5.000000000000001E-3</v>
      </c>
      <c r="I13" s="28"/>
      <c r="J13" s="28"/>
      <c r="K13" s="28"/>
      <c r="L13" s="28"/>
      <c r="M13" s="28"/>
      <c r="N13" s="28"/>
      <c r="O13" s="28"/>
      <c r="P13" s="28"/>
      <c r="Q13" s="28"/>
    </row>
    <row r="14" spans="1:17" x14ac:dyDescent="0.45">
      <c r="B14" s="25" t="s">
        <v>149</v>
      </c>
      <c r="C14" s="28"/>
      <c r="D14" s="28"/>
      <c r="E14" s="28"/>
      <c r="F14" s="44">
        <f>Fx_USD0</f>
        <v>1.1000000000000001</v>
      </c>
      <c r="G14" s="44">
        <f>Fx_GBP0</f>
        <v>0.85</v>
      </c>
      <c r="H14" s="42">
        <f>Euribor0</f>
        <v>2.5000000000000001E-2</v>
      </c>
      <c r="I14" s="28"/>
      <c r="J14" s="28"/>
      <c r="K14" s="28"/>
      <c r="L14" s="28"/>
      <c r="M14" s="28"/>
      <c r="N14" s="28"/>
      <c r="O14" s="28"/>
      <c r="P14" s="28"/>
      <c r="Q14" s="28"/>
    </row>
    <row r="15" spans="1:17" x14ac:dyDescent="0.45">
      <c r="B15" s="25" t="s">
        <v>150</v>
      </c>
      <c r="C15" s="28"/>
      <c r="D15" s="28"/>
      <c r="E15" s="28"/>
      <c r="F15" s="45">
        <f>1</f>
        <v>1</v>
      </c>
      <c r="G15" s="45">
        <f>CorrFX</f>
        <v>0.5</v>
      </c>
      <c r="H15" s="45">
        <f>CorrRate</f>
        <v>0</v>
      </c>
      <c r="I15" s="28"/>
      <c r="J15" s="28"/>
      <c r="K15" s="28"/>
      <c r="L15" s="28"/>
      <c r="M15" s="28"/>
      <c r="N15" s="28"/>
      <c r="O15" s="28"/>
      <c r="P15" s="28"/>
      <c r="Q15" s="28"/>
    </row>
    <row r="16" spans="1:17" x14ac:dyDescent="0.45">
      <c r="B16" s="25" t="s">
        <v>151</v>
      </c>
      <c r="C16" s="28"/>
      <c r="D16" s="28"/>
      <c r="E16" s="28"/>
      <c r="F16" s="45">
        <f>CorrFX</f>
        <v>0.5</v>
      </c>
      <c r="G16" s="45">
        <f>1</f>
        <v>1</v>
      </c>
      <c r="H16" s="45">
        <f>CorrRate</f>
        <v>0</v>
      </c>
      <c r="I16" s="28"/>
      <c r="J16" s="28"/>
      <c r="K16" s="28"/>
      <c r="L16" s="28"/>
      <c r="M16" s="28"/>
      <c r="N16" s="28"/>
      <c r="O16" s="28"/>
      <c r="P16" s="28"/>
      <c r="Q16" s="28"/>
    </row>
    <row r="17" spans="2:17" x14ac:dyDescent="0.45">
      <c r="B17" s="25" t="s">
        <v>152</v>
      </c>
      <c r="C17" s="28"/>
      <c r="D17" s="28"/>
      <c r="E17" s="28"/>
      <c r="F17" s="45">
        <f>CorrRate</f>
        <v>0</v>
      </c>
      <c r="G17" s="45">
        <f>CorrRate</f>
        <v>0</v>
      </c>
      <c r="H17" s="45">
        <f>1</f>
        <v>1</v>
      </c>
      <c r="I17" s="28"/>
      <c r="J17" s="28"/>
      <c r="K17" s="28"/>
      <c r="L17" s="28"/>
      <c r="M17" s="28"/>
      <c r="N17" s="28"/>
      <c r="O17" s="28"/>
      <c r="P17" s="28"/>
      <c r="Q17" s="28"/>
    </row>
    <row r="18" spans="2:17" x14ac:dyDescent="0.45">
      <c r="B18" s="25" t="s">
        <v>153</v>
      </c>
      <c r="C18" s="28"/>
      <c r="D18" s="28"/>
      <c r="E18" s="28"/>
      <c r="F18" s="46">
        <f t="array" ref="F18:H18">_xll.VoseEigenValues(MktCorr)</f>
        <v>0.5</v>
      </c>
      <c r="G18" s="46">
        <v>1</v>
      </c>
      <c r="H18" s="46">
        <v>1.5</v>
      </c>
      <c r="I18" s="28"/>
      <c r="J18" s="26" t="s">
        <v>154</v>
      </c>
      <c r="K18" s="28"/>
      <c r="L18" s="28"/>
      <c r="M18" s="28"/>
      <c r="N18" s="28"/>
      <c r="O18" s="28"/>
      <c r="P18" s="28"/>
      <c r="Q18" s="28"/>
    </row>
    <row r="19" spans="2:17" x14ac:dyDescent="0.45">
      <c r="B19" s="25" t="s">
        <v>155</v>
      </c>
      <c r="C19" s="28"/>
      <c r="D19" s="28"/>
      <c r="E19" s="28"/>
      <c r="F19" s="47">
        <f t="array" ref="F19:H21">_xll.VoseCorrToCov(MktCorr,MktVol)</f>
        <v>1.6000000000000001E-3</v>
      </c>
      <c r="G19" s="47">
        <v>5.9999999999999995E-4</v>
      </c>
      <c r="H19" s="47">
        <v>0</v>
      </c>
      <c r="I19" s="28"/>
      <c r="J19" s="26" t="s">
        <v>156</v>
      </c>
      <c r="K19" s="28"/>
      <c r="L19" s="28"/>
      <c r="M19" s="28"/>
      <c r="N19" s="28"/>
      <c r="O19" s="28"/>
      <c r="P19" s="28"/>
      <c r="Q19" s="28"/>
    </row>
    <row r="20" spans="2:17" x14ac:dyDescent="0.45">
      <c r="B20" s="25" t="s">
        <v>157</v>
      </c>
      <c r="C20" s="28"/>
      <c r="D20" s="28"/>
      <c r="E20" s="28"/>
      <c r="F20" s="47">
        <v>5.9999999999999995E-4</v>
      </c>
      <c r="G20" s="47">
        <v>8.9999999999999998E-4</v>
      </c>
      <c r="H20" s="47">
        <v>0</v>
      </c>
      <c r="I20" s="28"/>
      <c r="J20" s="28"/>
      <c r="K20" s="28"/>
      <c r="L20" s="28"/>
      <c r="M20" s="28"/>
      <c r="N20" s="28"/>
      <c r="O20" s="28"/>
      <c r="P20" s="28"/>
      <c r="Q20" s="28"/>
    </row>
    <row r="21" spans="2:17" x14ac:dyDescent="0.45">
      <c r="B21" s="25" t="s">
        <v>158</v>
      </c>
      <c r="C21" s="28"/>
      <c r="D21" s="28"/>
      <c r="E21" s="28"/>
      <c r="F21" s="47">
        <v>0</v>
      </c>
      <c r="G21" s="47">
        <v>0</v>
      </c>
      <c r="H21" s="47">
        <v>1.0000000000000002E-2</v>
      </c>
      <c r="I21" s="28"/>
      <c r="J21" s="28"/>
      <c r="K21" s="28"/>
      <c r="L21" s="28"/>
      <c r="M21" s="28"/>
      <c r="N21" s="28"/>
      <c r="O21" s="28"/>
      <c r="P21" s="28"/>
      <c r="Q21" s="28"/>
    </row>
    <row r="22" spans="2:17" x14ac:dyDescent="0.45">
      <c r="B22" s="25" t="s">
        <v>159</v>
      </c>
      <c r="C22" s="28"/>
      <c r="D22" s="28"/>
      <c r="E22" s="28"/>
      <c r="F22" s="47">
        <f t="array" ref="F22:H24">_xll.VoseCorrToCov(_xlfn.MUNIT(3),MktVol)</f>
        <v>1.6000000000000001E-3</v>
      </c>
      <c r="G22" s="47">
        <v>0</v>
      </c>
      <c r="H22" s="47">
        <v>0</v>
      </c>
      <c r="I22" s="28"/>
      <c r="J22" s="26" t="s">
        <v>160</v>
      </c>
      <c r="K22" s="28"/>
      <c r="L22" s="28"/>
      <c r="M22" s="28"/>
      <c r="N22" s="28"/>
      <c r="O22" s="28"/>
      <c r="P22" s="28"/>
      <c r="Q22" s="28"/>
    </row>
    <row r="23" spans="2:17" x14ac:dyDescent="0.45">
      <c r="B23" s="25" t="s">
        <v>161</v>
      </c>
      <c r="C23" s="28"/>
      <c r="D23" s="28"/>
      <c r="E23" s="28"/>
      <c r="F23" s="47">
        <v>0</v>
      </c>
      <c r="G23" s="47">
        <v>8.9999999999999998E-4</v>
      </c>
      <c r="H23" s="47">
        <v>0</v>
      </c>
      <c r="I23" s="28"/>
      <c r="J23" s="28"/>
      <c r="K23" s="28"/>
      <c r="L23" s="28"/>
      <c r="M23" s="28"/>
      <c r="N23" s="28"/>
      <c r="O23" s="28"/>
      <c r="P23" s="28"/>
      <c r="Q23" s="28"/>
    </row>
    <row r="24" spans="2:17" x14ac:dyDescent="0.45">
      <c r="B24" s="25" t="s">
        <v>162</v>
      </c>
      <c r="C24" s="28"/>
      <c r="D24" s="28"/>
      <c r="E24" s="28"/>
      <c r="F24" s="47">
        <v>0</v>
      </c>
      <c r="G24" s="47">
        <v>0</v>
      </c>
      <c r="H24" s="47">
        <v>1.0000000000000002E-2</v>
      </c>
      <c r="I24" s="28"/>
      <c r="J24" s="28"/>
      <c r="K24" s="28"/>
      <c r="L24" s="28"/>
      <c r="M24" s="28"/>
      <c r="N24" s="28"/>
      <c r="O24" s="28"/>
      <c r="P24" s="28"/>
      <c r="Q24" s="28"/>
    </row>
    <row r="25" spans="2:17" ht="8" customHeight="1" x14ac:dyDescent="0.45"/>
    <row r="26" spans="2:17" ht="22.05" customHeight="1" x14ac:dyDescent="0.5">
      <c r="B26" s="7" t="s">
        <v>163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</row>
    <row r="27" spans="2:17" ht="18" customHeight="1" x14ac:dyDescent="0.45">
      <c r="B27" s="13" t="s">
        <v>164</v>
      </c>
    </row>
    <row r="28" spans="2:17" x14ac:dyDescent="0.45">
      <c r="B28" s="25" t="s">
        <v>114</v>
      </c>
      <c r="C28" s="26" t="s">
        <v>115</v>
      </c>
      <c r="D28" s="28"/>
      <c r="E28" s="28"/>
      <c r="F28" s="48">
        <f t="array" aca="1" ref="F28:Q30" ca="1">_xll.VoseTimeMultiGBM(MktMean,MktCov,FALSE,MktInit,TRUE)</f>
        <v>1.1715105237340155</v>
      </c>
      <c r="G28" s="48">
        <f ca="1"/>
        <v>1.1580715393717307</v>
      </c>
      <c r="H28" s="48">
        <f ca="1"/>
        <v>1.1504978491112194</v>
      </c>
      <c r="I28" s="48">
        <f ca="1"/>
        <v>1.1662317261307349</v>
      </c>
      <c r="J28" s="48">
        <f ca="1"/>
        <v>1.1622650914874066</v>
      </c>
      <c r="K28" s="48">
        <f ca="1"/>
        <v>1.1724735809691078</v>
      </c>
      <c r="L28" s="48">
        <f ca="1"/>
        <v>1.1948835108880964</v>
      </c>
      <c r="M28" s="48">
        <f ca="1"/>
        <v>1.137015029238535</v>
      </c>
      <c r="N28" s="48">
        <f ca="1"/>
        <v>1.1322031343231365</v>
      </c>
      <c r="O28" s="48">
        <f ca="1"/>
        <v>1.1620589554014475</v>
      </c>
      <c r="P28" s="48">
        <f ca="1"/>
        <v>1.226995322542286</v>
      </c>
      <c r="Q28" s="48">
        <f ca="1"/>
        <v>1.250266563170304</v>
      </c>
    </row>
    <row r="29" spans="2:17" x14ac:dyDescent="0.45">
      <c r="B29" s="25" t="s">
        <v>116</v>
      </c>
      <c r="C29" s="26" t="s">
        <v>117</v>
      </c>
      <c r="D29" s="28"/>
      <c r="E29" s="28"/>
      <c r="F29" s="48">
        <f ca="1"/>
        <v>0.91321319030499026</v>
      </c>
      <c r="G29" s="48">
        <f ca="1"/>
        <v>0.92523815932008957</v>
      </c>
      <c r="H29" s="48">
        <f ca="1"/>
        <v>0.90270889391175568</v>
      </c>
      <c r="I29" s="48">
        <f ca="1"/>
        <v>0.91416386530982052</v>
      </c>
      <c r="J29" s="48">
        <f ca="1"/>
        <v>0.93542357134663834</v>
      </c>
      <c r="K29" s="48">
        <f ca="1"/>
        <v>0.90429701822967812</v>
      </c>
      <c r="L29" s="48">
        <f ca="1"/>
        <v>0.91372928718189672</v>
      </c>
      <c r="M29" s="48">
        <f ca="1"/>
        <v>0.93043328663981129</v>
      </c>
      <c r="N29" s="48">
        <f ca="1"/>
        <v>0.90833694438037382</v>
      </c>
      <c r="O29" s="48">
        <f ca="1"/>
        <v>0.91409201897778858</v>
      </c>
      <c r="P29" s="48">
        <f ca="1"/>
        <v>0.95165683047000615</v>
      </c>
      <c r="Q29" s="48">
        <f ca="1"/>
        <v>0.97684265466752429</v>
      </c>
    </row>
    <row r="30" spans="2:17" x14ac:dyDescent="0.45">
      <c r="B30" s="25" t="s">
        <v>118</v>
      </c>
      <c r="C30" s="26" t="s">
        <v>111</v>
      </c>
      <c r="D30" s="28"/>
      <c r="E30" s="28"/>
      <c r="F30" s="49">
        <f ca="1"/>
        <v>2.4912246680734277E-2</v>
      </c>
      <c r="G30" s="49">
        <f ca="1"/>
        <v>2.3009025109713015E-2</v>
      </c>
      <c r="H30" s="49">
        <f ca="1"/>
        <v>2.3577444754513278E-2</v>
      </c>
      <c r="I30" s="49">
        <f ca="1"/>
        <v>2.4086747377388133E-2</v>
      </c>
      <c r="J30" s="49">
        <f ca="1"/>
        <v>2.7364298562062878E-2</v>
      </c>
      <c r="K30" s="49">
        <f ca="1"/>
        <v>2.8871580151123146E-2</v>
      </c>
      <c r="L30" s="49">
        <f ca="1"/>
        <v>2.5533736608748584E-2</v>
      </c>
      <c r="M30" s="49">
        <f ca="1"/>
        <v>2.6929481869914836E-2</v>
      </c>
      <c r="N30" s="49">
        <f ca="1"/>
        <v>2.902613840288128E-2</v>
      </c>
      <c r="O30" s="49">
        <f ca="1"/>
        <v>2.7399193925219483E-2</v>
      </c>
      <c r="P30" s="49">
        <f ca="1"/>
        <v>2.8559625726566392E-2</v>
      </c>
      <c r="Q30" s="49">
        <f ca="1"/>
        <v>2.8281330655452751E-2</v>
      </c>
    </row>
    <row r="31" spans="2:17" x14ac:dyDescent="0.45">
      <c r="B31" s="25" t="s">
        <v>165</v>
      </c>
      <c r="C31" s="26" t="s">
        <v>115</v>
      </c>
      <c r="D31" s="28"/>
      <c r="E31" s="28"/>
      <c r="F31" s="50" cm="1">
        <f t="array" aca="1" ref="F31" ca="1">_xll.VoseOutput("EUR/USD, квартал 1","долл. за евро")+F28</f>
        <v>1.1715105237340155</v>
      </c>
      <c r="G31" s="50" cm="1">
        <f t="array" aca="1" ref="G31" ca="1">_xll.VoseOutput("EUR/USD, квартал 2","долл. за евро")+G28</f>
        <v>1.1580715393717307</v>
      </c>
      <c r="H31" s="50" cm="1">
        <f t="array" aca="1" ref="H31" ca="1">_xll.VoseOutput("EUR/USD, квартал 3","долл. за евро")+H28</f>
        <v>1.1504978491112194</v>
      </c>
      <c r="I31" s="50" cm="1">
        <f t="array" aca="1" ref="I31" ca="1">_xll.VoseOutput("EUR/USD, квартал 4","долл. за евро")+I28</f>
        <v>1.1662317261307349</v>
      </c>
      <c r="J31" s="50" cm="1">
        <f t="array" aca="1" ref="J31" ca="1">_xll.VoseOutput("EUR/USD, квартал 5","долл. за евро")+J28</f>
        <v>1.1622650914874066</v>
      </c>
      <c r="K31" s="50" cm="1">
        <f t="array" aca="1" ref="K31" ca="1">_xll.VoseOutput("EUR/USD, квартал 6","долл. за евро")+K28</f>
        <v>1.1724735809691078</v>
      </c>
      <c r="L31" s="50" cm="1">
        <f t="array" aca="1" ref="L31" ca="1">_xll.VoseOutput("EUR/USD, квартал 7","долл. за евро")+L28</f>
        <v>1.1948835108880964</v>
      </c>
      <c r="M31" s="50" cm="1">
        <f t="array" aca="1" ref="M31" ca="1">_xll.VoseOutput("EUR/USD, квартал 8","долл. за евро")+M28</f>
        <v>1.137015029238535</v>
      </c>
      <c r="N31" s="50" cm="1">
        <f t="array" aca="1" ref="N31" ca="1">_xll.VoseOutput("EUR/USD, квартал 9","долл. за евро")+N28</f>
        <v>1.1322031343231365</v>
      </c>
      <c r="O31" s="50" cm="1">
        <f t="array" aca="1" ref="O31" ca="1">_xll.VoseOutput("EUR/USD, квартал 10","долл. за евро")+O28</f>
        <v>1.1620589554014475</v>
      </c>
      <c r="P31" s="50" cm="1">
        <f t="array" aca="1" ref="P31" ca="1">_xll.VoseOutput("EUR/USD, квартал 11","долл. за евро")+P28</f>
        <v>1.226995322542286</v>
      </c>
      <c r="Q31" s="50" cm="1">
        <f t="array" aca="1" ref="Q31" ca="1">_xll.VoseOutput("EUR/USD, квартал 12","долл. за евро")+Q28</f>
        <v>1.250266563170304</v>
      </c>
    </row>
    <row r="32" spans="2:17" x14ac:dyDescent="0.45">
      <c r="B32" s="25" t="s">
        <v>166</v>
      </c>
      <c r="C32" s="26" t="s">
        <v>115</v>
      </c>
      <c r="D32" s="28"/>
      <c r="E32" s="28"/>
      <c r="F32" s="44">
        <f t="shared" ref="F32:Q32" si="1">Fx_USD0*((1+RateUSD)/(1+Euribor0))^(F$6/4)</f>
        <v>1.1040024918303364</v>
      </c>
      <c r="G32" s="44">
        <f t="shared" si="1"/>
        <v>1.1080195472432655</v>
      </c>
      <c r="H32" s="44">
        <f t="shared" si="1"/>
        <v>1.1120512192302601</v>
      </c>
      <c r="I32" s="44">
        <f t="shared" si="1"/>
        <v>1.1160975609756099</v>
      </c>
      <c r="J32" s="44">
        <f t="shared" si="1"/>
        <v>1.1201586258571219</v>
      </c>
      <c r="K32" s="44">
        <f t="shared" si="1"/>
        <v>1.1242344674468254</v>
      </c>
      <c r="L32" s="44">
        <f t="shared" si="1"/>
        <v>1.1283251395116787</v>
      </c>
      <c r="M32" s="44">
        <f t="shared" si="1"/>
        <v>1.1324306960142771</v>
      </c>
      <c r="N32" s="44">
        <f t="shared" si="1"/>
        <v>1.1365511911135675</v>
      </c>
      <c r="O32" s="44">
        <f t="shared" si="1"/>
        <v>1.1406866791655594</v>
      </c>
      <c r="P32" s="44">
        <f t="shared" si="1"/>
        <v>1.1448372147240446</v>
      </c>
      <c r="Q32" s="44">
        <f t="shared" si="1"/>
        <v>1.1490028525413154</v>
      </c>
    </row>
    <row r="33" spans="2:17" x14ac:dyDescent="0.45">
      <c r="B33" s="25" t="s">
        <v>167</v>
      </c>
      <c r="C33" s="26" t="s">
        <v>117</v>
      </c>
      <c r="D33" s="28"/>
      <c r="E33" s="28"/>
      <c r="F33" s="44">
        <f t="shared" ref="F33:Q33" si="2">Fx_GBP0*((1+RateGBP)/(1+Euribor0))^(F$6/4)</f>
        <v>0.85257969581690229</v>
      </c>
      <c r="G33" s="44">
        <f t="shared" si="2"/>
        <v>0.85516722084616648</v>
      </c>
      <c r="H33" s="44">
        <f t="shared" si="2"/>
        <v>0.85776259884895345</v>
      </c>
      <c r="I33" s="44">
        <f t="shared" si="2"/>
        <v>0.86036585365853679</v>
      </c>
      <c r="J33" s="44">
        <f t="shared" si="2"/>
        <v>0.86297700918052322</v>
      </c>
      <c r="K33" s="44">
        <f t="shared" si="2"/>
        <v>0.8655960893930712</v>
      </c>
      <c r="L33" s="44">
        <f t="shared" si="2"/>
        <v>0.86822311834711141</v>
      </c>
      <c r="M33" s="44">
        <f t="shared" si="2"/>
        <v>0.87085812016656783</v>
      </c>
      <c r="N33" s="44">
        <f t="shared" si="2"/>
        <v>0.87350111904857852</v>
      </c>
      <c r="O33" s="44">
        <f t="shared" si="2"/>
        <v>0.87615213926371871</v>
      </c>
      <c r="P33" s="44">
        <f t="shared" si="2"/>
        <v>0.87881120515622291</v>
      </c>
      <c r="Q33" s="44">
        <f t="shared" si="2"/>
        <v>0.8814783411442092</v>
      </c>
    </row>
    <row r="34" spans="2:17" ht="8" customHeight="1" x14ac:dyDescent="0.45"/>
    <row r="35" spans="2:17" ht="22.05" customHeight="1" x14ac:dyDescent="0.5">
      <c r="B35" s="7" t="s">
        <v>168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</row>
    <row r="36" spans="2:17" x14ac:dyDescent="0.45">
      <c r="B36" s="25" t="s">
        <v>169</v>
      </c>
      <c r="C36" s="26" t="s">
        <v>109</v>
      </c>
      <c r="D36" s="51">
        <f ca="1">SUM(F36:Q36)</f>
        <v>460.44191883780491</v>
      </c>
      <c r="E36" s="28"/>
      <c r="F36" s="52">
        <f t="shared" ref="F36:Q36" ca="1" si="3">SalesUSD/F28</f>
        <v>38.411946873997508</v>
      </c>
      <c r="G36" s="52">
        <f t="shared" ca="1" si="3"/>
        <v>38.857703060739325</v>
      </c>
      <c r="H36" s="52">
        <f t="shared" ca="1" si="3"/>
        <v>39.113502067616487</v>
      </c>
      <c r="I36" s="52">
        <f t="shared" ca="1" si="3"/>
        <v>38.585813600954538</v>
      </c>
      <c r="J36" s="52">
        <f t="shared" ca="1" si="3"/>
        <v>38.717501136002745</v>
      </c>
      <c r="K36" s="52">
        <f t="shared" ca="1" si="3"/>
        <v>38.38039571246054</v>
      </c>
      <c r="L36" s="52">
        <f t="shared" ca="1" si="3"/>
        <v>37.660574934667714</v>
      </c>
      <c r="M36" s="52">
        <f t="shared" ca="1" si="3"/>
        <v>39.577313265715354</v>
      </c>
      <c r="N36" s="52">
        <f t="shared" ca="1" si="3"/>
        <v>39.745517951513435</v>
      </c>
      <c r="O36" s="52">
        <f t="shared" ca="1" si="3"/>
        <v>38.724369181815042</v>
      </c>
      <c r="P36" s="52">
        <f t="shared" ca="1" si="3"/>
        <v>36.674956434847502</v>
      </c>
      <c r="Q36" s="52">
        <f t="shared" ca="1" si="3"/>
        <v>35.992324617474679</v>
      </c>
    </row>
    <row r="37" spans="2:17" x14ac:dyDescent="0.45">
      <c r="B37" s="25" t="s">
        <v>104</v>
      </c>
      <c r="C37" s="26" t="s">
        <v>109</v>
      </c>
      <c r="D37" s="51">
        <f ca="1">SUM(F37:Q37)</f>
        <v>-259.81919988028909</v>
      </c>
      <c r="E37" s="28"/>
      <c r="F37" s="52">
        <f t="shared" ref="F37:Q37" ca="1" si="4">-CostGBP/F29</f>
        <v>-21.900691111700329</v>
      </c>
      <c r="G37" s="52">
        <f t="shared" ca="1" si="4"/>
        <v>-21.616056145692241</v>
      </c>
      <c r="H37" s="52">
        <f t="shared" ca="1" si="4"/>
        <v>-22.155536668452388</v>
      </c>
      <c r="I37" s="52">
        <f t="shared" ca="1" si="4"/>
        <v>-21.877915720527604</v>
      </c>
      <c r="J37" s="52">
        <f t="shared" ca="1" si="4"/>
        <v>-21.380688505858309</v>
      </c>
      <c r="K37" s="52">
        <f t="shared" ca="1" si="4"/>
        <v>-22.116627166540425</v>
      </c>
      <c r="L37" s="52">
        <f t="shared" ca="1" si="4"/>
        <v>-21.888321060260147</v>
      </c>
      <c r="M37" s="52">
        <f t="shared" ca="1" si="4"/>
        <v>-21.495361663412186</v>
      </c>
      <c r="N37" s="52">
        <f t="shared" ca="1" si="4"/>
        <v>-22.01826109103499</v>
      </c>
      <c r="O37" s="52">
        <f t="shared" ca="1" si="4"/>
        <v>-21.879635293573195</v>
      </c>
      <c r="P37" s="52">
        <f t="shared" ca="1" si="4"/>
        <v>-21.015979037446051</v>
      </c>
      <c r="Q37" s="52">
        <f t="shared" ca="1" si="4"/>
        <v>-20.47412641579124</v>
      </c>
    </row>
    <row r="38" spans="2:17" x14ac:dyDescent="0.45">
      <c r="B38" s="25" t="s">
        <v>106</v>
      </c>
      <c r="C38" s="26" t="s">
        <v>109</v>
      </c>
      <c r="D38" s="51">
        <f>SUM(F38:Q38)</f>
        <v>-144</v>
      </c>
      <c r="E38" s="28"/>
      <c r="F38" s="52">
        <f t="shared" ref="F38:Q38" si="5">-CostEUR</f>
        <v>-12</v>
      </c>
      <c r="G38" s="52">
        <f t="shared" si="5"/>
        <v>-12</v>
      </c>
      <c r="H38" s="52">
        <f t="shared" si="5"/>
        <v>-12</v>
      </c>
      <c r="I38" s="52">
        <f t="shared" si="5"/>
        <v>-12</v>
      </c>
      <c r="J38" s="52">
        <f t="shared" si="5"/>
        <v>-12</v>
      </c>
      <c r="K38" s="52">
        <f t="shared" si="5"/>
        <v>-12</v>
      </c>
      <c r="L38" s="52">
        <f t="shared" si="5"/>
        <v>-12</v>
      </c>
      <c r="M38" s="52">
        <f t="shared" si="5"/>
        <v>-12</v>
      </c>
      <c r="N38" s="52">
        <f t="shared" si="5"/>
        <v>-12</v>
      </c>
      <c r="O38" s="52">
        <f t="shared" si="5"/>
        <v>-12</v>
      </c>
      <c r="P38" s="52">
        <f t="shared" si="5"/>
        <v>-12</v>
      </c>
      <c r="Q38" s="52">
        <f t="shared" si="5"/>
        <v>-12</v>
      </c>
    </row>
    <row r="39" spans="2:17" x14ac:dyDescent="0.45">
      <c r="B39" s="25" t="s">
        <v>170</v>
      </c>
      <c r="C39" s="26" t="s">
        <v>109</v>
      </c>
      <c r="D39" s="51">
        <f ca="1">SUM(F39:Q39)</f>
        <v>-32.971928114019875</v>
      </c>
      <c r="E39" s="28"/>
      <c r="F39" s="52">
        <f t="shared" ref="F39:Q39" ca="1" si="6">-Loan*(F30+LoanMargin)/4</f>
        <v>-2.6507654175458923</v>
      </c>
      <c r="G39" s="52">
        <f t="shared" ca="1" si="6"/>
        <v>-2.5318140693570639</v>
      </c>
      <c r="H39" s="52">
        <f t="shared" ca="1" si="6"/>
        <v>-2.5673402971570796</v>
      </c>
      <c r="I39" s="52">
        <f t="shared" ca="1" si="6"/>
        <v>-2.5991717110867585</v>
      </c>
      <c r="J39" s="52">
        <f t="shared" ca="1" si="6"/>
        <v>-2.8040186601289299</v>
      </c>
      <c r="K39" s="52">
        <f t="shared" ca="1" si="6"/>
        <v>-2.8982237594451972</v>
      </c>
      <c r="L39" s="52">
        <f t="shared" ca="1" si="6"/>
        <v>-2.6896085380467865</v>
      </c>
      <c r="M39" s="52">
        <f t="shared" ca="1" si="6"/>
        <v>-2.7768426168696774</v>
      </c>
      <c r="N39" s="52">
        <f t="shared" ca="1" si="6"/>
        <v>-2.90788365018008</v>
      </c>
      <c r="O39" s="52">
        <f t="shared" ca="1" si="6"/>
        <v>-2.8061996203262178</v>
      </c>
      <c r="P39" s="52">
        <f t="shared" ca="1" si="6"/>
        <v>-2.8787266079103997</v>
      </c>
      <c r="Q39" s="52">
        <f t="shared" ca="1" si="6"/>
        <v>-2.8613331659657972</v>
      </c>
    </row>
    <row r="40" spans="2:17" x14ac:dyDescent="0.45">
      <c r="B40" s="53" t="s">
        <v>41</v>
      </c>
      <c r="C40" s="54" t="s">
        <v>109</v>
      </c>
      <c r="D40" s="55">
        <f ca="1">SUM(F40:Q40)</f>
        <v>23.650790843495884</v>
      </c>
      <c r="E40" s="56"/>
      <c r="F40" s="55">
        <f t="shared" ref="F40:Q40" ca="1" si="7">F36+F37+F38+F39</f>
        <v>1.8604903447512862</v>
      </c>
      <c r="G40" s="55">
        <f t="shared" ca="1" si="7"/>
        <v>2.7098328456900207</v>
      </c>
      <c r="H40" s="55">
        <f t="shared" ca="1" si="7"/>
        <v>2.3906251020070193</v>
      </c>
      <c r="I40" s="55">
        <f t="shared" ca="1" si="7"/>
        <v>2.1087261693401755</v>
      </c>
      <c r="J40" s="55">
        <f t="shared" ca="1" si="7"/>
        <v>2.5327939700155064</v>
      </c>
      <c r="K40" s="55">
        <f t="shared" ca="1" si="7"/>
        <v>1.3655447864749179</v>
      </c>
      <c r="L40" s="55">
        <f t="shared" ca="1" si="7"/>
        <v>1.0826453363607813</v>
      </c>
      <c r="M40" s="55">
        <f t="shared" ca="1" si="7"/>
        <v>3.3051089854334901</v>
      </c>
      <c r="N40" s="55">
        <f t="shared" ca="1" si="7"/>
        <v>2.8193732102983646</v>
      </c>
      <c r="O40" s="55">
        <f t="shared" ca="1" si="7"/>
        <v>2.03853426791563</v>
      </c>
      <c r="P40" s="55">
        <f t="shared" ca="1" si="7"/>
        <v>0.78025078949105087</v>
      </c>
      <c r="Q40" s="55">
        <f t="shared" ca="1" si="7"/>
        <v>0.65686503571764243</v>
      </c>
    </row>
    <row r="41" spans="2:17" ht="8" customHeight="1" x14ac:dyDescent="0.45"/>
    <row r="42" spans="2:17" x14ac:dyDescent="0.45">
      <c r="B42" s="25" t="s">
        <v>171</v>
      </c>
      <c r="C42" s="26" t="s">
        <v>109</v>
      </c>
      <c r="D42" s="28"/>
      <c r="E42" s="28"/>
      <c r="F42" s="57" cm="1">
        <f t="array" aca="1" ref="F42" ca="1">_xll.VoseOutput("Денежный поток, квартал 1","млн евро")+F40</f>
        <v>1.8604903447512862</v>
      </c>
      <c r="G42" s="57" cm="1">
        <f t="array" aca="1" ref="G42" ca="1">_xll.VoseOutput("Денежный поток, квартал 2","млн евро")+G40</f>
        <v>2.7098328456900207</v>
      </c>
      <c r="H42" s="57" cm="1">
        <f t="array" aca="1" ref="H42" ca="1">_xll.VoseOutput("Денежный поток, квартал 3","млн евро")+H40</f>
        <v>2.3906251020070193</v>
      </c>
      <c r="I42" s="57" cm="1">
        <f t="array" aca="1" ref="I42" ca="1">_xll.VoseOutput("Денежный поток, квартал 4","млн евро")+I40</f>
        <v>2.1087261693401755</v>
      </c>
      <c r="J42" s="57" cm="1">
        <f t="array" aca="1" ref="J42" ca="1">_xll.VoseOutput("Денежный поток, квартал 5","млн евро")+J40</f>
        <v>2.5327939700155064</v>
      </c>
      <c r="K42" s="57" cm="1">
        <f t="array" aca="1" ref="K42" ca="1">_xll.VoseOutput("Денежный поток, квартал 6","млн евро")+K40</f>
        <v>1.3655447864749179</v>
      </c>
      <c r="L42" s="57" cm="1">
        <f t="array" aca="1" ref="L42" ca="1">_xll.VoseOutput("Денежный поток, квартал 7","млн евро")+L40</f>
        <v>1.0826453363607813</v>
      </c>
      <c r="M42" s="57" cm="1">
        <f t="array" aca="1" ref="M42" ca="1">_xll.VoseOutput("Денежный поток, квартал 8","млн евро")+M40</f>
        <v>3.3051089854334901</v>
      </c>
      <c r="N42" s="57" cm="1">
        <f t="array" aca="1" ref="N42" ca="1">_xll.VoseOutput("Денежный поток, квартал 9","млн евро")+N40</f>
        <v>2.8193732102983646</v>
      </c>
      <c r="O42" s="57" cm="1">
        <f t="array" aca="1" ref="O42" ca="1">_xll.VoseOutput("Денежный поток, квартал 10","млн евро")+O40</f>
        <v>2.03853426791563</v>
      </c>
      <c r="P42" s="57" cm="1">
        <f t="array" aca="1" ref="P42" ca="1">_xll.VoseOutput("Денежный поток, квартал 11","млн евро")+P40</f>
        <v>0.78025078949105087</v>
      </c>
      <c r="Q42" s="57" cm="1">
        <f t="array" aca="1" ref="Q42" ca="1">_xll.VoseOutput("Денежный поток, квартал 12","млн евро")+Q40</f>
        <v>0.65686503571764243</v>
      </c>
    </row>
    <row r="43" spans="2:17" ht="8" customHeight="1" x14ac:dyDescent="0.45"/>
    <row r="44" spans="2:17" ht="22.05" customHeight="1" x14ac:dyDescent="0.5">
      <c r="B44" s="7" t="s">
        <v>172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</row>
    <row r="45" spans="2:17" x14ac:dyDescent="0.45">
      <c r="B45" s="25" t="s">
        <v>169</v>
      </c>
      <c r="C45" s="26" t="s">
        <v>109</v>
      </c>
      <c r="D45" s="51">
        <f ca="1">SUM(F45:Q45)</f>
        <v>469.96748324949135</v>
      </c>
      <c r="E45" s="28"/>
      <c r="F45" s="52">
        <f t="shared" ref="F45:Q45" ca="1" si="8">SalesUSD*((1-HedgeShare)/F28+HedgeShare/F32)</f>
        <v>39.586362219180785</v>
      </c>
      <c r="G45" s="52">
        <f t="shared" ca="1" si="8"/>
        <v>39.735352490555456</v>
      </c>
      <c r="H45" s="52">
        <f t="shared" ca="1" si="8"/>
        <v>39.789632047664831</v>
      </c>
      <c r="I45" s="52">
        <f t="shared" ca="1" si="8"/>
        <v>39.452434772505242</v>
      </c>
      <c r="J45" s="52">
        <f t="shared" ca="1" si="8"/>
        <v>39.445191435055776</v>
      </c>
      <c r="K45" s="52">
        <f t="shared" ca="1" si="8"/>
        <v>39.203816591028769</v>
      </c>
      <c r="L45" s="52">
        <f t="shared" ca="1" si="8"/>
        <v>38.771348081952127</v>
      </c>
      <c r="M45" s="52">
        <f t="shared" ca="1" si="8"/>
        <v>39.657422182212166</v>
      </c>
      <c r="N45" s="52">
        <f t="shared" ca="1" si="8"/>
        <v>39.669491561074764</v>
      </c>
      <c r="O45" s="52">
        <f t="shared" ca="1" si="8"/>
        <v>39.087145363184888</v>
      </c>
      <c r="P45" s="52">
        <f t="shared" ca="1" si="8"/>
        <v>37.990927380869643</v>
      </c>
      <c r="Q45" s="52">
        <f t="shared" ca="1" si="8"/>
        <v>37.578359124206912</v>
      </c>
    </row>
    <row r="46" spans="2:17" x14ac:dyDescent="0.45">
      <c r="B46" s="25" t="s">
        <v>104</v>
      </c>
      <c r="C46" s="26" t="s">
        <v>109</v>
      </c>
      <c r="D46" s="51">
        <f ca="1">SUM(F46:Q46)</f>
        <v>-268.34006966889211</v>
      </c>
      <c r="E46" s="28"/>
      <c r="F46" s="52">
        <f t="shared" ref="F46:Q46" ca="1" si="9">-CostGBP*((1-HedgeShare)/F29+HedgeShare/F33)</f>
        <v>-22.67945434071099</v>
      </c>
      <c r="G46" s="52">
        <f t="shared" ca="1" si="9"/>
        <v>-22.501647468249573</v>
      </c>
      <c r="H46" s="52">
        <f t="shared" ca="1" si="9"/>
        <v>-22.736005722309066</v>
      </c>
      <c r="I46" s="52">
        <f t="shared" ca="1" si="9"/>
        <v>-22.561920298251042</v>
      </c>
      <c r="J46" s="52">
        <f t="shared" ca="1" si="9"/>
        <v>-22.278138474116957</v>
      </c>
      <c r="K46" s="52">
        <f t="shared" ca="1" si="9"/>
        <v>-22.611045998006148</v>
      </c>
      <c r="L46" s="52">
        <f t="shared" ca="1" si="9"/>
        <v>-22.461937226790258</v>
      </c>
      <c r="M46" s="52">
        <f t="shared" ca="1" si="9"/>
        <v>-22.230607577669389</v>
      </c>
      <c r="N46" s="52">
        <f t="shared" ca="1" si="9"/>
        <v>-22.457312788136772</v>
      </c>
      <c r="O46" s="52">
        <f t="shared" ca="1" si="9"/>
        <v>-22.353360514357039</v>
      </c>
      <c r="P46" s="52">
        <f t="shared" ca="1" si="9"/>
        <v>-21.886997821447544</v>
      </c>
      <c r="Q46" s="52">
        <f t="shared" ca="1" si="9"/>
        <v>-21.58164143884731</v>
      </c>
    </row>
    <row r="47" spans="2:17" x14ac:dyDescent="0.45">
      <c r="B47" s="25" t="s">
        <v>106</v>
      </c>
      <c r="C47" s="26" t="s">
        <v>109</v>
      </c>
      <c r="D47" s="51">
        <f>SUM(F47:Q47)</f>
        <v>-144</v>
      </c>
      <c r="E47" s="28"/>
      <c r="F47" s="52">
        <f t="shared" ref="F47:Q47" si="10">-CostEUR</f>
        <v>-12</v>
      </c>
      <c r="G47" s="52">
        <f t="shared" si="10"/>
        <v>-12</v>
      </c>
      <c r="H47" s="52">
        <f t="shared" si="10"/>
        <v>-12</v>
      </c>
      <c r="I47" s="52">
        <f t="shared" si="10"/>
        <v>-12</v>
      </c>
      <c r="J47" s="52">
        <f t="shared" si="10"/>
        <v>-12</v>
      </c>
      <c r="K47" s="52">
        <f t="shared" si="10"/>
        <v>-12</v>
      </c>
      <c r="L47" s="52">
        <f t="shared" si="10"/>
        <v>-12</v>
      </c>
      <c r="M47" s="52">
        <f t="shared" si="10"/>
        <v>-12</v>
      </c>
      <c r="N47" s="52">
        <f t="shared" si="10"/>
        <v>-12</v>
      </c>
      <c r="O47" s="52">
        <f t="shared" si="10"/>
        <v>-12</v>
      </c>
      <c r="P47" s="52">
        <f t="shared" si="10"/>
        <v>-12</v>
      </c>
      <c r="Q47" s="52">
        <f t="shared" si="10"/>
        <v>-12</v>
      </c>
    </row>
    <row r="48" spans="2:17" x14ac:dyDescent="0.45">
      <c r="B48" s="25" t="s">
        <v>170</v>
      </c>
      <c r="C48" s="26" t="s">
        <v>109</v>
      </c>
      <c r="D48" s="51">
        <f ca="1">SUM(F48:Q48)</f>
        <v>-33.173464057009944</v>
      </c>
      <c r="E48" s="28"/>
      <c r="F48" s="52">
        <f t="shared" ref="F48:Q48" ca="1" si="11">-Loan*((1-HedgeShare)*(F30+LoanMargin)+HedgeShare*(SwapRate+LoanMargin))/4</f>
        <v>-2.7160077087729459</v>
      </c>
      <c r="G48" s="52">
        <f t="shared" ca="1" si="11"/>
        <v>-2.6565320346785319</v>
      </c>
      <c r="H48" s="52">
        <f t="shared" ca="1" si="11"/>
        <v>-2.67429514857854</v>
      </c>
      <c r="I48" s="52">
        <f t="shared" ca="1" si="11"/>
        <v>-2.6902108555433792</v>
      </c>
      <c r="J48" s="52">
        <f t="shared" ca="1" si="11"/>
        <v>-2.7926343300644647</v>
      </c>
      <c r="K48" s="52">
        <f t="shared" ca="1" si="11"/>
        <v>-2.8397368797225986</v>
      </c>
      <c r="L48" s="52">
        <f t="shared" ca="1" si="11"/>
        <v>-2.7354292690233932</v>
      </c>
      <c r="M48" s="52">
        <f t="shared" ca="1" si="11"/>
        <v>-2.7790463084348387</v>
      </c>
      <c r="N48" s="52">
        <f t="shared" ca="1" si="11"/>
        <v>-2.8445668250900398</v>
      </c>
      <c r="O48" s="52">
        <f t="shared" ca="1" si="11"/>
        <v>-2.7937248101631091</v>
      </c>
      <c r="P48" s="52">
        <f t="shared" ca="1" si="11"/>
        <v>-2.8299883039551998</v>
      </c>
      <c r="Q48" s="52">
        <f t="shared" ca="1" si="11"/>
        <v>-2.8212915829828984</v>
      </c>
    </row>
    <row r="49" spans="2:17" x14ac:dyDescent="0.45">
      <c r="B49" s="53" t="s">
        <v>41</v>
      </c>
      <c r="C49" s="54" t="s">
        <v>109</v>
      </c>
      <c r="D49" s="55">
        <f ca="1">SUM(F49:Q49)</f>
        <v>24.45394952358933</v>
      </c>
      <c r="E49" s="56"/>
      <c r="F49" s="55">
        <f t="shared" ref="F49:Q49" ca="1" si="12">F45+F46+F47+F48</f>
        <v>2.1909001696968491</v>
      </c>
      <c r="G49" s="55">
        <f t="shared" ca="1" si="12"/>
        <v>2.5771729876273519</v>
      </c>
      <c r="H49" s="55">
        <f t="shared" ca="1" si="12"/>
        <v>2.3793311767772249</v>
      </c>
      <c r="I49" s="55">
        <f t="shared" ca="1" si="12"/>
        <v>2.2003036187108207</v>
      </c>
      <c r="J49" s="55">
        <f t="shared" ca="1" si="12"/>
        <v>2.3744186308743536</v>
      </c>
      <c r="K49" s="55">
        <f t="shared" ca="1" si="12"/>
        <v>1.7530337133000224</v>
      </c>
      <c r="L49" s="55">
        <f t="shared" ca="1" si="12"/>
        <v>1.5739815861384749</v>
      </c>
      <c r="M49" s="55">
        <f t="shared" ca="1" si="12"/>
        <v>2.6477682961079383</v>
      </c>
      <c r="N49" s="55">
        <f t="shared" ca="1" si="12"/>
        <v>2.3676119478479527</v>
      </c>
      <c r="O49" s="55">
        <f t="shared" ca="1" si="12"/>
        <v>1.9400600386647397</v>
      </c>
      <c r="P49" s="55">
        <f t="shared" ca="1" si="12"/>
        <v>1.273941255466899</v>
      </c>
      <c r="Q49" s="55">
        <f t="shared" ca="1" si="12"/>
        <v>1.1754261023767039</v>
      </c>
    </row>
    <row r="50" spans="2:17" ht="8" customHeight="1" x14ac:dyDescent="0.45"/>
    <row r="51" spans="2:17" ht="22.05" customHeight="1" x14ac:dyDescent="0.5">
      <c r="B51" s="7" t="s">
        <v>173</v>
      </c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</row>
    <row r="52" spans="2:17" ht="18" customHeight="1" x14ac:dyDescent="0.45">
      <c r="B52" s="13" t="s">
        <v>174</v>
      </c>
    </row>
    <row r="53" spans="2:17" x14ac:dyDescent="0.45">
      <c r="B53" s="58" t="s">
        <v>175</v>
      </c>
      <c r="C53" s="26" t="s">
        <v>109</v>
      </c>
      <c r="D53" s="51">
        <f>SUM(F53:Q53)</f>
        <v>25.257108203682797</v>
      </c>
      <c r="E53" s="28"/>
      <c r="F53" s="51">
        <f t="shared" ref="F53:Q53" si="13">SalesUSD/F32-CostGBP/F33-CostEUR-Loan*(SwapRate+LoanMargin)/4</f>
        <v>2.5213099946424151</v>
      </c>
      <c r="G53" s="51">
        <f t="shared" si="13"/>
        <v>2.4445131295646831</v>
      </c>
      <c r="H53" s="51">
        <f t="shared" si="13"/>
        <v>2.3680372515474311</v>
      </c>
      <c r="I53" s="51">
        <f t="shared" si="13"/>
        <v>2.2918810680814587</v>
      </c>
      <c r="J53" s="51">
        <f t="shared" si="13"/>
        <v>2.2160432917332074</v>
      </c>
      <c r="K53" s="51">
        <f t="shared" si="13"/>
        <v>2.1405226401251234</v>
      </c>
      <c r="L53" s="51">
        <f t="shared" si="13"/>
        <v>2.065317835916165</v>
      </c>
      <c r="M53" s="51">
        <f t="shared" si="13"/>
        <v>1.9904276067823936</v>
      </c>
      <c r="N53" s="51">
        <f t="shared" si="13"/>
        <v>1.9158506853975474</v>
      </c>
      <c r="O53" s="51">
        <f t="shared" si="13"/>
        <v>1.8415858094138535</v>
      </c>
      <c r="P53" s="51">
        <f t="shared" si="13"/>
        <v>1.7676317214427471</v>
      </c>
      <c r="Q53" s="51">
        <f t="shared" si="13"/>
        <v>1.693987169035772</v>
      </c>
    </row>
    <row r="54" spans="2:17" ht="8" customHeight="1" x14ac:dyDescent="0.45"/>
    <row r="55" spans="2:17" ht="22.05" customHeight="1" x14ac:dyDescent="0.5">
      <c r="B55" s="7" t="s">
        <v>176</v>
      </c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</row>
    <row r="56" spans="2:17" ht="18" customHeight="1" x14ac:dyDescent="0.45">
      <c r="B56" s="13" t="s">
        <v>177</v>
      </c>
    </row>
    <row r="57" spans="2:17" x14ac:dyDescent="0.45">
      <c r="B57" s="25" t="s">
        <v>114</v>
      </c>
      <c r="C57" s="26" t="s">
        <v>115</v>
      </c>
      <c r="D57" s="28"/>
      <c r="E57" s="28"/>
      <c r="F57" s="48">
        <f t="array" aca="1" ref="F57:Q59" ca="1">_xll.VoseTimeMultiGBM(MktMean,MktCov0,FALSE,MktInit,TRUE)</f>
        <v>1.0566464399825364</v>
      </c>
      <c r="G57" s="48">
        <f ca="1"/>
        <v>1.0248672357828092</v>
      </c>
      <c r="H57" s="48">
        <f ca="1"/>
        <v>1.1157123662647106</v>
      </c>
      <c r="I57" s="48">
        <f ca="1"/>
        <v>1.0586938073115386</v>
      </c>
      <c r="J57" s="48">
        <f ca="1"/>
        <v>1.0255433471291573</v>
      </c>
      <c r="K57" s="48">
        <f ca="1"/>
        <v>1.023757342059491</v>
      </c>
      <c r="L57" s="48">
        <f ca="1"/>
        <v>1.0290121582381759</v>
      </c>
      <c r="M57" s="48">
        <f ca="1"/>
        <v>1.0152917462650168</v>
      </c>
      <c r="N57" s="48">
        <f ca="1"/>
        <v>1.0490314164113574</v>
      </c>
      <c r="O57" s="48">
        <f ca="1"/>
        <v>1.0905691862554203</v>
      </c>
      <c r="P57" s="48">
        <f ca="1"/>
        <v>1.0963545050351584</v>
      </c>
      <c r="Q57" s="48">
        <f ca="1"/>
        <v>1.0922869941395972</v>
      </c>
    </row>
    <row r="58" spans="2:17" x14ac:dyDescent="0.45">
      <c r="B58" s="25" t="s">
        <v>116</v>
      </c>
      <c r="C58" s="26" t="s">
        <v>117</v>
      </c>
      <c r="D58" s="28"/>
      <c r="E58" s="28"/>
      <c r="F58" s="48">
        <f ca="1"/>
        <v>0.90096726026640217</v>
      </c>
      <c r="G58" s="48">
        <f ca="1"/>
        <v>0.98122996977789156</v>
      </c>
      <c r="H58" s="48">
        <f ca="1"/>
        <v>0.93964193222978432</v>
      </c>
      <c r="I58" s="48">
        <f ca="1"/>
        <v>0.95547531829271992</v>
      </c>
      <c r="J58" s="48">
        <f ca="1"/>
        <v>0.94180619962540713</v>
      </c>
      <c r="K58" s="48">
        <f ca="1"/>
        <v>0.89975411691709051</v>
      </c>
      <c r="L58" s="48">
        <f ca="1"/>
        <v>0.92127378809881322</v>
      </c>
      <c r="M58" s="48">
        <f ca="1"/>
        <v>0.92889758949435919</v>
      </c>
      <c r="N58" s="48">
        <f ca="1"/>
        <v>0.91123669944612051</v>
      </c>
      <c r="O58" s="48">
        <f ca="1"/>
        <v>0.91878247858728157</v>
      </c>
      <c r="P58" s="48">
        <f ca="1"/>
        <v>0.90891781248811443</v>
      </c>
      <c r="Q58" s="48">
        <f ca="1"/>
        <v>0.95368861644115988</v>
      </c>
    </row>
    <row r="59" spans="2:17" x14ac:dyDescent="0.45">
      <c r="B59" s="25" t="s">
        <v>118</v>
      </c>
      <c r="C59" s="26" t="s">
        <v>111</v>
      </c>
      <c r="D59" s="28"/>
      <c r="E59" s="28"/>
      <c r="F59" s="49">
        <f ca="1"/>
        <v>2.8958245437709213E-2</v>
      </c>
      <c r="G59" s="49">
        <f ca="1"/>
        <v>2.8346662971204098E-2</v>
      </c>
      <c r="H59" s="49">
        <f ca="1"/>
        <v>2.8334165214783994E-2</v>
      </c>
      <c r="I59" s="49">
        <f ca="1"/>
        <v>2.904355921542983E-2</v>
      </c>
      <c r="J59" s="49">
        <f ca="1"/>
        <v>2.9320547005817418E-2</v>
      </c>
      <c r="K59" s="49">
        <f ca="1"/>
        <v>2.8363778865834403E-2</v>
      </c>
      <c r="L59" s="49">
        <f ca="1"/>
        <v>2.4432669474994433E-2</v>
      </c>
      <c r="M59" s="49">
        <f ca="1"/>
        <v>2.2014067465316142E-2</v>
      </c>
      <c r="N59" s="49">
        <f ca="1"/>
        <v>2.3268569410305365E-2</v>
      </c>
      <c r="O59" s="49">
        <f ca="1"/>
        <v>1.9935854314941704E-2</v>
      </c>
      <c r="P59" s="49">
        <f ca="1"/>
        <v>1.9633916498568056E-2</v>
      </c>
      <c r="Q59" s="49">
        <f ca="1"/>
        <v>1.9216214117234256E-2</v>
      </c>
    </row>
    <row r="60" spans="2:17" x14ac:dyDescent="0.45">
      <c r="B60" s="58" t="s">
        <v>178</v>
      </c>
      <c r="C60" s="26" t="s">
        <v>109</v>
      </c>
      <c r="D60" s="51">
        <f ca="1">SUM(F60:Q60)</f>
        <v>77.502440704073521</v>
      </c>
      <c r="E60" s="28"/>
      <c r="F60" s="51">
        <f t="shared" ref="F60:Q60" ca="1" si="14">SalesUSD/F57-CostGBP/F58-CostEUR-Loan*(F59+LoanMargin)/4</f>
        <v>5.4855607658425667</v>
      </c>
      <c r="G60" s="51">
        <f t="shared" ca="1" si="14"/>
        <v>8.6601281615055949</v>
      </c>
      <c r="H60" s="51">
        <f t="shared" ca="1" si="14"/>
        <v>4.1836370108789565</v>
      </c>
      <c r="I60" s="51">
        <f t="shared" ca="1" si="14"/>
        <v>6.6642448867976061</v>
      </c>
      <c r="J60" s="51">
        <f t="shared" ca="1" si="14"/>
        <v>7.717103307841418</v>
      </c>
      <c r="K60" s="51">
        <f t="shared" ca="1" si="14"/>
        <v>6.8609474696952137</v>
      </c>
      <c r="L60" s="51">
        <f t="shared" ca="1" si="14"/>
        <v>7.4013967848642643</v>
      </c>
      <c r="M60" s="51">
        <f t="shared" ca="1" si="14"/>
        <v>8.3217075970152017</v>
      </c>
      <c r="N60" s="51">
        <f t="shared" ca="1" si="14"/>
        <v>6.4004836409385995</v>
      </c>
      <c r="O60" s="51">
        <f t="shared" ca="1" si="14"/>
        <v>5.155177787869679</v>
      </c>
      <c r="P60" s="51">
        <f t="shared" ca="1" si="14"/>
        <v>4.7200584568489816</v>
      </c>
      <c r="Q60" s="51">
        <f t="shared" ca="1" si="14"/>
        <v>5.9319948339754189</v>
      </c>
    </row>
    <row r="61" spans="2:17" ht="8" customHeight="1" x14ac:dyDescent="0.45"/>
    <row r="62" spans="2:17" ht="22.05" customHeight="1" x14ac:dyDescent="0.5">
      <c r="B62" s="7" t="s">
        <v>179</v>
      </c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</row>
    <row r="63" spans="2:17" ht="18" customHeight="1" x14ac:dyDescent="0.45">
      <c r="B63" s="13" t="s">
        <v>180</v>
      </c>
    </row>
    <row r="64" spans="2:17" ht="18" customHeight="1" x14ac:dyDescent="0.45">
      <c r="B64" s="40" t="s">
        <v>181</v>
      </c>
      <c r="C64" s="40" t="s">
        <v>96</v>
      </c>
      <c r="D64" s="41" t="s">
        <v>182</v>
      </c>
      <c r="E64" s="5"/>
      <c r="F64" s="40" t="s">
        <v>183</v>
      </c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2:17" x14ac:dyDescent="0.45">
      <c r="B65" s="25" t="s">
        <v>184</v>
      </c>
      <c r="C65" s="26" t="s">
        <v>109</v>
      </c>
      <c r="D65" s="59" cm="1">
        <f t="array" aca="1" ref="D65" ca="1">_xll.VoseOutput("Денежный поток за 3 года, без хеджирования","млн евро")+D40</f>
        <v>23.650790843495884</v>
      </c>
      <c r="E65" s="28"/>
      <c r="F65" s="26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</row>
    <row r="66" spans="2:17" x14ac:dyDescent="0.45">
      <c r="B66" s="25" t="s">
        <v>185</v>
      </c>
      <c r="C66" s="26" t="s">
        <v>109</v>
      </c>
      <c r="D66" s="59" cm="1">
        <f t="array" aca="1" ref="D66" ca="1">_xll.VoseOutput("Денежный поток за 3 года, с хеджированием","млн евро")+D49</f>
        <v>24.45394952358933</v>
      </c>
      <c r="E66" s="28"/>
      <c r="F66" s="26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</row>
    <row r="67" spans="2:17" x14ac:dyDescent="0.45">
      <c r="B67" s="25" t="s">
        <v>186</v>
      </c>
      <c r="C67" s="26" t="s">
        <v>109</v>
      </c>
      <c r="D67" s="59" cm="1">
        <f t="array" aca="1" ref="D67" ca="1">_xll.VoseOutput("Денежный поток за 3 года, независимые рынки","млн евро")+D60</f>
        <v>77.502440704073521</v>
      </c>
      <c r="E67" s="28"/>
      <c r="F67" s="26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</row>
    <row r="68" spans="2:17" x14ac:dyDescent="0.45">
      <c r="B68" s="25" t="s">
        <v>187</v>
      </c>
      <c r="C68" s="26" t="s">
        <v>188</v>
      </c>
      <c r="D68" s="60" cm="1">
        <f t="array" aca="1" ref="D68" ca="1">_xll.VoseOutput("Отрицательные кварталы без хеджирования","из 12")+COUNTIF(F40:Q40,"&lt;0")</f>
        <v>0</v>
      </c>
      <c r="E68" s="28"/>
      <c r="F68" s="26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</row>
    <row r="69" spans="2:17" x14ac:dyDescent="0.45">
      <c r="B69" s="25" t="s">
        <v>189</v>
      </c>
      <c r="C69" s="26" t="s">
        <v>188</v>
      </c>
      <c r="D69" s="60" cm="1">
        <f t="array" aca="1" ref="D69" ca="1">_xll.VoseOutput("Отрицательные кварталы с хеджированием","из 12")+COUNTIF(F49:Q49,"&lt;0")</f>
        <v>0</v>
      </c>
      <c r="E69" s="28"/>
      <c r="F69" s="26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</row>
    <row r="70" spans="2:17" x14ac:dyDescent="0.45">
      <c r="B70" s="25" t="s">
        <v>190</v>
      </c>
      <c r="C70" s="26" t="s">
        <v>188</v>
      </c>
      <c r="D70" s="60" cm="1">
        <f t="array" aca="1" ref="D70" ca="1">_xll.VoseOutput("Отрицательные кварталы, независимые рынки","из 12")+COUNTIF(F60:Q60,"&lt;0")</f>
        <v>0</v>
      </c>
      <c r="E70" s="28"/>
      <c r="F70" s="26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</row>
    <row r="71" spans="2:17" x14ac:dyDescent="0.45">
      <c r="B71" s="25" t="s">
        <v>191</v>
      </c>
      <c r="C71" s="26" t="s">
        <v>109</v>
      </c>
      <c r="D71" s="61">
        <f>D53</f>
        <v>25.257108203682797</v>
      </c>
      <c r="E71" s="28"/>
      <c r="F71" s="26" t="s">
        <v>192</v>
      </c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</row>
    <row r="72" spans="2:17" x14ac:dyDescent="0.45">
      <c r="B72" s="25" t="s">
        <v>193</v>
      </c>
      <c r="C72" s="26" t="s">
        <v>109</v>
      </c>
      <c r="D72" s="61">
        <f>12*(SalesUSD/Fx_USD0-CostGBP/Fx_GBP0-CostEUR-Loan*(Euribor0+LoanMargin)/4)</f>
        <v>32.68114973262027</v>
      </c>
      <c r="E72" s="28"/>
      <c r="F72" s="26" t="s">
        <v>194</v>
      </c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</row>
    <row r="73" spans="2:17" x14ac:dyDescent="0.45">
      <c r="B73" s="25" t="s">
        <v>195</v>
      </c>
      <c r="C73" s="26" t="s">
        <v>115</v>
      </c>
      <c r="D73" s="44" cm="1">
        <f t="array" aca="1" ref="D73" ca="1">_xll.VoseInput("Уровень EUR/USD","долл. за евро")+AVERAGE(F28:Q28)</f>
        <v>1.1737060688640018</v>
      </c>
      <c r="E73" s="28"/>
      <c r="F73" s="26" t="s">
        <v>196</v>
      </c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</row>
    <row r="74" spans="2:17" x14ac:dyDescent="0.45">
      <c r="B74" s="25" t="s">
        <v>197</v>
      </c>
      <c r="C74" s="26" t="s">
        <v>117</v>
      </c>
      <c r="D74" s="44" cm="1">
        <f t="array" aca="1" ref="D74" ca="1">_xll.VoseInput("Уровень EUR/GBP","фунтов за евро")+AVERAGE(F29:Q29)</f>
        <v>0.92417797672836433</v>
      </c>
      <c r="E74" s="28"/>
      <c r="F74" s="26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</row>
    <row r="75" spans="2:17" x14ac:dyDescent="0.45">
      <c r="B75" s="25" t="s">
        <v>198</v>
      </c>
      <c r="C75" s="26" t="s">
        <v>111</v>
      </c>
      <c r="D75" s="42" cm="1">
        <f t="array" aca="1" ref="D75" ca="1">_xll.VoseInput("Уровень Euribor","в год")+AVERAGE(F30:Q30)</f>
        <v>2.6462570818693174E-2</v>
      </c>
      <c r="E75" s="28"/>
      <c r="F75" s="26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</row>
    <row r="76" spans="2:17" ht="8" customHeight="1" x14ac:dyDescent="0.45"/>
    <row r="77" spans="2:17" ht="22.05" customHeight="1" x14ac:dyDescent="0.5">
      <c r="B77" s="7" t="s">
        <v>199</v>
      </c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</row>
    <row r="78" spans="2:17" ht="18" customHeight="1" x14ac:dyDescent="0.45">
      <c r="B78" s="13" t="s">
        <v>200</v>
      </c>
    </row>
    <row r="79" spans="2:17" x14ac:dyDescent="0.45">
      <c r="B79" s="25" t="s">
        <v>201</v>
      </c>
      <c r="C79" s="28"/>
      <c r="D79" s="62" t="str">
        <f>IF(MIN(MktEigen)&gt;0,"ОК","ПРОВЕРИТЬ")</f>
        <v>ОК</v>
      </c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</row>
    <row r="80" spans="2:17" x14ac:dyDescent="0.45">
      <c r="B80" s="25" t="s">
        <v>202</v>
      </c>
      <c r="C80" s="28"/>
      <c r="D80" s="62" t="str">
        <f>IF(AND(HedgeShare&gt;=0,HedgeShare&lt;=1),"ОК","ПРОВЕРИТЬ")</f>
        <v>ОК</v>
      </c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</row>
    <row r="81" ht="14" customHeight="1" x14ac:dyDescent="0.45"/>
  </sheetData>
  <conditionalFormatting sqref="D79:D80">
    <cfRule type="expression" dxfId="6" priority="1">
      <formula>D79="CHECK"</formula>
    </cfRule>
  </conditionalFormatting>
  <hyperlinks>
    <hyperlink ref="B4" location="'Исходные данные'!A1" display="◂  Исходные данные" xr:uid="{00000000-0004-0000-0200-000000000000}"/>
    <hyperlink ref="Q4" location="'Результаты'!A1" display="Далее:  Результаты  ▸" xr:uid="{00000000-0004-0000-0200-000001000000}"/>
  </hyperlinks>
  <printOptions horizontalCentered="1"/>
  <pageMargins left="0.4" right="0.4" top="0.5" bottom="0.6" header="0.25" footer="0.25"/>
  <pageSetup paperSize="9" scale="57" fitToHeight="0" orientation="landscape" r:id="rId1"/>
  <headerFooter>
    <oddFooter>&amp;L&amp;K3F5876&amp;8&amp;F · &amp;A&amp;R&amp;K3F5876&amp;8Page &amp;P of &amp;N</oddFooter>
  </headerFooter>
  <rowBreaks count="1" manualBreakCount="1">
    <brk id="5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15803D"/>
    <outlinePr summaryBelow="0"/>
    <pageSetUpPr fitToPage="1"/>
  </sheetPr>
  <dimension ref="A1:R164"/>
  <sheetViews>
    <sheetView showGridLines="0" workbookViewId="0">
      <pane ySplit="5" topLeftCell="A6" activePane="bottomLeft" state="frozen"/>
      <selection pane="bottomLeft"/>
    </sheetView>
  </sheetViews>
  <sheetFormatPr defaultRowHeight="14.25" outlineLevelRow="1" x14ac:dyDescent="0.45"/>
  <cols>
    <col min="1" max="1" width="2" customWidth="1"/>
    <col min="2" max="2" width="44" customWidth="1"/>
    <col min="3" max="3" width="10" customWidth="1"/>
    <col min="4" max="7" width="11" customWidth="1"/>
    <col min="8" max="8" width="3" customWidth="1"/>
    <col min="9" max="18" width="8.59765625" customWidth="1"/>
    <col min="20" max="20" width="9.06640625" customWidth="1"/>
  </cols>
  <sheetData>
    <row r="1" spans="1:18" ht="6" customHeight="1" x14ac:dyDescent="0.45"/>
    <row r="2" spans="1:18" ht="30" customHeight="1" x14ac:dyDescent="0.45">
      <c r="A2" s="1"/>
      <c r="B2" s="2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3" t="s">
        <v>1</v>
      </c>
    </row>
    <row r="3" spans="1:18" ht="20" customHeight="1" x14ac:dyDescent="0.45">
      <c r="A3" s="1"/>
      <c r="B3" s="4" t="s">
        <v>203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20" customHeight="1" x14ac:dyDescent="0.45">
      <c r="A4" s="5"/>
      <c r="B4" s="22" t="s">
        <v>204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</row>
    <row r="5" spans="1:18" ht="8" customHeight="1" x14ac:dyDescent="0.45"/>
    <row r="6" spans="1:18" ht="26" customHeight="1" x14ac:dyDescent="0.45">
      <c r="B6" s="63" t="str" cm="1">
        <f t="array" aca="1" ref="B6" ca="1">IF(ISNUMBER(_xll.VoseSimMean(CF_U)),"✔  Показаны результаты последнего моделирования в этом сеансе Excel. После изменения исходных данных запустите моделирование снова.","▶  Результатов моделирования пока нет. Запустите моделирование на ленте МоделРиск — лист заполнится автоматически.")</f>
        <v>✔  Показаны результаты последнего моделирования в этом сеансе Excel. После изменения исходных данных запустите моделирование снова.</v>
      </c>
      <c r="C6" s="64"/>
      <c r="D6" s="64"/>
      <c r="E6" s="64"/>
      <c r="F6" s="64"/>
      <c r="G6" s="64"/>
    </row>
    <row r="7" spans="1:18" x14ac:dyDescent="0.45">
      <c r="B7" s="65" t="str">
        <f>IF(COUNTIF(Checks,"ПРОВЕРИТЬ")=0,"✔  Все проверки модели пройдены («ОК»).","✗  "&amp;COUNTIF(Checks,"ПРОВЕРИТЬ")&amp;" проверок не пройдено («ПРОВЕРИТЬ»): см. раздел «Проверки модели» в конце расчетного листа.")</f>
        <v>✔  Все проверки модели пройдены («ОК»).</v>
      </c>
    </row>
    <row r="8" spans="1:18" ht="8" customHeight="1" x14ac:dyDescent="0.45"/>
    <row r="9" spans="1:18" ht="22.05" customHeight="1" x14ac:dyDescent="0.5">
      <c r="B9" s="7" t="s">
        <v>205</v>
      </c>
      <c r="C9" s="8"/>
      <c r="D9" s="8"/>
      <c r="E9" s="8"/>
      <c r="F9" s="8"/>
      <c r="G9" s="8"/>
      <c r="I9" s="66" t="s">
        <v>206</v>
      </c>
      <c r="J9" s="8"/>
      <c r="K9" s="8"/>
      <c r="L9" s="8"/>
      <c r="M9" s="8"/>
      <c r="N9" s="8"/>
      <c r="O9" s="8"/>
      <c r="P9" s="8"/>
      <c r="Q9" s="8"/>
      <c r="R9" s="8"/>
    </row>
    <row r="10" spans="1:18" ht="18" customHeight="1" x14ac:dyDescent="0.45">
      <c r="B10" s="13" t="s">
        <v>207</v>
      </c>
    </row>
    <row r="11" spans="1:18" ht="18" customHeight="1" x14ac:dyDescent="0.45">
      <c r="B11" s="67" t="s">
        <v>208</v>
      </c>
      <c r="C11" s="68" t="s">
        <v>209</v>
      </c>
      <c r="D11" s="68" t="s">
        <v>210</v>
      </c>
      <c r="E11" s="68" t="s">
        <v>41</v>
      </c>
      <c r="F11" s="68" t="s">
        <v>211</v>
      </c>
      <c r="G11" s="68" t="s">
        <v>212</v>
      </c>
    </row>
    <row r="12" spans="1:18" x14ac:dyDescent="0.45">
      <c r="B12" s="69"/>
      <c r="C12" s="69"/>
      <c r="D12" s="69"/>
      <c r="E12" s="69" t="s">
        <v>213</v>
      </c>
      <c r="F12" s="69" t="s">
        <v>214</v>
      </c>
      <c r="G12" s="69"/>
    </row>
    <row r="13" spans="1:18" x14ac:dyDescent="0.45">
      <c r="B13" s="25" t="s">
        <v>215</v>
      </c>
      <c r="C13" s="70" cm="1">
        <f t="array" aca="1" ref="C13" ca="1">_xll.VoseSimMean(CF_U)</f>
        <v>35.607739879338261</v>
      </c>
      <c r="D13" s="70" cm="1">
        <f t="array" aca="1" ref="D13" ca="1">_xll.VoseSimPercentile(CF_U,0.05)</f>
        <v>-23.151745438313633</v>
      </c>
      <c r="E13" s="71">
        <f ca="1">IF(AND(ISNUMBER(C13),ISNUMBER(D13)),C13-D13,"–")</f>
        <v>58.759485317651894</v>
      </c>
      <c r="F13" s="72" cm="1">
        <f t="array" aca="1" ref="F13" ca="1">IFERROR(1-_xll.VoseSimProbability(NegQ_U,0),"–")</f>
        <v>0.45305469453054692</v>
      </c>
      <c r="G13" s="70" cm="1">
        <f t="array" aca="1" ref="G13" ca="1">_xll.VoseSimPercentile(CF_U,0.95)</f>
        <v>99.870484067032805</v>
      </c>
    </row>
    <row r="14" spans="1:18" x14ac:dyDescent="0.45">
      <c r="B14" s="25" t="s">
        <v>216</v>
      </c>
      <c r="C14" s="70" cm="1">
        <f t="array" aca="1" ref="C14" ca="1">_xll.VoseSimMean(CF_H)</f>
        <v>30.432424041510561</v>
      </c>
      <c r="D14" s="70" cm="1">
        <f t="array" aca="1" ref="D14" ca="1">_xll.VoseSimPercentile(CF_H,0.05)</f>
        <v>1.0526813826845753</v>
      </c>
      <c r="E14" s="71">
        <f ca="1">IF(AND(ISNUMBER(C14),ISNUMBER(D14)),C14-D14,"–")</f>
        <v>29.379742658825986</v>
      </c>
      <c r="F14" s="72" cm="1">
        <f t="array" aca="1" ref="F14" ca="1">IFERROR(1-_xll.VoseSimProbability(NegQ_H,0),"–")</f>
        <v>0.24467553244675533</v>
      </c>
      <c r="G14" s="70" cm="1">
        <f t="array" aca="1" ref="G14" ca="1">_xll.VoseSimPercentile(CF_H,0.95)</f>
        <v>62.563796135357784</v>
      </c>
    </row>
    <row r="15" spans="1:18" x14ac:dyDescent="0.45">
      <c r="B15" s="25" t="s">
        <v>217</v>
      </c>
      <c r="C15" s="70" cm="1">
        <f t="array" aca="1" ref="C15" ca="1">_xll.VoseSimMean(CF_I)</f>
        <v>35.657650563039056</v>
      </c>
      <c r="D15" s="70" cm="1">
        <f t="array" aca="1" ref="D15" ca="1">_xll.VoseSimPercentile(CF_I,0.05)</f>
        <v>-37.784833299889733</v>
      </c>
      <c r="E15" s="71">
        <f ca="1">IF(AND(ISNUMBER(C15),ISNUMBER(D15)),C15-D15,"–")</f>
        <v>73.442483862928782</v>
      </c>
      <c r="F15" s="72" cm="1">
        <f t="array" aca="1" ref="F15" ca="1">IFERROR(1-_xll.VoseSimProbability(NegQ_I,0),"–")</f>
        <v>0.53434656534346558</v>
      </c>
      <c r="G15" s="70" cm="1">
        <f t="array" aca="1" ref="G15" ca="1">_xll.VoseSimPercentile(CF_I,0.95)</f>
        <v>114.98929531819829</v>
      </c>
    </row>
    <row r="16" spans="1:18" ht="18" customHeight="1" x14ac:dyDescent="0.45">
      <c r="B16" s="23" t="s">
        <v>218</v>
      </c>
      <c r="C16" s="23" t="s">
        <v>96</v>
      </c>
      <c r="D16" s="24" t="s">
        <v>182</v>
      </c>
      <c r="E16" s="5"/>
      <c r="F16" s="5"/>
      <c r="G16" s="5"/>
    </row>
    <row r="17" spans="2:18" x14ac:dyDescent="0.45">
      <c r="B17" s="73" t="s">
        <v>193</v>
      </c>
      <c r="C17" s="26" t="s">
        <v>109</v>
      </c>
      <c r="D17" s="61">
        <f>CF_Today</f>
        <v>32.68114973262027</v>
      </c>
      <c r="E17" s="28"/>
      <c r="F17" s="28"/>
      <c r="G17" s="28"/>
    </row>
    <row r="18" spans="2:18" ht="8" customHeight="1" x14ac:dyDescent="0.45"/>
    <row r="19" spans="2:18" ht="22.05" customHeight="1" x14ac:dyDescent="0.5">
      <c r="B19" s="7" t="s">
        <v>219</v>
      </c>
      <c r="C19" s="8"/>
      <c r="D19" s="8"/>
      <c r="E19" s="8"/>
      <c r="F19" s="8"/>
      <c r="G19" s="8"/>
    </row>
    <row r="20" spans="2:18" ht="18" customHeight="1" x14ac:dyDescent="0.45">
      <c r="B20" s="13" t="s">
        <v>220</v>
      </c>
    </row>
    <row r="21" spans="2:18" ht="18" customHeight="1" x14ac:dyDescent="0.45">
      <c r="B21" s="67" t="s">
        <v>221</v>
      </c>
      <c r="C21" s="68" t="s">
        <v>209</v>
      </c>
      <c r="D21" s="68" t="s">
        <v>210</v>
      </c>
      <c r="E21" s="68" t="s">
        <v>41</v>
      </c>
      <c r="F21" s="68" t="s">
        <v>222</v>
      </c>
      <c r="G21" s="5"/>
    </row>
    <row r="22" spans="2:18" x14ac:dyDescent="0.45">
      <c r="B22" s="69"/>
      <c r="C22" s="69"/>
      <c r="D22" s="69"/>
      <c r="E22" s="69" t="s">
        <v>213</v>
      </c>
      <c r="F22" s="69" t="s">
        <v>223</v>
      </c>
    </row>
    <row r="23" spans="2:18" x14ac:dyDescent="0.45">
      <c r="B23" s="74">
        <v>0</v>
      </c>
      <c r="C23" s="70" cm="1">
        <f t="array" aca="1" ref="C23" ca="1">IFERROR((1-B23)*_xll.VoseSimMean(CF_U)+B23*CF_Full,"–")</f>
        <v>35.607739879338261</v>
      </c>
      <c r="D23" s="70" cm="1">
        <f t="array" aca="1" ref="D23" ca="1">IFERROR((1-B23)*_xll.VoseSimPercentile(CF_U,0.05)+B23*CF_Full,"–")</f>
        <v>-23.151745438313633</v>
      </c>
      <c r="E23" s="71">
        <f ca="1">IF(AND(ISNUMBER(C23),ISNUMBER(D23)),C23-D23,"–")</f>
        <v>58.759485317651894</v>
      </c>
      <c r="F23" s="71">
        <f ca="1">IF(AND(ISNUMBER(C23),ISNUMBER(C23)),C23-C23,"–")</f>
        <v>0</v>
      </c>
      <c r="G23" s="28"/>
    </row>
    <row r="24" spans="2:18" x14ac:dyDescent="0.45">
      <c r="B24" s="74">
        <v>0.25</v>
      </c>
      <c r="C24" s="70" cm="1">
        <f t="array" aca="1" ref="C24" ca="1">IFERROR((1-B24)*_xll.VoseSimMean(CF_U)+B24*CF_Full,"–")</f>
        <v>33.020081960424399</v>
      </c>
      <c r="D24" s="70" cm="1">
        <f t="array" aca="1" ref="D24" ca="1">IFERROR((1-B24)*_xll.VoseSimPercentile(CF_U,0.05)+B24*CF_Full,"–")</f>
        <v>-11.049532027814523</v>
      </c>
      <c r="E24" s="71">
        <f ca="1">IF(AND(ISNUMBER(C24),ISNUMBER(D24)),C24-D24,"–")</f>
        <v>44.06961398823892</v>
      </c>
      <c r="F24" s="71">
        <f ca="1">IF(AND(ISNUMBER(C23),ISNUMBER(C24)),C23-C24,"–")</f>
        <v>2.5876579189138624</v>
      </c>
      <c r="G24" s="28"/>
    </row>
    <row r="25" spans="2:18" x14ac:dyDescent="0.45">
      <c r="B25" s="74">
        <v>0.5</v>
      </c>
      <c r="C25" s="70" cm="1">
        <f t="array" aca="1" ref="C25" ca="1">IFERROR((1-B25)*_xll.VoseSimMean(CF_U)+B25*CF_Full,"–")</f>
        <v>30.432424041510529</v>
      </c>
      <c r="D25" s="70" cm="1">
        <f t="array" aca="1" ref="D25" ca="1">IFERROR((1-B25)*_xll.VoseSimPercentile(CF_U,0.05)+B25*CF_Full,"–")</f>
        <v>1.0526813826845824</v>
      </c>
      <c r="E25" s="71">
        <f ca="1">IF(AND(ISNUMBER(C25),ISNUMBER(D25)),C25-D25,"–")</f>
        <v>29.379742658825947</v>
      </c>
      <c r="F25" s="71">
        <f ca="1">IF(AND(ISNUMBER(C23),ISNUMBER(C25)),C23-C25,"–")</f>
        <v>5.175315837827732</v>
      </c>
      <c r="G25" s="28"/>
      <c r="I25" s="66" t="s">
        <v>224</v>
      </c>
      <c r="J25" s="8"/>
      <c r="K25" s="8"/>
      <c r="L25" s="8"/>
      <c r="M25" s="8"/>
      <c r="N25" s="8"/>
      <c r="O25" s="8"/>
      <c r="P25" s="8"/>
      <c r="Q25" s="8"/>
      <c r="R25" s="8"/>
    </row>
    <row r="26" spans="2:18" x14ac:dyDescent="0.45">
      <c r="B26" s="74">
        <v>0.75</v>
      </c>
      <c r="C26" s="70" cm="1">
        <f t="array" aca="1" ref="C26" ca="1">IFERROR((1-B26)*_xll.VoseSimMean(CF_U)+B26*CF_Full,"–")</f>
        <v>27.84476612259666</v>
      </c>
      <c r="D26" s="70" cm="1">
        <f t="array" aca="1" ref="D26" ca="1">IFERROR((1-B26)*_xll.VoseSimPercentile(CF_U,0.05)+B26*CF_Full,"–")</f>
        <v>13.154894793183688</v>
      </c>
      <c r="E26" s="71">
        <f ca="1">IF(AND(ISNUMBER(C26),ISNUMBER(D26)),C26-D26,"–")</f>
        <v>14.689871329412972</v>
      </c>
      <c r="F26" s="71">
        <f ca="1">IF(AND(ISNUMBER(C23),ISNUMBER(C26)),C23-C26,"–")</f>
        <v>7.7629737567416015</v>
      </c>
      <c r="G26" s="28"/>
    </row>
    <row r="27" spans="2:18" x14ac:dyDescent="0.45">
      <c r="B27" s="74">
        <v>1</v>
      </c>
      <c r="C27" s="70" cm="1">
        <f t="array" aca="1" ref="C27" ca="1">IFERROR((1-B27)*_xll.VoseSimMean(CF_U)+B27*CF_Full,"–")</f>
        <v>25.257108203682797</v>
      </c>
      <c r="D27" s="70" cm="1">
        <f t="array" aca="1" ref="D27" ca="1">IFERROR((1-B27)*_xll.VoseSimPercentile(CF_U,0.05)+B27*CF_Full,"–")</f>
        <v>25.257108203682797</v>
      </c>
      <c r="E27" s="71">
        <f ca="1">IF(AND(ISNUMBER(C27),ISNUMBER(D27)),C27-D27,"–")</f>
        <v>0</v>
      </c>
      <c r="F27" s="71">
        <f ca="1">IF(AND(ISNUMBER(C23),ISNUMBER(C27)),C23-C27,"–")</f>
        <v>10.350631675655464</v>
      </c>
      <c r="G27" s="28"/>
    </row>
    <row r="28" spans="2:18" x14ac:dyDescent="0.45">
      <c r="B28" s="75" t="s">
        <v>225</v>
      </c>
    </row>
    <row r="29" spans="2:18" ht="8" customHeight="1" x14ac:dyDescent="0.45"/>
    <row r="30" spans="2:18" ht="22.05" customHeight="1" x14ac:dyDescent="0.5">
      <c r="B30" s="7" t="s">
        <v>226</v>
      </c>
      <c r="C30" s="8"/>
      <c r="D30" s="8"/>
      <c r="E30" s="8"/>
      <c r="F30" s="8"/>
      <c r="G30" s="8"/>
    </row>
    <row r="31" spans="2:18" ht="18" customHeight="1" x14ac:dyDescent="0.45">
      <c r="B31" s="13" t="s">
        <v>227</v>
      </c>
    </row>
    <row r="32" spans="2:18" ht="18" customHeight="1" x14ac:dyDescent="0.45">
      <c r="B32" s="23" t="s">
        <v>218</v>
      </c>
      <c r="C32" s="23" t="s">
        <v>96</v>
      </c>
      <c r="D32" s="24" t="s">
        <v>210</v>
      </c>
      <c r="E32" s="24" t="s">
        <v>228</v>
      </c>
      <c r="F32" s="24" t="s">
        <v>212</v>
      </c>
      <c r="G32" s="24" t="s">
        <v>209</v>
      </c>
    </row>
    <row r="33" spans="2:18" x14ac:dyDescent="0.45">
      <c r="B33" s="25" t="s">
        <v>187</v>
      </c>
      <c r="C33" s="26" t="s">
        <v>188</v>
      </c>
      <c r="D33" s="70" cm="1">
        <f t="array" aca="1" ref="D33" ca="1">_xll.VoseSimPercentile(NegQ_U,0.05)</f>
        <v>0</v>
      </c>
      <c r="E33" s="70" cm="1">
        <f t="array" aca="1" ref="E33" ca="1">_xll.VoseSimPercentile(NegQ_U,0.5)</f>
        <v>0</v>
      </c>
      <c r="F33" s="70" cm="1">
        <f t="array" aca="1" ref="F33" ca="1">_xll.VoseSimPercentile(NegQ_U,0.95)</f>
        <v>10</v>
      </c>
      <c r="G33" s="70" cm="1">
        <f t="array" aca="1" ref="G33" ca="1">_xll.VoseSimMean(NegQ_U)</f>
        <v>2.3117999999999999</v>
      </c>
    </row>
    <row r="34" spans="2:18" x14ac:dyDescent="0.45">
      <c r="B34" s="25" t="s">
        <v>189</v>
      </c>
      <c r="C34" s="26" t="s">
        <v>188</v>
      </c>
      <c r="D34" s="70" cm="1">
        <f t="array" aca="1" ref="D34" ca="1">_xll.VoseSimPercentile(NegQ_H,0.05)</f>
        <v>0</v>
      </c>
      <c r="E34" s="70" cm="1">
        <f t="array" aca="1" ref="E34" ca="1">_xll.VoseSimPercentile(NegQ_H,0.5)</f>
        <v>0</v>
      </c>
      <c r="F34" s="70" cm="1">
        <f t="array" aca="1" ref="F34" ca="1">_xll.VoseSimPercentile(NegQ_H,0.95)</f>
        <v>6</v>
      </c>
      <c r="G34" s="70" cm="1">
        <f t="array" aca="1" ref="G34" ca="1">_xll.VoseSimMean(NegQ_H)</f>
        <v>0.95020000000000004</v>
      </c>
    </row>
    <row r="35" spans="2:18" ht="8" customHeight="1" x14ac:dyDescent="0.45"/>
    <row r="41" spans="2:18" ht="22.05" customHeight="1" x14ac:dyDescent="0.5">
      <c r="B41" s="7" t="s">
        <v>229</v>
      </c>
      <c r="C41" s="8"/>
      <c r="D41" s="8"/>
      <c r="E41" s="8"/>
      <c r="F41" s="8"/>
      <c r="G41" s="8"/>
      <c r="I41" s="66" t="s">
        <v>230</v>
      </c>
      <c r="J41" s="8"/>
      <c r="K41" s="8"/>
      <c r="L41" s="8"/>
      <c r="M41" s="8"/>
      <c r="N41" s="8"/>
      <c r="O41" s="8"/>
      <c r="P41" s="8"/>
      <c r="Q41" s="8"/>
      <c r="R41" s="8"/>
    </row>
    <row r="42" spans="2:18" ht="18" customHeight="1" x14ac:dyDescent="0.45">
      <c r="B42" s="13" t="s">
        <v>231</v>
      </c>
    </row>
    <row r="43" spans="2:18" ht="18" customHeight="1" x14ac:dyDescent="0.45">
      <c r="B43" s="23" t="s">
        <v>218</v>
      </c>
      <c r="C43" s="23" t="s">
        <v>96</v>
      </c>
      <c r="D43" s="24" t="s">
        <v>232</v>
      </c>
      <c r="E43" s="24" t="s">
        <v>228</v>
      </c>
      <c r="F43" s="24" t="s">
        <v>233</v>
      </c>
      <c r="G43" s="24" t="s">
        <v>209</v>
      </c>
    </row>
    <row r="44" spans="2:18" x14ac:dyDescent="0.45">
      <c r="B44" s="25" t="s">
        <v>195</v>
      </c>
      <c r="C44" s="26" t="s">
        <v>234</v>
      </c>
      <c r="D44" s="76" cm="1">
        <f t="array" aca="1" ref="D44" ca="1">_xll.VoseSimPercentile(AvgUSD,0.1)</f>
        <v>0.98329909965450468</v>
      </c>
      <c r="E44" s="76" cm="1">
        <f t="array" aca="1" ref="E44" ca="1">_xll.VoseSimPercentile(AvgUSD,0.5)</f>
        <v>1.097228165951208</v>
      </c>
      <c r="F44" s="76" cm="1">
        <f t="array" aca="1" ref="F44" ca="1">_xll.VoseSimPercentile(AvgUSD,0.9)</f>
        <v>1.2245312652384268</v>
      </c>
      <c r="G44" s="76" cm="1">
        <f t="array" aca="1" ref="G44" ca="1">_xll.VoseSimMean(AvgUSD)</f>
        <v>1.1013972459846961</v>
      </c>
    </row>
    <row r="45" spans="2:18" ht="8" customHeight="1" x14ac:dyDescent="0.45"/>
    <row r="57" spans="2:18" ht="22.05" customHeight="1" x14ac:dyDescent="0.5">
      <c r="B57" s="7" t="s">
        <v>235</v>
      </c>
      <c r="C57" s="8"/>
      <c r="D57" s="8"/>
      <c r="E57" s="8"/>
      <c r="F57" s="8"/>
      <c r="G57" s="8"/>
      <c r="I57" s="66" t="s">
        <v>236</v>
      </c>
      <c r="J57" s="8"/>
      <c r="K57" s="8"/>
      <c r="L57" s="8"/>
      <c r="M57" s="8"/>
      <c r="N57" s="8"/>
      <c r="O57" s="8"/>
      <c r="P57" s="8"/>
      <c r="Q57" s="8"/>
      <c r="R57" s="8"/>
    </row>
    <row r="58" spans="2:18" ht="18" customHeight="1" x14ac:dyDescent="0.45">
      <c r="B58" s="13" t="s">
        <v>237</v>
      </c>
    </row>
    <row r="59" spans="2:18" ht="18" customHeight="1" x14ac:dyDescent="0.45">
      <c r="B59" s="23" t="s">
        <v>238</v>
      </c>
      <c r="C59" s="24" t="s">
        <v>239</v>
      </c>
      <c r="D59" s="24" t="s">
        <v>240</v>
      </c>
      <c r="E59" s="77" t="s">
        <v>241</v>
      </c>
      <c r="F59" s="5"/>
      <c r="G59" s="5"/>
    </row>
    <row r="60" spans="2:18" x14ac:dyDescent="0.45">
      <c r="B60" s="25" t="str">
        <f t="array" aca="1" ref="B60:E62" ca="1">_xll.VoseSimSensitivityMean(CF_U,10,1,FALSE)</f>
        <v>Уровень EUR/USD</v>
      </c>
      <c r="C60" s="70">
        <f ca="1"/>
        <v>-18.00534181429197</v>
      </c>
      <c r="D60" s="70">
        <f ca="1"/>
        <v>98.811143308615129</v>
      </c>
      <c r="E60" s="78">
        <f ca="1"/>
        <v>1</v>
      </c>
      <c r="F60" s="28"/>
      <c r="G60" s="28"/>
    </row>
    <row r="61" spans="2:18" x14ac:dyDescent="0.45">
      <c r="B61" s="25" t="str">
        <f ca="1"/>
        <v>Уровень Euribor</v>
      </c>
      <c r="C61" s="70">
        <f ca="1"/>
        <v>27.32787341346895</v>
      </c>
      <c r="D61" s="70">
        <f ca="1"/>
        <v>41.339961676290322</v>
      </c>
      <c r="E61" s="78">
        <f ca="1"/>
        <v>2</v>
      </c>
      <c r="F61" s="28"/>
      <c r="G61" s="28"/>
    </row>
    <row r="62" spans="2:18" x14ac:dyDescent="0.45">
      <c r="B62" s="25" t="str">
        <f ca="1"/>
        <v>Уровень EUR/GBP</v>
      </c>
      <c r="C62" s="70">
        <f ca="1"/>
        <v>30.451060166912463</v>
      </c>
      <c r="D62" s="70">
        <f ca="1"/>
        <v>42.082882316329112</v>
      </c>
      <c r="E62" s="78">
        <f ca="1"/>
        <v>3</v>
      </c>
      <c r="F62" s="28"/>
      <c r="G62" s="28"/>
    </row>
    <row r="71" spans="2:7" ht="22.05" customHeight="1" x14ac:dyDescent="0.5">
      <c r="B71" s="7" t="s">
        <v>242</v>
      </c>
      <c r="C71" s="8"/>
      <c r="D71" s="8"/>
      <c r="E71" s="8"/>
      <c r="F71" s="8"/>
      <c r="G71" s="8"/>
    </row>
    <row r="72" spans="2:7" ht="45" customHeight="1" x14ac:dyDescent="0.45">
      <c r="B72" s="87" t="s">
        <v>243</v>
      </c>
      <c r="C72" s="86"/>
      <c r="D72" s="86"/>
      <c r="E72" s="86"/>
      <c r="F72" s="86"/>
      <c r="G72" s="86"/>
    </row>
    <row r="73" spans="2:7" ht="71" customHeight="1" x14ac:dyDescent="0.45">
      <c r="B73" s="87" t="s">
        <v>244</v>
      </c>
      <c r="C73" s="86"/>
      <c r="D73" s="86"/>
      <c r="E73" s="86"/>
      <c r="F73" s="86"/>
      <c r="G73" s="86"/>
    </row>
    <row r="74" spans="2:7" ht="32" customHeight="1" x14ac:dyDescent="0.45">
      <c r="B74" s="87" t="s">
        <v>245</v>
      </c>
      <c r="C74" s="86"/>
      <c r="D74" s="86"/>
      <c r="E74" s="86"/>
      <c r="F74" s="86"/>
      <c r="G74" s="86"/>
    </row>
    <row r="75" spans="2:7" ht="71" customHeight="1" x14ac:dyDescent="0.45">
      <c r="B75" s="87" t="s">
        <v>246</v>
      </c>
      <c r="C75" s="86"/>
      <c r="D75" s="86"/>
      <c r="E75" s="86"/>
      <c r="F75" s="86"/>
      <c r="G75" s="86"/>
    </row>
    <row r="76" spans="2:7" ht="14" customHeight="1" x14ac:dyDescent="0.45"/>
    <row r="77" spans="2:7" ht="14" customHeight="1" x14ac:dyDescent="0.45"/>
    <row r="78" spans="2:7" ht="22.05" customHeight="1" x14ac:dyDescent="0.5">
      <c r="B78" s="7" t="s">
        <v>247</v>
      </c>
      <c r="C78" s="8"/>
      <c r="D78" s="8"/>
      <c r="E78" s="8"/>
      <c r="F78" s="8"/>
      <c r="G78" s="8"/>
    </row>
    <row r="79" spans="2:7" ht="18" customHeight="1" x14ac:dyDescent="0.45">
      <c r="B79" s="13" t="s">
        <v>248</v>
      </c>
    </row>
    <row r="80" spans="2:7" ht="28.05" hidden="1" customHeight="1" outlineLevel="1" x14ac:dyDescent="0.45">
      <c r="B80" s="24" t="s">
        <v>249</v>
      </c>
      <c r="C80" s="24" t="s">
        <v>250</v>
      </c>
      <c r="D80" s="24" t="s">
        <v>251</v>
      </c>
      <c r="E80" s="24" t="s">
        <v>252</v>
      </c>
      <c r="F80" s="24" t="s">
        <v>253</v>
      </c>
      <c r="G80" s="5"/>
    </row>
    <row r="81" spans="2:6" hidden="1" outlineLevel="1" x14ac:dyDescent="0.45">
      <c r="B81" s="79">
        <v>0.01</v>
      </c>
      <c r="C81" s="79">
        <f t="shared" ref="C81:C112" si="0">1-B81</f>
        <v>0.99</v>
      </c>
      <c r="D81" s="80" cm="1">
        <f t="array" aca="1" ref="D81" ca="1">IF(ISNUMBER(_xll.VoseSimPercentile(CF_U,$B81)),_xll.VoseSimPercentile(CF_U,$B81),NA())</f>
        <v>-43.69379727336112</v>
      </c>
      <c r="E81" s="80" cm="1">
        <f t="array" aca="1" ref="E81" ca="1">IF(ISNUMBER(_xll.VoseSimPercentile(CF_H,$B81)),_xll.VoseSimPercentile(CF_H,$B81),NA())</f>
        <v>-9.2183445348391455</v>
      </c>
      <c r="F81" s="80" cm="1">
        <f t="array" aca="1" ref="F81" ca="1">IF(ISNUMBER(_xll.VoseSimPercentile(CF_I,$B81)),_xll.VoseSimPercentile(CF_I,$B81),NA())</f>
        <v>-65.074687332345547</v>
      </c>
    </row>
    <row r="82" spans="2:6" hidden="1" outlineLevel="1" x14ac:dyDescent="0.45">
      <c r="B82" s="79">
        <v>0.03</v>
      </c>
      <c r="C82" s="79">
        <f t="shared" si="0"/>
        <v>0.97</v>
      </c>
      <c r="D82" s="80" cm="1">
        <f t="array" aca="1" ref="D82" ca="1">IF(ISNUMBER(_xll.VoseSimPercentile(CF_U,$B82)),_xll.VoseSimPercentile(CF_U,$B82),NA())</f>
        <v>-29.50191744613721</v>
      </c>
      <c r="E82" s="80" cm="1">
        <f t="array" aca="1" ref="E82" ca="1">IF(ISNUMBER(_xll.VoseSimPercentile(CF_H,$B82)),_xll.VoseSimPercentile(CF_H,$B82),NA())</f>
        <v>-2.1224046212271848</v>
      </c>
      <c r="F82" s="80" cm="1">
        <f t="array" aca="1" ref="F82" ca="1">IF(ISNUMBER(_xll.VoseSimPercentile(CF_I,$B82)),_xll.VoseSimPercentile(CF_I,$B82),NA())</f>
        <v>-47.948782272358244</v>
      </c>
    </row>
    <row r="83" spans="2:6" hidden="1" outlineLevel="1" x14ac:dyDescent="0.45">
      <c r="B83" s="79">
        <v>0.05</v>
      </c>
      <c r="C83" s="79">
        <f t="shared" si="0"/>
        <v>0.95</v>
      </c>
      <c r="D83" s="80" cm="1">
        <f t="array" aca="1" ref="D83" ca="1">IF(ISNUMBER(_xll.VoseSimPercentile(CF_U,$B83)),_xll.VoseSimPercentile(CF_U,$B83),NA())</f>
        <v>-23.151745438313633</v>
      </c>
      <c r="E83" s="80" cm="1">
        <f t="array" aca="1" ref="E83" ca="1">IF(ISNUMBER(_xll.VoseSimPercentile(CF_H,$B83)),_xll.VoseSimPercentile(CF_H,$B83),NA())</f>
        <v>1.0526813826845753</v>
      </c>
      <c r="F83" s="80" cm="1">
        <f t="array" aca="1" ref="F83" ca="1">IF(ISNUMBER(_xll.VoseSimPercentile(CF_I,$B83)),_xll.VoseSimPercentile(CF_I,$B83),NA())</f>
        <v>-37.784833299889733</v>
      </c>
    </row>
    <row r="84" spans="2:6" hidden="1" outlineLevel="1" x14ac:dyDescent="0.45">
      <c r="B84" s="79">
        <v>7.0000000000000007E-2</v>
      </c>
      <c r="C84" s="79">
        <f t="shared" si="0"/>
        <v>0.92999999999999994</v>
      </c>
      <c r="D84" s="80" cm="1">
        <f t="array" aca="1" ref="D84" ca="1">IF(ISNUMBER(_xll.VoseSimPercentile(CF_U,$B84)),_xll.VoseSimPercentile(CF_U,$B84),NA())</f>
        <v>-17.657226009034247</v>
      </c>
      <c r="E84" s="80" cm="1">
        <f t="array" aca="1" ref="E84" ca="1">IF(ISNUMBER(_xll.VoseSimPercentile(CF_H,$B84)),_xll.VoseSimPercentile(CF_H,$B84),NA())</f>
        <v>3.7999410973242762</v>
      </c>
      <c r="F84" s="80" cm="1">
        <f t="array" aca="1" ref="F84" ca="1">IF(ISNUMBER(_xll.VoseSimPercentile(CF_I,$B84)),_xll.VoseSimPercentile(CF_I,$B84),NA())</f>
        <v>-30.717649561084258</v>
      </c>
    </row>
    <row r="85" spans="2:6" hidden="1" outlineLevel="1" x14ac:dyDescent="0.45">
      <c r="B85" s="79">
        <v>0.09</v>
      </c>
      <c r="C85" s="79">
        <f t="shared" si="0"/>
        <v>0.91</v>
      </c>
      <c r="D85" s="80" cm="1">
        <f t="array" aca="1" ref="D85" ca="1">IF(ISNUMBER(_xll.VoseSimPercentile(CF_U,$B85)),_xll.VoseSimPercentile(CF_U,$B85),NA())</f>
        <v>-13.346287285409073</v>
      </c>
      <c r="E85" s="80" cm="1">
        <f t="array" aca="1" ref="E85" ca="1">IF(ISNUMBER(_xll.VoseSimPercentile(CF_H,$B85)),_xll.VoseSimPercentile(CF_H,$B85),NA())</f>
        <v>5.955410459136858</v>
      </c>
      <c r="F85" s="80" cm="1">
        <f t="array" aca="1" ref="F85" ca="1">IF(ISNUMBER(_xll.VoseSimPercentile(CF_I,$B85)),_xll.VoseSimPercentile(CF_I,$B85),NA())</f>
        <v>-24.669611193882922</v>
      </c>
    </row>
    <row r="86" spans="2:6" hidden="1" outlineLevel="1" x14ac:dyDescent="0.45">
      <c r="B86" s="79">
        <v>0.11</v>
      </c>
      <c r="C86" s="79">
        <f t="shared" si="0"/>
        <v>0.89</v>
      </c>
      <c r="D86" s="80" cm="1">
        <f t="array" aca="1" ref="D86" ca="1">IF(ISNUMBER(_xll.VoseSimPercentile(CF_U,$B86)),_xll.VoseSimPercentile(CF_U,$B86),NA())</f>
        <v>-9.4404751652355632</v>
      </c>
      <c r="E86" s="80" cm="1">
        <f t="array" aca="1" ref="E86" ca="1">IF(ISNUMBER(_xll.VoseSimPercentile(CF_H,$B86)),_xll.VoseSimPercentile(CF_H,$B86),NA())</f>
        <v>7.9083165192236233</v>
      </c>
      <c r="F86" s="80" cm="1">
        <f t="array" aca="1" ref="F86" ca="1">IF(ISNUMBER(_xll.VoseSimPercentile(CF_I,$B86)),_xll.VoseSimPercentile(CF_I,$B86),NA())</f>
        <v>-20.167899284150593</v>
      </c>
    </row>
    <row r="87" spans="2:6" hidden="1" outlineLevel="1" x14ac:dyDescent="0.45">
      <c r="B87" s="79">
        <v>0.13</v>
      </c>
      <c r="C87" s="79">
        <f t="shared" si="0"/>
        <v>0.87</v>
      </c>
      <c r="D87" s="80" cm="1">
        <f t="array" aca="1" ref="D87" ca="1">IF(ISNUMBER(_xll.VoseSimPercentile(CF_U,$B87)),_xll.VoseSimPercentile(CF_U,$B87),NA())</f>
        <v>-5.9875713747052774</v>
      </c>
      <c r="E87" s="80" cm="1">
        <f t="array" aca="1" ref="E87" ca="1">IF(ISNUMBER(_xll.VoseSimPercentile(CF_H,$B87)),_xll.VoseSimPercentile(CF_H,$B87),NA())</f>
        <v>9.6347684144887662</v>
      </c>
      <c r="F87" s="80" cm="1">
        <f t="array" aca="1" ref="F87" ca="1">IF(ISNUMBER(_xll.VoseSimPercentile(CF_I,$B87)),_xll.VoseSimPercentile(CF_I,$B87),NA())</f>
        <v>-15.884656845786154</v>
      </c>
    </row>
    <row r="88" spans="2:6" hidden="1" outlineLevel="1" x14ac:dyDescent="0.45">
      <c r="B88" s="79">
        <v>0.15</v>
      </c>
      <c r="C88" s="79">
        <f t="shared" si="0"/>
        <v>0.85</v>
      </c>
      <c r="D88" s="80" cm="1">
        <f t="array" aca="1" ref="D88" ca="1">IF(ISNUMBER(_xll.VoseSimPercentile(CF_U,$B88)),_xll.VoseSimPercentile(CF_U,$B88),NA())</f>
        <v>-2.712884070834956</v>
      </c>
      <c r="E88" s="80" cm="1">
        <f t="array" aca="1" ref="E88" ca="1">IF(ISNUMBER(_xll.VoseSimPercentile(CF_H,$B88)),_xll.VoseSimPercentile(CF_H,$B88),NA())</f>
        <v>11.272112066423929</v>
      </c>
      <c r="F88" s="80" cm="1">
        <f t="array" aca="1" ref="F88" ca="1">IF(ISNUMBER(_xll.VoseSimPercentile(CF_I,$B88)),_xll.VoseSimPercentile(CF_I,$B88),NA())</f>
        <v>-11.963653542212576</v>
      </c>
    </row>
    <row r="89" spans="2:6" hidden="1" outlineLevel="1" x14ac:dyDescent="0.45">
      <c r="B89" s="79">
        <v>0.17</v>
      </c>
      <c r="C89" s="79">
        <f t="shared" si="0"/>
        <v>0.83</v>
      </c>
      <c r="D89" s="80" cm="1">
        <f t="array" aca="1" ref="D89" ca="1">IF(ISNUMBER(_xll.VoseSimPercentile(CF_U,$B89)),_xll.VoseSimPercentile(CF_U,$B89),NA())</f>
        <v>-0.10142944056934677</v>
      </c>
      <c r="E89" s="80" cm="1">
        <f t="array" aca="1" ref="E89" ca="1">IF(ISNUMBER(_xll.VoseSimPercentile(CF_H,$B89)),_xll.VoseSimPercentile(CF_H,$B89),NA())</f>
        <v>12.577839381556736</v>
      </c>
      <c r="F89" s="80" cm="1">
        <f t="array" aca="1" ref="F89" ca="1">IF(ISNUMBER(_xll.VoseSimPercentile(CF_I,$B89)),_xll.VoseSimPercentile(CF_I,$B89),NA())</f>
        <v>-8.7187491735837135</v>
      </c>
    </row>
    <row r="90" spans="2:6" hidden="1" outlineLevel="1" x14ac:dyDescent="0.45">
      <c r="B90" s="79">
        <v>0.19</v>
      </c>
      <c r="C90" s="79">
        <f t="shared" si="0"/>
        <v>0.81</v>
      </c>
      <c r="D90" s="80" cm="1">
        <f t="array" aca="1" ref="D90" ca="1">IF(ISNUMBER(_xll.VoseSimPercentile(CF_U,$B90)),_xll.VoseSimPercentile(CF_U,$B90),NA())</f>
        <v>2.2108448680644379</v>
      </c>
      <c r="E90" s="80" cm="1">
        <f t="array" aca="1" ref="E90" ca="1">IF(ISNUMBER(_xll.VoseSimPercentile(CF_H,$B90)),_xll.VoseSimPercentile(CF_H,$B90),NA())</f>
        <v>13.733976535873646</v>
      </c>
      <c r="F90" s="80" cm="1">
        <f t="array" aca="1" ref="F90" ca="1">IF(ISNUMBER(_xll.VoseSimPercentile(CF_I,$B90)),_xll.VoseSimPercentile(CF_I,$B90),NA())</f>
        <v>-5.5220292686670325</v>
      </c>
    </row>
    <row r="91" spans="2:6" hidden="1" outlineLevel="1" x14ac:dyDescent="0.45">
      <c r="B91" s="79">
        <v>0.21</v>
      </c>
      <c r="C91" s="79">
        <f t="shared" si="0"/>
        <v>0.79</v>
      </c>
      <c r="D91" s="80" cm="1">
        <f t="array" aca="1" ref="D91" ca="1">IF(ISNUMBER(_xll.VoseSimPercentile(CF_U,$B91)),_xll.VoseSimPercentile(CF_U,$B91),NA())</f>
        <v>4.8089101546255257</v>
      </c>
      <c r="E91" s="80" cm="1">
        <f t="array" aca="1" ref="E91" ca="1">IF(ISNUMBER(_xll.VoseSimPercentile(CF_H,$B91)),_xll.VoseSimPercentile(CF_H,$B91),NA())</f>
        <v>15.033009179154156</v>
      </c>
      <c r="F91" s="80" cm="1">
        <f t="array" aca="1" ref="F91" ca="1">IF(ISNUMBER(_xll.VoseSimPercentile(CF_I,$B91)),_xll.VoseSimPercentile(CF_I,$B91),NA())</f>
        <v>-2.5345216325597177</v>
      </c>
    </row>
    <row r="92" spans="2:6" hidden="1" outlineLevel="1" x14ac:dyDescent="0.45">
      <c r="B92" s="79">
        <v>0.23</v>
      </c>
      <c r="C92" s="79">
        <f t="shared" si="0"/>
        <v>0.77</v>
      </c>
      <c r="D92" s="80" cm="1">
        <f t="array" aca="1" ref="D92" ca="1">IF(ISNUMBER(_xll.VoseSimPercentile(CF_U,$B92)),_xll.VoseSimPercentile(CF_U,$B92),NA())</f>
        <v>7.4188940141457369</v>
      </c>
      <c r="E92" s="80" cm="1">
        <f t="array" aca="1" ref="E92" ca="1">IF(ISNUMBER(_xll.VoseSimPercentile(CF_H,$B92)),_xll.VoseSimPercentile(CF_H,$B92),NA())</f>
        <v>16.338001108914249</v>
      </c>
      <c r="F92" s="80" cm="1">
        <f t="array" aca="1" ref="F92" ca="1">IF(ISNUMBER(_xll.VoseSimPercentile(CF_I,$B92)),_xll.VoseSimPercentile(CF_I,$B92),NA())</f>
        <v>0.62283045349565747</v>
      </c>
    </row>
    <row r="93" spans="2:6" hidden="1" outlineLevel="1" x14ac:dyDescent="0.45">
      <c r="B93" s="79">
        <v>0.25</v>
      </c>
      <c r="C93" s="79">
        <f t="shared" si="0"/>
        <v>0.75</v>
      </c>
      <c r="D93" s="80" cm="1">
        <f t="array" aca="1" ref="D93" ca="1">IF(ISNUMBER(_xll.VoseSimPercentile(CF_U,$B93)),_xll.VoseSimPercentile(CF_U,$B93),NA())</f>
        <v>9.5368308223326892</v>
      </c>
      <c r="E93" s="80" cm="1">
        <f t="array" aca="1" ref="E93" ca="1">IF(ISNUMBER(_xll.VoseSimPercentile(CF_H,$B93)),_xll.VoseSimPercentile(CF_H,$B93),NA())</f>
        <v>17.396969513007722</v>
      </c>
      <c r="F93" s="80" cm="1">
        <f t="array" aca="1" ref="F93" ca="1">IF(ISNUMBER(_xll.VoseSimPercentile(CF_I,$B93)),_xll.VoseSimPercentile(CF_I,$B93),NA())</f>
        <v>3.5492502202977061</v>
      </c>
    </row>
    <row r="94" spans="2:6" hidden="1" outlineLevel="1" x14ac:dyDescent="0.45">
      <c r="B94" s="79">
        <v>0.27</v>
      </c>
      <c r="C94" s="79">
        <f t="shared" si="0"/>
        <v>0.73</v>
      </c>
      <c r="D94" s="80" cm="1">
        <f t="array" aca="1" ref="D94" ca="1">IF(ISNUMBER(_xll.VoseSimPercentile(CF_U,$B94)),_xll.VoseSimPercentile(CF_U,$B94),NA())</f>
        <v>11.904850340335681</v>
      </c>
      <c r="E94" s="80" cm="1">
        <f t="array" aca="1" ref="E94" ca="1">IF(ISNUMBER(_xll.VoseSimPercentile(CF_H,$B94)),_xll.VoseSimPercentile(CF_H,$B94),NA())</f>
        <v>18.580979272009237</v>
      </c>
      <c r="F94" s="80" cm="1">
        <f t="array" aca="1" ref="F94" ca="1">IF(ISNUMBER(_xll.VoseSimPercentile(CF_I,$B94)),_xll.VoseSimPercentile(CF_I,$B94),NA())</f>
        <v>6.3110254176537879</v>
      </c>
    </row>
    <row r="95" spans="2:6" hidden="1" outlineLevel="1" x14ac:dyDescent="0.45">
      <c r="B95" s="79">
        <v>0.28999999999999998</v>
      </c>
      <c r="C95" s="79">
        <f t="shared" si="0"/>
        <v>0.71</v>
      </c>
      <c r="D95" s="80" cm="1">
        <f t="array" aca="1" ref="D95" ca="1">IF(ISNUMBER(_xll.VoseSimPercentile(CF_U,$B95)),_xll.VoseSimPercentile(CF_U,$B95),NA())</f>
        <v>14.151977811731561</v>
      </c>
      <c r="E95" s="80" cm="1">
        <f t="array" aca="1" ref="E95" ca="1">IF(ISNUMBER(_xll.VoseSimPercentile(CF_H,$B95)),_xll.VoseSimPercentile(CF_H,$B95),NA())</f>
        <v>19.704543007707208</v>
      </c>
      <c r="F95" s="80" cm="1">
        <f t="array" aca="1" ref="F95" ca="1">IF(ISNUMBER(_xll.VoseSimPercentile(CF_I,$B95)),_xll.VoseSimPercentile(CF_I,$B95),NA())</f>
        <v>8.8306022810533538</v>
      </c>
    </row>
    <row r="96" spans="2:6" hidden="1" outlineLevel="1" x14ac:dyDescent="0.45">
      <c r="B96" s="79">
        <v>0.31</v>
      </c>
      <c r="C96" s="79">
        <f t="shared" si="0"/>
        <v>0.69</v>
      </c>
      <c r="D96" s="80" cm="1">
        <f t="array" aca="1" ref="D96" ca="1">IF(ISNUMBER(_xll.VoseSimPercentile(CF_U,$B96)),_xll.VoseSimPercentile(CF_U,$B96),NA())</f>
        <v>16.08665872930748</v>
      </c>
      <c r="E96" s="80" cm="1">
        <f t="array" aca="1" ref="E96" ca="1">IF(ISNUMBER(_xll.VoseSimPercentile(CF_H,$B96)),_xll.VoseSimPercentile(CF_H,$B96),NA())</f>
        <v>20.671883466495139</v>
      </c>
      <c r="F96" s="80" cm="1">
        <f t="array" aca="1" ref="F96" ca="1">IF(ISNUMBER(_xll.VoseSimPercentile(CF_I,$B96)),_xll.VoseSimPercentile(CF_I,$B96),NA())</f>
        <v>11.643955292935743</v>
      </c>
    </row>
    <row r="97" spans="2:6" hidden="1" outlineLevel="1" x14ac:dyDescent="0.45">
      <c r="B97" s="79">
        <v>0.33</v>
      </c>
      <c r="C97" s="79">
        <f t="shared" si="0"/>
        <v>0.66999999999999993</v>
      </c>
      <c r="D97" s="80" cm="1">
        <f t="array" aca="1" ref="D97" ca="1">IF(ISNUMBER(_xll.VoseSimPercentile(CF_U,$B97)),_xll.VoseSimPercentile(CF_U,$B97),NA())</f>
        <v>18.033798970533187</v>
      </c>
      <c r="E97" s="80" cm="1">
        <f t="array" aca="1" ref="E97" ca="1">IF(ISNUMBER(_xll.VoseSimPercentile(CF_H,$B97)),_xll.VoseSimPercentile(CF_H,$B97),NA())</f>
        <v>21.645453587107962</v>
      </c>
      <c r="F97" s="80" cm="1">
        <f t="array" aca="1" ref="F97" ca="1">IF(ISNUMBER(_xll.VoseSimPercentile(CF_I,$B97)),_xll.VoseSimPercentile(CF_I,$B97),NA())</f>
        <v>14.096570387945945</v>
      </c>
    </row>
    <row r="98" spans="2:6" hidden="1" outlineLevel="1" x14ac:dyDescent="0.45">
      <c r="B98" s="79">
        <v>0.35</v>
      </c>
      <c r="C98" s="79">
        <f t="shared" si="0"/>
        <v>0.65</v>
      </c>
      <c r="D98" s="80" cm="1">
        <f t="array" aca="1" ref="D98" ca="1">IF(ISNUMBER(_xll.VoseSimPercentile(CF_U,$B98)),_xll.VoseSimPercentile(CF_U,$B98),NA())</f>
        <v>20.03677202451177</v>
      </c>
      <c r="E98" s="80" cm="1">
        <f t="array" aca="1" ref="E98" ca="1">IF(ISNUMBER(_xll.VoseSimPercentile(CF_H,$B98)),_xll.VoseSimPercentile(CF_H,$B98),NA())</f>
        <v>22.646940114097276</v>
      </c>
      <c r="F98" s="80" cm="1">
        <f t="array" aca="1" ref="F98" ca="1">IF(ISNUMBER(_xll.VoseSimPercentile(CF_I,$B98)),_xll.VoseSimPercentile(CF_I,$B98),NA())</f>
        <v>16.521740319360809</v>
      </c>
    </row>
    <row r="99" spans="2:6" hidden="1" outlineLevel="1" x14ac:dyDescent="0.45">
      <c r="B99" s="79">
        <v>0.37</v>
      </c>
      <c r="C99" s="79">
        <f t="shared" si="0"/>
        <v>0.63</v>
      </c>
      <c r="D99" s="80" cm="1">
        <f t="array" aca="1" ref="D99" ca="1">IF(ISNUMBER(_xll.VoseSimPercentile(CF_U,$B99)),_xll.VoseSimPercentile(CF_U,$B99),NA())</f>
        <v>21.842167300624297</v>
      </c>
      <c r="E99" s="80" cm="1">
        <f t="array" aca="1" ref="E99" ca="1">IF(ISNUMBER(_xll.VoseSimPercentile(CF_H,$B99)),_xll.VoseSimPercentile(CF_H,$B99),NA())</f>
        <v>23.549637752153547</v>
      </c>
      <c r="F99" s="80" cm="1">
        <f t="array" aca="1" ref="F99" ca="1">IF(ISNUMBER(_xll.VoseSimPercentile(CF_I,$B99)),_xll.VoseSimPercentile(CF_I,$B99),NA())</f>
        <v>19.043261909436211</v>
      </c>
    </row>
    <row r="100" spans="2:6" hidden="1" outlineLevel="1" x14ac:dyDescent="0.45">
      <c r="B100" s="79">
        <v>0.39</v>
      </c>
      <c r="C100" s="79">
        <f t="shared" si="0"/>
        <v>0.61</v>
      </c>
      <c r="D100" s="80" cm="1">
        <f t="array" aca="1" ref="D100" ca="1">IF(ISNUMBER(_xll.VoseSimPercentile(CF_U,$B100)),_xll.VoseSimPercentile(CF_U,$B100),NA())</f>
        <v>23.99280314167564</v>
      </c>
      <c r="E100" s="80" cm="1">
        <f t="array" aca="1" ref="E100" ca="1">IF(ISNUMBER(_xll.VoseSimPercentile(CF_H,$B100)),_xll.VoseSimPercentile(CF_H,$B100),NA())</f>
        <v>24.624955672679214</v>
      </c>
      <c r="F100" s="80" cm="1">
        <f t="array" aca="1" ref="F100" ca="1">IF(ISNUMBER(_xll.VoseSimPercentile(CF_I,$B100)),_xll.VoseSimPercentile(CF_I,$B100),NA())</f>
        <v>21.517407813098281</v>
      </c>
    </row>
    <row r="101" spans="2:6" hidden="1" outlineLevel="1" x14ac:dyDescent="0.45">
      <c r="B101" s="79">
        <v>0.41</v>
      </c>
      <c r="C101" s="79">
        <f t="shared" si="0"/>
        <v>0.59000000000000008</v>
      </c>
      <c r="D101" s="80" cm="1">
        <f t="array" aca="1" ref="D101" ca="1">IF(ISNUMBER(_xll.VoseSimPercentile(CF_U,$B101)),_xll.VoseSimPercentile(CF_U,$B101),NA())</f>
        <v>26.073549664763537</v>
      </c>
      <c r="E101" s="80" cm="1">
        <f t="array" aca="1" ref="E101" ca="1">IF(ISNUMBER(_xll.VoseSimPercentile(CF_H,$B101)),_xll.VoseSimPercentile(CF_H,$B101),NA())</f>
        <v>25.665328934223155</v>
      </c>
      <c r="F101" s="80" cm="1">
        <f t="array" aca="1" ref="F101" ca="1">IF(ISNUMBER(_xll.VoseSimPercentile(CF_I,$B101)),_xll.VoseSimPercentile(CF_I,$B101),NA())</f>
        <v>23.816212766041783</v>
      </c>
    </row>
    <row r="102" spans="2:6" hidden="1" outlineLevel="1" x14ac:dyDescent="0.45">
      <c r="B102" s="79">
        <v>0.43</v>
      </c>
      <c r="C102" s="79">
        <f t="shared" si="0"/>
        <v>0.57000000000000006</v>
      </c>
      <c r="D102" s="80" cm="1">
        <f t="array" aca="1" ref="D102" ca="1">IF(ISNUMBER(_xll.VoseSimPercentile(CF_U,$B102)),_xll.VoseSimPercentile(CF_U,$B102),NA())</f>
        <v>27.801292704522925</v>
      </c>
      <c r="E102" s="80" cm="1">
        <f t="array" aca="1" ref="E102" ca="1">IF(ISNUMBER(_xll.VoseSimPercentile(CF_H,$B102)),_xll.VoseSimPercentile(CF_H,$B102),NA())</f>
        <v>26.529200454102849</v>
      </c>
      <c r="F102" s="80" cm="1">
        <f t="array" aca="1" ref="F102" ca="1">IF(ISNUMBER(_xll.VoseSimPercentile(CF_I,$B102)),_xll.VoseSimPercentile(CF_I,$B102),NA())</f>
        <v>26.006698528049899</v>
      </c>
    </row>
    <row r="103" spans="2:6" hidden="1" outlineLevel="1" x14ac:dyDescent="0.45">
      <c r="B103" s="79">
        <v>0.45</v>
      </c>
      <c r="C103" s="79">
        <f t="shared" si="0"/>
        <v>0.55000000000000004</v>
      </c>
      <c r="D103" s="80" cm="1">
        <f t="array" aca="1" ref="D103" ca="1">IF(ISNUMBER(_xll.VoseSimPercentile(CF_U,$B103)),_xll.VoseSimPercentile(CF_U,$B103),NA())</f>
        <v>29.577567041262494</v>
      </c>
      <c r="E103" s="80" cm="1">
        <f t="array" aca="1" ref="E103" ca="1">IF(ISNUMBER(_xll.VoseSimPercentile(CF_H,$B103)),_xll.VoseSimPercentile(CF_H,$B103),NA())</f>
        <v>27.417337622472623</v>
      </c>
      <c r="F103" s="80" cm="1">
        <f t="array" aca="1" ref="F103" ca="1">IF(ISNUMBER(_xll.VoseSimPercentile(CF_I,$B103)),_xll.VoseSimPercentile(CF_I,$B103),NA())</f>
        <v>28.226786873017875</v>
      </c>
    </row>
    <row r="104" spans="2:6" hidden="1" outlineLevel="1" x14ac:dyDescent="0.45">
      <c r="B104" s="79">
        <v>0.47</v>
      </c>
      <c r="C104" s="79">
        <f t="shared" si="0"/>
        <v>0.53</v>
      </c>
      <c r="D104" s="80" cm="1">
        <f t="array" aca="1" ref="D104" ca="1">IF(ISNUMBER(_xll.VoseSimPercentile(CF_U,$B104)),_xll.VoseSimPercentile(CF_U,$B104),NA())</f>
        <v>31.338822246389839</v>
      </c>
      <c r="E104" s="80" cm="1">
        <f t="array" aca="1" ref="E104" ca="1">IF(ISNUMBER(_xll.VoseSimPercentile(CF_H,$B104)),_xll.VoseSimPercentile(CF_H,$B104),NA())</f>
        <v>28.297965225036318</v>
      </c>
      <c r="F104" s="80" cm="1">
        <f t="array" aca="1" ref="F104" ca="1">IF(ISNUMBER(_xll.VoseSimPercentile(CF_I,$B104)),_xll.VoseSimPercentile(CF_I,$B104),NA())</f>
        <v>30.476886915742561</v>
      </c>
    </row>
    <row r="105" spans="2:6" hidden="1" outlineLevel="1" x14ac:dyDescent="0.45">
      <c r="B105" s="79">
        <v>0.49</v>
      </c>
      <c r="C105" s="79">
        <f t="shared" si="0"/>
        <v>0.51</v>
      </c>
      <c r="D105" s="80" cm="1">
        <f t="array" aca="1" ref="D105" ca="1">IF(ISNUMBER(_xll.VoseSimPercentile(CF_U,$B105)),_xll.VoseSimPercentile(CF_U,$B105),NA())</f>
        <v>33.240764394036205</v>
      </c>
      <c r="E105" s="80" cm="1">
        <f t="array" aca="1" ref="E105" ca="1">IF(ISNUMBER(_xll.VoseSimPercentile(CF_H,$B105)),_xll.VoseSimPercentile(CF_H,$B105),NA())</f>
        <v>29.248936298859491</v>
      </c>
      <c r="F105" s="80" cm="1">
        <f t="array" aca="1" ref="F105" ca="1">IF(ISNUMBER(_xll.VoseSimPercentile(CF_I,$B105)),_xll.VoseSimPercentile(CF_I,$B105),NA())</f>
        <v>32.782603867336995</v>
      </c>
    </row>
    <row r="106" spans="2:6" hidden="1" outlineLevel="1" x14ac:dyDescent="0.45">
      <c r="B106" s="79">
        <v>0.51</v>
      </c>
      <c r="C106" s="79">
        <f t="shared" si="0"/>
        <v>0.49</v>
      </c>
      <c r="D106" s="80" cm="1">
        <f t="array" aca="1" ref="D106" ca="1">IF(ISNUMBER(_xll.VoseSimPercentile(CF_U,$B106)),_xll.VoseSimPercentile(CF_U,$B106),NA())</f>
        <v>35.029852058506684</v>
      </c>
      <c r="E106" s="80" cm="1">
        <f t="array" aca="1" ref="E106" ca="1">IF(ISNUMBER(_xll.VoseSimPercentile(CF_H,$B106)),_xll.VoseSimPercentile(CF_H,$B106),NA())</f>
        <v>30.143480131094762</v>
      </c>
      <c r="F106" s="80" cm="1">
        <f t="array" aca="1" ref="F106" ca="1">IF(ISNUMBER(_xll.VoseSimPercentile(CF_I,$B106)),_xll.VoseSimPercentile(CF_I,$B106),NA())</f>
        <v>35.366702189893168</v>
      </c>
    </row>
    <row r="107" spans="2:6" hidden="1" outlineLevel="1" x14ac:dyDescent="0.45">
      <c r="B107" s="79">
        <v>0.53</v>
      </c>
      <c r="C107" s="79">
        <f t="shared" si="0"/>
        <v>0.47</v>
      </c>
      <c r="D107" s="80" cm="1">
        <f t="array" aca="1" ref="D107" ca="1">IF(ISNUMBER(_xll.VoseSimPercentile(CF_U,$B107)),_xll.VoseSimPercentile(CF_U,$B107),NA())</f>
        <v>36.99682400582131</v>
      </c>
      <c r="E107" s="80" cm="1">
        <f t="array" aca="1" ref="E107" ca="1">IF(ISNUMBER(_xll.VoseSimPercentile(CF_H,$B107)),_xll.VoseSimPercentile(CF_H,$B107),NA())</f>
        <v>31.126966104752043</v>
      </c>
      <c r="F107" s="80" cm="1">
        <f t="array" aca="1" ref="F107" ca="1">IF(ISNUMBER(_xll.VoseSimPercentile(CF_I,$B107)),_xll.VoseSimPercentile(CF_I,$B107),NA())</f>
        <v>37.794885206627107</v>
      </c>
    </row>
    <row r="108" spans="2:6" hidden="1" outlineLevel="1" x14ac:dyDescent="0.45">
      <c r="B108" s="79">
        <v>0.55000000000000004</v>
      </c>
      <c r="C108" s="79">
        <f t="shared" si="0"/>
        <v>0.44999999999999996</v>
      </c>
      <c r="D108" s="80" cm="1">
        <f t="array" aca="1" ref="D108" ca="1">IF(ISNUMBER(_xll.VoseSimPercentile(CF_U,$B108)),_xll.VoseSimPercentile(CF_U,$B108),NA())</f>
        <v>38.582042694058224</v>
      </c>
      <c r="E108" s="80" cm="1">
        <f t="array" aca="1" ref="E108" ca="1">IF(ISNUMBER(_xll.VoseSimPercentile(CF_H,$B108)),_xll.VoseSimPercentile(CF_H,$B108),NA())</f>
        <v>31.919575448870503</v>
      </c>
      <c r="F108" s="80" cm="1">
        <f t="array" aca="1" ref="F108" ca="1">IF(ISNUMBER(_xll.VoseSimPercentile(CF_I,$B108)),_xll.VoseSimPercentile(CF_I,$B108),NA())</f>
        <v>40.097001692413066</v>
      </c>
    </row>
    <row r="109" spans="2:6" hidden="1" outlineLevel="1" x14ac:dyDescent="0.45">
      <c r="B109" s="79">
        <v>0.56999999999999995</v>
      </c>
      <c r="C109" s="79">
        <f t="shared" si="0"/>
        <v>0.43000000000000005</v>
      </c>
      <c r="D109" s="80" cm="1">
        <f t="array" aca="1" ref="D109" ca="1">IF(ISNUMBER(_xll.VoseSimPercentile(CF_U,$B109)),_xll.VoseSimPercentile(CF_U,$B109),NA())</f>
        <v>40.580776140315031</v>
      </c>
      <c r="E109" s="80" cm="1">
        <f t="array" aca="1" ref="E109" ca="1">IF(ISNUMBER(_xll.VoseSimPercentile(CF_H,$B109)),_xll.VoseSimPercentile(CF_H,$B109),NA())</f>
        <v>32.918942171998943</v>
      </c>
      <c r="F109" s="80" cm="1">
        <f t="array" aca="1" ref="F109" ca="1">IF(ISNUMBER(_xll.VoseSimPercentile(CF_I,$B109)),_xll.VoseSimPercentile(CF_I,$B109),NA())</f>
        <v>42.445551766979065</v>
      </c>
    </row>
    <row r="110" spans="2:6" hidden="1" outlineLevel="1" x14ac:dyDescent="0.45">
      <c r="B110" s="79">
        <v>0.59</v>
      </c>
      <c r="C110" s="79">
        <f t="shared" si="0"/>
        <v>0.41000000000000003</v>
      </c>
      <c r="D110" s="80" cm="1">
        <f t="array" aca="1" ref="D110" ca="1">IF(ISNUMBER(_xll.VoseSimPercentile(CF_U,$B110)),_xll.VoseSimPercentile(CF_U,$B110),NA())</f>
        <v>42.452220562723895</v>
      </c>
      <c r="E110" s="80" cm="1">
        <f t="array" aca="1" ref="E110" ca="1">IF(ISNUMBER(_xll.VoseSimPercentile(CF_H,$B110)),_xll.VoseSimPercentile(CF_H,$B110),NA())</f>
        <v>33.854664383203342</v>
      </c>
      <c r="F110" s="80" cm="1">
        <f t="array" aca="1" ref="F110" ca="1">IF(ISNUMBER(_xll.VoseSimPercentile(CF_I,$B110)),_xll.VoseSimPercentile(CF_I,$B110),NA())</f>
        <v>44.757452522997816</v>
      </c>
    </row>
    <row r="111" spans="2:6" hidden="1" outlineLevel="1" x14ac:dyDescent="0.45">
      <c r="B111" s="79">
        <v>0.61</v>
      </c>
      <c r="C111" s="79">
        <f t="shared" si="0"/>
        <v>0.39</v>
      </c>
      <c r="D111" s="80" cm="1">
        <f t="array" aca="1" ref="D111" ca="1">IF(ISNUMBER(_xll.VoseSimPercentile(CF_U,$B111)),_xll.VoseSimPercentile(CF_U,$B111),NA())</f>
        <v>44.44440790814695</v>
      </c>
      <c r="E111" s="80" cm="1">
        <f t="array" aca="1" ref="E111" ca="1">IF(ISNUMBER(_xll.VoseSimPercentile(CF_H,$B111)),_xll.VoseSimPercentile(CF_H,$B111),NA())</f>
        <v>34.850758055914881</v>
      </c>
      <c r="F111" s="80" cm="1">
        <f t="array" aca="1" ref="F111" ca="1">IF(ISNUMBER(_xll.VoseSimPercentile(CF_I,$B111)),_xll.VoseSimPercentile(CF_I,$B111),NA())</f>
        <v>47.056617495803671</v>
      </c>
    </row>
    <row r="112" spans="2:6" hidden="1" outlineLevel="1" x14ac:dyDescent="0.45">
      <c r="B112" s="79">
        <v>0.63</v>
      </c>
      <c r="C112" s="79">
        <f t="shared" si="0"/>
        <v>0.37</v>
      </c>
      <c r="D112" s="80" cm="1">
        <f t="array" aca="1" ref="D112" ca="1">IF(ISNUMBER(_xll.VoseSimPercentile(CF_U,$B112)),_xll.VoseSimPercentile(CF_U,$B112),NA())</f>
        <v>46.333211636575982</v>
      </c>
      <c r="E112" s="80" cm="1">
        <f t="array" aca="1" ref="E112" ca="1">IF(ISNUMBER(_xll.VoseSimPercentile(CF_H,$B112)),_xll.VoseSimPercentile(CF_H,$B112),NA())</f>
        <v>35.795159920129372</v>
      </c>
      <c r="F112" s="80" cm="1">
        <f t="array" aca="1" ref="F112" ca="1">IF(ISNUMBER(_xll.VoseSimPercentile(CF_I,$B112)),_xll.VoseSimPercentile(CF_I,$B112),NA())</f>
        <v>49.394371247511636</v>
      </c>
    </row>
    <row r="113" spans="2:6" hidden="1" outlineLevel="1" x14ac:dyDescent="0.45">
      <c r="B113" s="79">
        <v>0.65</v>
      </c>
      <c r="C113" s="79">
        <f t="shared" ref="C113:C144" si="1">1-B113</f>
        <v>0.35</v>
      </c>
      <c r="D113" s="80" cm="1">
        <f t="array" aca="1" ref="D113" ca="1">IF(ISNUMBER(_xll.VoseSimPercentile(CF_U,$B113)),_xll.VoseSimPercentile(CF_U,$B113),NA())</f>
        <v>48.344489806747092</v>
      </c>
      <c r="E113" s="80" cm="1">
        <f t="array" aca="1" ref="E113" ca="1">IF(ISNUMBER(_xll.VoseSimPercentile(CF_H,$B113)),_xll.VoseSimPercentile(CF_H,$B113),NA())</f>
        <v>36.800799005214955</v>
      </c>
      <c r="F113" s="80" cm="1">
        <f t="array" aca="1" ref="F113" ca="1">IF(ISNUMBER(_xll.VoseSimPercentile(CF_I,$B113)),_xll.VoseSimPercentile(CF_I,$B113),NA())</f>
        <v>52.17943658973828</v>
      </c>
    </row>
    <row r="114" spans="2:6" hidden="1" outlineLevel="1" x14ac:dyDescent="0.45">
      <c r="B114" s="79">
        <v>0.67</v>
      </c>
      <c r="C114" s="79">
        <f t="shared" si="1"/>
        <v>0.32999999999999996</v>
      </c>
      <c r="D114" s="80" cm="1">
        <f t="array" aca="1" ref="D114" ca="1">IF(ISNUMBER(_xll.VoseSimPercentile(CF_U,$B114)),_xll.VoseSimPercentile(CF_U,$B114),NA())</f>
        <v>50.15997613495626</v>
      </c>
      <c r="E114" s="80" cm="1">
        <f t="array" aca="1" ref="E114" ca="1">IF(ISNUMBER(_xll.VoseSimPercentile(CF_H,$B114)),_xll.VoseSimPercentile(CF_H,$B114),NA())</f>
        <v>37.708542169319522</v>
      </c>
      <c r="F114" s="80" cm="1">
        <f t="array" aca="1" ref="F114" ca="1">IF(ISNUMBER(_xll.VoseSimPercentile(CF_I,$B114)),_xll.VoseSimPercentile(CF_I,$B114),NA())</f>
        <v>54.541170547130086</v>
      </c>
    </row>
    <row r="115" spans="2:6" hidden="1" outlineLevel="1" x14ac:dyDescent="0.45">
      <c r="B115" s="79">
        <v>0.69</v>
      </c>
      <c r="C115" s="79">
        <f t="shared" si="1"/>
        <v>0.31000000000000005</v>
      </c>
      <c r="D115" s="80" cm="1">
        <f t="array" aca="1" ref="D115" ca="1">IF(ISNUMBER(_xll.VoseSimPercentile(CF_U,$B115)),_xll.VoseSimPercentile(CF_U,$B115),NA())</f>
        <v>52.274094662534118</v>
      </c>
      <c r="E115" s="80" cm="1">
        <f t="array" aca="1" ref="E115" ca="1">IF(ISNUMBER(_xll.VoseSimPercentile(CF_H,$B115)),_xll.VoseSimPercentile(CF_H,$B115),NA())</f>
        <v>38.765601433108458</v>
      </c>
      <c r="F115" s="80" cm="1">
        <f t="array" aca="1" ref="F115" ca="1">IF(ISNUMBER(_xll.VoseSimPercentile(CF_I,$B115)),_xll.VoseSimPercentile(CF_I,$B115),NA())</f>
        <v>57.425337142716032</v>
      </c>
    </row>
    <row r="116" spans="2:6" hidden="1" outlineLevel="1" x14ac:dyDescent="0.45">
      <c r="B116" s="79">
        <v>0.71</v>
      </c>
      <c r="C116" s="79">
        <f t="shared" si="1"/>
        <v>0.29000000000000004</v>
      </c>
      <c r="D116" s="80" cm="1">
        <f t="array" aca="1" ref="D116" ca="1">IF(ISNUMBER(_xll.VoseSimPercentile(CF_U,$B116)),_xll.VoseSimPercentile(CF_U,$B116),NA())</f>
        <v>54.711443052984031</v>
      </c>
      <c r="E116" s="80" cm="1">
        <f t="array" aca="1" ref="E116" ca="1">IF(ISNUMBER(_xll.VoseSimPercentile(CF_H,$B116)),_xll.VoseSimPercentile(CF_H,$B116),NA())</f>
        <v>39.984275628333428</v>
      </c>
      <c r="F116" s="80" cm="1">
        <f t="array" aca="1" ref="F116" ca="1">IF(ISNUMBER(_xll.VoseSimPercentile(CF_I,$B116)),_xll.VoseSimPercentile(CF_I,$B116),NA())</f>
        <v>60.06992752106013</v>
      </c>
    </row>
    <row r="117" spans="2:6" hidden="1" outlineLevel="1" x14ac:dyDescent="0.45">
      <c r="B117" s="79">
        <v>0.73</v>
      </c>
      <c r="C117" s="79">
        <f t="shared" si="1"/>
        <v>0.27</v>
      </c>
      <c r="D117" s="80" cm="1">
        <f t="array" aca="1" ref="D117" ca="1">IF(ISNUMBER(_xll.VoseSimPercentile(CF_U,$B117)),_xll.VoseSimPercentile(CF_U,$B117),NA())</f>
        <v>56.930789561494691</v>
      </c>
      <c r="E117" s="80" cm="1">
        <f t="array" aca="1" ref="E117" ca="1">IF(ISNUMBER(_xll.VoseSimPercentile(CF_H,$B117)),_xll.VoseSimPercentile(CF_H,$B117),NA())</f>
        <v>41.093948882588734</v>
      </c>
      <c r="F117" s="80" cm="1">
        <f t="array" aca="1" ref="F117" ca="1">IF(ISNUMBER(_xll.VoseSimPercentile(CF_I,$B117)),_xll.VoseSimPercentile(CF_I,$B117),NA())</f>
        <v>62.560287055053266</v>
      </c>
    </row>
    <row r="118" spans="2:6" hidden="1" outlineLevel="1" x14ac:dyDescent="0.45">
      <c r="B118" s="79">
        <v>0.75</v>
      </c>
      <c r="C118" s="79">
        <f t="shared" si="1"/>
        <v>0.25</v>
      </c>
      <c r="D118" s="80" cm="1">
        <f t="array" aca="1" ref="D118" ca="1">IF(ISNUMBER(_xll.VoseSimPercentile(CF_U,$B118)),_xll.VoseSimPercentile(CF_U,$B118),NA())</f>
        <v>59.379185427439197</v>
      </c>
      <c r="E118" s="80" cm="1">
        <f t="array" aca="1" ref="E118" ca="1">IF(ISNUMBER(_xll.VoseSimPercentile(CF_H,$B118)),_xll.VoseSimPercentile(CF_H,$B118),NA())</f>
        <v>42.318146815561015</v>
      </c>
      <c r="F118" s="80" cm="1">
        <f t="array" aca="1" ref="F118" ca="1">IF(ISNUMBER(_xll.VoseSimPercentile(CF_I,$B118)),_xll.VoseSimPercentile(CF_I,$B118),NA())</f>
        <v>65.170247830350647</v>
      </c>
    </row>
    <row r="119" spans="2:6" hidden="1" outlineLevel="1" x14ac:dyDescent="0.45">
      <c r="B119" s="79">
        <v>0.77</v>
      </c>
      <c r="C119" s="79">
        <f t="shared" si="1"/>
        <v>0.22999999999999998</v>
      </c>
      <c r="D119" s="80" cm="1">
        <f t="array" aca="1" ref="D119" ca="1">IF(ISNUMBER(_xll.VoseSimPercentile(CF_U,$B119)),_xll.VoseSimPercentile(CF_U,$B119),NA())</f>
        <v>61.83887884586796</v>
      </c>
      <c r="E119" s="80" cm="1">
        <f t="array" aca="1" ref="E119" ca="1">IF(ISNUMBER(_xll.VoseSimPercentile(CF_H,$B119)),_xll.VoseSimPercentile(CF_H,$B119),NA())</f>
        <v>43.547993524775393</v>
      </c>
      <c r="F119" s="80" cm="1">
        <f t="array" aca="1" ref="F119" ca="1">IF(ISNUMBER(_xll.VoseSimPercentile(CF_I,$B119)),_xll.VoseSimPercentile(CF_I,$B119),NA())</f>
        <v>68.535583350348347</v>
      </c>
    </row>
    <row r="120" spans="2:6" hidden="1" outlineLevel="1" x14ac:dyDescent="0.45">
      <c r="B120" s="79">
        <v>0.79</v>
      </c>
      <c r="C120" s="79">
        <f t="shared" si="1"/>
        <v>0.20999999999999996</v>
      </c>
      <c r="D120" s="80" cm="1">
        <f t="array" aca="1" ref="D120" ca="1">IF(ISNUMBER(_xll.VoseSimPercentile(CF_U,$B120)),_xll.VoseSimPercentile(CF_U,$B120),NA())</f>
        <v>64.373786100839965</v>
      </c>
      <c r="E120" s="80" cm="1">
        <f t="array" aca="1" ref="E120" ca="1">IF(ISNUMBER(_xll.VoseSimPercentile(CF_H,$B120)),_xll.VoseSimPercentile(CF_H,$B120),NA())</f>
        <v>44.815447152261363</v>
      </c>
      <c r="F120" s="80" cm="1">
        <f t="array" aca="1" ref="F120" ca="1">IF(ISNUMBER(_xll.VoseSimPercentile(CF_I,$B120)),_xll.VoseSimPercentile(CF_I,$B120),NA())</f>
        <v>71.642428605274389</v>
      </c>
    </row>
    <row r="121" spans="2:6" hidden="1" outlineLevel="1" x14ac:dyDescent="0.45">
      <c r="B121" s="79">
        <v>0.81</v>
      </c>
      <c r="C121" s="79">
        <f t="shared" si="1"/>
        <v>0.18999999999999995</v>
      </c>
      <c r="D121" s="80" cm="1">
        <f t="array" aca="1" ref="D121" ca="1">IF(ISNUMBER(_xll.VoseSimPercentile(CF_U,$B121)),_xll.VoseSimPercentile(CF_U,$B121),NA())</f>
        <v>67.117405390064889</v>
      </c>
      <c r="E121" s="80" cm="1">
        <f t="array" aca="1" ref="E121" ca="1">IF(ISNUMBER(_xll.VoseSimPercentile(CF_H,$B121)),_xll.VoseSimPercentile(CF_H,$B121),NA())</f>
        <v>46.187256796873839</v>
      </c>
      <c r="F121" s="80" cm="1">
        <f t="array" aca="1" ref="F121" ca="1">IF(ISNUMBER(_xll.VoseSimPercentile(CF_I,$B121)),_xll.VoseSimPercentile(CF_I,$B121),NA())</f>
        <v>75.114747901014752</v>
      </c>
    </row>
    <row r="122" spans="2:6" hidden="1" outlineLevel="1" x14ac:dyDescent="0.45">
      <c r="B122" s="79">
        <v>0.83</v>
      </c>
      <c r="C122" s="79">
        <f t="shared" si="1"/>
        <v>0.17000000000000004</v>
      </c>
      <c r="D122" s="80" cm="1">
        <f t="array" aca="1" ref="D122" ca="1">IF(ISNUMBER(_xll.VoseSimPercentile(CF_U,$B122)),_xll.VoseSimPercentile(CF_U,$B122),NA())</f>
        <v>70.150565505183195</v>
      </c>
      <c r="E122" s="80" cm="1">
        <f t="array" aca="1" ref="E122" ca="1">IF(ISNUMBER(_xll.VoseSimPercentile(CF_H,$B122)),_xll.VoseSimPercentile(CF_H,$B122),NA())</f>
        <v>47.703836854433007</v>
      </c>
      <c r="F122" s="80" cm="1">
        <f t="array" aca="1" ref="F122" ca="1">IF(ISNUMBER(_xll.VoseSimPercentile(CF_I,$B122)),_xll.VoseSimPercentile(CF_I,$B122),NA())</f>
        <v>79.153512203865475</v>
      </c>
    </row>
    <row r="123" spans="2:6" hidden="1" outlineLevel="1" x14ac:dyDescent="0.45">
      <c r="B123" s="79">
        <v>0.85</v>
      </c>
      <c r="C123" s="79">
        <f t="shared" si="1"/>
        <v>0.15000000000000002</v>
      </c>
      <c r="D123" s="80" cm="1">
        <f t="array" aca="1" ref="D123" ca="1">IF(ISNUMBER(_xll.VoseSimPercentile(CF_U,$B123)),_xll.VoseSimPercentile(CF_U,$B123),NA())</f>
        <v>73.897286152520309</v>
      </c>
      <c r="E123" s="80" cm="1">
        <f t="array" aca="1" ref="E123" ca="1">IF(ISNUMBER(_xll.VoseSimPercentile(CF_H,$B123)),_xll.VoseSimPercentile(CF_H,$B123),NA())</f>
        <v>49.577197178101557</v>
      </c>
      <c r="F123" s="80" cm="1">
        <f t="array" aca="1" ref="F123" ca="1">IF(ISNUMBER(_xll.VoseSimPercentile(CF_I,$B123)),_xll.VoseSimPercentile(CF_I,$B123),NA())</f>
        <v>83.255840151735498</v>
      </c>
    </row>
    <row r="124" spans="2:6" hidden="1" outlineLevel="1" x14ac:dyDescent="0.45">
      <c r="B124" s="79">
        <v>0.87</v>
      </c>
      <c r="C124" s="79">
        <f t="shared" si="1"/>
        <v>0.13</v>
      </c>
      <c r="D124" s="80" cm="1">
        <f t="array" aca="1" ref="D124" ca="1">IF(ISNUMBER(_xll.VoseSimPercentile(CF_U,$B124)),_xll.VoseSimPercentile(CF_U,$B124),NA())</f>
        <v>77.30588339725027</v>
      </c>
      <c r="E124" s="80" cm="1">
        <f t="array" aca="1" ref="E124" ca="1">IF(ISNUMBER(_xll.VoseSimPercentile(CF_H,$B124)),_xll.VoseSimPercentile(CF_H,$B124),NA())</f>
        <v>51.281495800466566</v>
      </c>
      <c r="F124" s="80" cm="1">
        <f t="array" aca="1" ref="F124" ca="1">IF(ISNUMBER(_xll.VoseSimPercentile(CF_I,$B124)),_xll.VoseSimPercentile(CF_I,$B124),NA())</f>
        <v>87.981571031822298</v>
      </c>
    </row>
    <row r="125" spans="2:6" hidden="1" outlineLevel="1" x14ac:dyDescent="0.45">
      <c r="B125" s="79">
        <v>0.89</v>
      </c>
      <c r="C125" s="79">
        <f t="shared" si="1"/>
        <v>0.10999999999999999</v>
      </c>
      <c r="D125" s="80" cm="1">
        <f t="array" aca="1" ref="D125" ca="1">IF(ISNUMBER(_xll.VoseSimPercentile(CF_U,$B125)),_xll.VoseSimPercentile(CF_U,$B125),NA())</f>
        <v>81.808426386415732</v>
      </c>
      <c r="E125" s="80" cm="1">
        <f t="array" aca="1" ref="E125" ca="1">IF(ISNUMBER(_xll.VoseSimPercentile(CF_H,$B125)),_xll.VoseSimPercentile(CF_H,$B125),NA())</f>
        <v>53.532767295049261</v>
      </c>
      <c r="F125" s="80" cm="1">
        <f t="array" aca="1" ref="F125" ca="1">IF(ISNUMBER(_xll.VoseSimPercentile(CF_I,$B125)),_xll.VoseSimPercentile(CF_I,$B125),NA())</f>
        <v>93.910435084151032</v>
      </c>
    </row>
    <row r="126" spans="2:6" hidden="1" outlineLevel="1" x14ac:dyDescent="0.45">
      <c r="B126" s="79">
        <v>0.91</v>
      </c>
      <c r="C126" s="79">
        <f t="shared" si="1"/>
        <v>8.9999999999999969E-2</v>
      </c>
      <c r="D126" s="80" cm="1">
        <f t="array" aca="1" ref="D126" ca="1">IF(ISNUMBER(_xll.VoseSimPercentile(CF_U,$B126)),_xll.VoseSimPercentile(CF_U,$B126),NA())</f>
        <v>86.722562567115631</v>
      </c>
      <c r="E126" s="80" cm="1">
        <f t="array" aca="1" ref="E126" ca="1">IF(ISNUMBER(_xll.VoseSimPercentile(CF_H,$B126)),_xll.VoseSimPercentile(CF_H,$B126),NA())</f>
        <v>55.989835385399203</v>
      </c>
      <c r="F126" s="80" cm="1">
        <f t="array" aca="1" ref="F126" ca="1">IF(ISNUMBER(_xll.VoseSimPercentile(CF_I,$B126)),_xll.VoseSimPercentile(CF_I,$B126),NA())</f>
        <v>99.122496441422854</v>
      </c>
    </row>
    <row r="127" spans="2:6" hidden="1" outlineLevel="1" x14ac:dyDescent="0.45">
      <c r="B127" s="79">
        <v>0.93</v>
      </c>
      <c r="C127" s="79">
        <f t="shared" si="1"/>
        <v>6.9999999999999951E-2</v>
      </c>
      <c r="D127" s="80" cm="1">
        <f t="array" aca="1" ref="D127" ca="1">IF(ISNUMBER(_xll.VoseSimPercentile(CF_U,$B127)),_xll.VoseSimPercentile(CF_U,$B127),NA())</f>
        <v>92.200848551827363</v>
      </c>
      <c r="E127" s="80" cm="1">
        <f t="array" aca="1" ref="E127" ca="1">IF(ISNUMBER(_xll.VoseSimPercentile(CF_H,$B127)),_xll.VoseSimPercentile(CF_H,$B127),NA())</f>
        <v>58.728978377755077</v>
      </c>
      <c r="F127" s="80" cm="1">
        <f t="array" aca="1" ref="F127" ca="1">IF(ISNUMBER(_xll.VoseSimPercentile(CF_I,$B127)),_xll.VoseSimPercentile(CF_I,$B127),NA())</f>
        <v>105.58619332527682</v>
      </c>
    </row>
    <row r="128" spans="2:6" hidden="1" outlineLevel="1" x14ac:dyDescent="0.45">
      <c r="B128" s="79">
        <v>0.95</v>
      </c>
      <c r="C128" s="79">
        <f t="shared" si="1"/>
        <v>5.0000000000000044E-2</v>
      </c>
      <c r="D128" s="80" cm="1">
        <f t="array" aca="1" ref="D128" ca="1">IF(ISNUMBER(_xll.VoseSimPercentile(CF_U,$B128)),_xll.VoseSimPercentile(CF_U,$B128),NA())</f>
        <v>99.870484067032805</v>
      </c>
      <c r="E128" s="80" cm="1">
        <f t="array" aca="1" ref="E128" ca="1">IF(ISNUMBER(_xll.VoseSimPercentile(CF_H,$B128)),_xll.VoseSimPercentile(CF_H,$B128),NA())</f>
        <v>62.563796135357784</v>
      </c>
      <c r="F128" s="80" cm="1">
        <f t="array" aca="1" ref="F128" ca="1">IF(ISNUMBER(_xll.VoseSimPercentile(CF_I,$B128)),_xll.VoseSimPercentile(CF_I,$B128),NA())</f>
        <v>114.98929531819829</v>
      </c>
    </row>
    <row r="129" spans="2:7" hidden="1" outlineLevel="1" x14ac:dyDescent="0.45">
      <c r="B129" s="79">
        <v>0.97</v>
      </c>
      <c r="C129" s="79">
        <f t="shared" si="1"/>
        <v>3.0000000000000027E-2</v>
      </c>
      <c r="D129" s="80" cm="1">
        <f t="array" aca="1" ref="D129" ca="1">IF(ISNUMBER(_xll.VoseSimPercentile(CF_U,$B129)),_xll.VoseSimPercentile(CF_U,$B129),NA())</f>
        <v>110.39267902177674</v>
      </c>
      <c r="E129" s="80" cm="1">
        <f t="array" aca="1" ref="E129" ca="1">IF(ISNUMBER(_xll.VoseSimPercentile(CF_H,$B129)),_xll.VoseSimPercentile(CF_H,$B129),NA())</f>
        <v>67.824893612729767</v>
      </c>
      <c r="F129" s="80" cm="1">
        <f t="array" aca="1" ref="F129" ca="1">IF(ISNUMBER(_xll.VoseSimPercentile(CF_I,$B129)),_xll.VoseSimPercentile(CF_I,$B129),NA())</f>
        <v>126.50987167980604</v>
      </c>
    </row>
    <row r="130" spans="2:7" hidden="1" outlineLevel="1" x14ac:dyDescent="0.45">
      <c r="B130" s="79">
        <v>0.99</v>
      </c>
      <c r="C130" s="79">
        <f t="shared" si="1"/>
        <v>1.0000000000000009E-2</v>
      </c>
      <c r="D130" s="80" cm="1">
        <f t="array" aca="1" ref="D130" ca="1">IF(ISNUMBER(_xll.VoseSimPercentile(CF_U,$B130)),_xll.VoseSimPercentile(CF_U,$B130),NA())</f>
        <v>132.0125922752573</v>
      </c>
      <c r="E130" s="80" cm="1">
        <f t="array" aca="1" ref="E130" ca="1">IF(ISNUMBER(_xll.VoseSimPercentile(CF_H,$B130)),_xll.VoseSimPercentile(CF_H,$B130),NA())</f>
        <v>78.634850239470055</v>
      </c>
      <c r="F130" s="80" cm="1">
        <f t="array" aca="1" ref="F130" ca="1">IF(ISNUMBER(_xll.VoseSimPercentile(CF_I,$B130)),_xll.VoseSimPercentile(CF_I,$B130),NA())</f>
        <v>151.91976236030956</v>
      </c>
    </row>
    <row r="131" spans="2:7" hidden="1" outlineLevel="1" x14ac:dyDescent="0.45"/>
    <row r="132" spans="2:7" hidden="1" outlineLevel="1" x14ac:dyDescent="0.45">
      <c r="B132" s="81" t="s">
        <v>254</v>
      </c>
      <c r="D132" s="82" cm="1">
        <f t="array" aca="1" ref="D132" ca="1">_xll.VoseSimMean(CF_U)</f>
        <v>35.607739879338261</v>
      </c>
    </row>
    <row r="133" spans="2:7" ht="18" hidden="1" customHeight="1" outlineLevel="1" x14ac:dyDescent="0.45">
      <c r="B133" s="23" t="s">
        <v>255</v>
      </c>
      <c r="C133" s="5"/>
      <c r="D133" s="5"/>
      <c r="E133" s="5"/>
      <c r="F133" s="24" t="s">
        <v>256</v>
      </c>
      <c r="G133" s="24" t="s">
        <v>257</v>
      </c>
    </row>
    <row r="134" spans="2:7" hidden="1" outlineLevel="1" x14ac:dyDescent="0.45">
      <c r="B134" s="83" t="str">
        <f ca="1">B60</f>
        <v>Уровень EUR/USD</v>
      </c>
      <c r="F134" s="84">
        <f ca="1">IFERROR(D60-$D$132,NA())</f>
        <v>63.203403429276868</v>
      </c>
      <c r="G134" s="84">
        <f ca="1">IFERROR(C60-$D$132,NA())</f>
        <v>-53.613081693630235</v>
      </c>
    </row>
    <row r="135" spans="2:7" hidden="1" outlineLevel="1" x14ac:dyDescent="0.45">
      <c r="B135" s="83" t="str">
        <f ca="1">B61</f>
        <v>Уровень Euribor</v>
      </c>
      <c r="F135" s="84">
        <f ca="1">IFERROR(D61-$D$132,NA())</f>
        <v>5.7322217969520608</v>
      </c>
      <c r="G135" s="84">
        <f ca="1">IFERROR(C61-$D$132,NA())</f>
        <v>-8.2798664658693113</v>
      </c>
    </row>
    <row r="136" spans="2:7" hidden="1" outlineLevel="1" x14ac:dyDescent="0.45">
      <c r="B136" s="83" t="str">
        <f ca="1">B62</f>
        <v>Уровень EUR/GBP</v>
      </c>
      <c r="F136" s="84">
        <f ca="1">IFERROR(D62-$D$132,NA())</f>
        <v>6.4751424369908506</v>
      </c>
      <c r="G136" s="84">
        <f ca="1">IFERROR(C62-$D$132,NA())</f>
        <v>-5.1566797124257988</v>
      </c>
    </row>
    <row r="137" spans="2:7" hidden="1" outlineLevel="1" x14ac:dyDescent="0.45"/>
    <row r="138" spans="2:7" ht="28.05" hidden="1" customHeight="1" outlineLevel="1" x14ac:dyDescent="0.45">
      <c r="B138" s="23" t="s">
        <v>258</v>
      </c>
      <c r="C138" s="24" t="s">
        <v>259</v>
      </c>
      <c r="D138" s="24" t="s">
        <v>228</v>
      </c>
      <c r="E138" s="24" t="s">
        <v>260</v>
      </c>
      <c r="F138" s="24" t="s">
        <v>209</v>
      </c>
      <c r="G138" s="5"/>
    </row>
    <row r="139" spans="2:7" hidden="1" outlineLevel="1" x14ac:dyDescent="0.45">
      <c r="B139" s="83">
        <f>'Денежный поток'!F6</f>
        <v>1</v>
      </c>
      <c r="C139" s="80" cm="1">
        <f t="array" aca="1" ref="C139" ca="1">IF(ISNUMBER(_xll.VoseSimPercentile('Денежный поток'!F42,0.1)),_xll.VoseSimPercentile('Денежный поток'!F42,0.1),NA())</f>
        <v>0.94327331634304201</v>
      </c>
      <c r="D139" s="80" cm="1">
        <f t="array" aca="1" ref="D139" ca="1">IF(ISNUMBER(_xll.VoseSimPercentile('Денежный поток'!F42,0.5)),_xll.VoseSimPercentile('Денежный поток'!F42,0.5),NA())</f>
        <v>2.7082824040715372</v>
      </c>
      <c r="E139" s="80" cm="1">
        <f t="array" aca="1" ref="E139" ca="1">IF(ISNUMBER(_xll.VoseSimPercentile('Денежный поток'!F42,0.9)),_xll.VoseSimPercentile('Денежный поток'!F42,0.9),NA())</f>
        <v>4.6107048191726347</v>
      </c>
      <c r="F139" s="80" cm="1">
        <f t="array" aca="1" ref="F139" ca="1">IF(ISNUMBER(_xll.VoseSimMean('Денежный поток'!F42)),_xll.VoseSimMean('Денежный поток'!F42),NA())</f>
        <v>2.7499260634335414</v>
      </c>
    </row>
    <row r="140" spans="2:7" hidden="1" outlineLevel="1" x14ac:dyDescent="0.45">
      <c r="B140" s="83">
        <f>'Денежный поток'!G6</f>
        <v>2</v>
      </c>
      <c r="C140" s="80" cm="1">
        <f t="array" aca="1" ref="C140" ca="1">IF(ISNUMBER(_xll.VoseSimPercentile('Денежный поток'!G42,0.1)),_xll.VoseSimPercentile('Денежный поток'!G42,0.1),NA())</f>
        <v>0.2141325348761951</v>
      </c>
      <c r="D140" s="80" cm="1">
        <f t="array" aca="1" ref="D140" ca="1">IF(ISNUMBER(_xll.VoseSimPercentile('Денежный поток'!G42,0.5)),_xll.VoseSimPercentile('Денежный поток'!G42,0.5),NA())</f>
        <v>2.6871899016785203</v>
      </c>
      <c r="E140" s="80" cm="1">
        <f t="array" aca="1" ref="E140" ca="1">IF(ISNUMBER(_xll.VoseSimPercentile('Денежный поток'!G42,0.9)),_xll.VoseSimPercentile('Денежный поток'!G42,0.9),NA())</f>
        <v>5.4183713775908888</v>
      </c>
      <c r="F140" s="80" cm="1">
        <f t="array" aca="1" ref="F140" ca="1">IF(ISNUMBER(_xll.VoseSimMean('Денежный поток'!G42)),_xll.VoseSimMean('Денежный поток'!G42),NA())</f>
        <v>2.7774417964998221</v>
      </c>
    </row>
    <row r="141" spans="2:7" hidden="1" outlineLevel="1" x14ac:dyDescent="0.45">
      <c r="B141" s="83">
        <f>'Денежный поток'!H6</f>
        <v>3</v>
      </c>
      <c r="C141" s="80" cm="1">
        <f t="array" aca="1" ref="C141" ca="1">IF(ISNUMBER(_xll.VoseSimPercentile('Денежный поток'!H42,0.1)),_xll.VoseSimPercentile('Денежный поток'!H42,0.1),NA())</f>
        <v>-0.31535570942973656</v>
      </c>
      <c r="D141" s="80" cm="1">
        <f t="array" aca="1" ref="D141" ca="1">IF(ISNUMBER(_xll.VoseSimPercentile('Денежный поток'!H42,0.5)),_xll.VoseSimPercentile('Денежный поток'!H42,0.5),NA())</f>
        <v>2.70825274396049</v>
      </c>
      <c r="E141" s="80" cm="1">
        <f t="array" aca="1" ref="E141" ca="1">IF(ISNUMBER(_xll.VoseSimPercentile('Денежный поток'!H42,0.9)),_xll.VoseSimPercentile('Денежный поток'!H42,0.9),NA())</f>
        <v>6.0733661159232906</v>
      </c>
      <c r="F141" s="80" cm="1">
        <f t="array" aca="1" ref="F141" ca="1">IF(ISNUMBER(_xll.VoseSimMean('Денежный поток'!H42)),_xll.VoseSimMean('Денежный поток'!H42),NA())</f>
        <v>2.8209572676562371</v>
      </c>
    </row>
    <row r="142" spans="2:7" hidden="1" outlineLevel="1" x14ac:dyDescent="0.45">
      <c r="B142" s="83">
        <f>'Денежный поток'!I6</f>
        <v>4</v>
      </c>
      <c r="C142" s="80" cm="1">
        <f t="array" aca="1" ref="C142" ca="1">IF(ISNUMBER(_xll.VoseSimPercentile('Денежный поток'!I42,0.1)),_xll.VoseSimPercentile('Денежный поток'!I42,0.1),NA())</f>
        <v>-0.78474510100627848</v>
      </c>
      <c r="D142" s="80" cm="1">
        <f t="array" aca="1" ref="D142" ca="1">IF(ISNUMBER(_xll.VoseSimPercentile('Денежный поток'!I42,0.5)),_xll.VoseSimPercentile('Денежный поток'!I42,0.5),NA())</f>
        <v>2.7200656442240416</v>
      </c>
      <c r="E142" s="80" cm="1">
        <f t="array" aca="1" ref="E142" ca="1">IF(ISNUMBER(_xll.VoseSimPercentile('Денежный поток'!I42,0.9)),_xll.VoseSimPercentile('Денежный поток'!I42,0.9),NA())</f>
        <v>6.5860466394790311</v>
      </c>
      <c r="F142" s="80" cm="1">
        <f t="array" aca="1" ref="F142" ca="1">IF(ISNUMBER(_xll.VoseSimMean('Денежный поток'!I42)),_xll.VoseSimMean('Денежный поток'!I42),NA())</f>
        <v>2.8580667817108267</v>
      </c>
    </row>
    <row r="143" spans="2:7" hidden="1" outlineLevel="1" x14ac:dyDescent="0.45">
      <c r="B143" s="83">
        <f>'Денежный поток'!J6</f>
        <v>5</v>
      </c>
      <c r="C143" s="80" cm="1">
        <f t="array" aca="1" ref="C143" ca="1">IF(ISNUMBER(_xll.VoseSimPercentile('Денежный поток'!J42,0.1)),_xll.VoseSimPercentile('Денежный поток'!J42,0.1),NA())</f>
        <v>-1.1476896130229615</v>
      </c>
      <c r="D143" s="80" cm="1">
        <f t="array" aca="1" ref="D143" ca="1">IF(ISNUMBER(_xll.VoseSimPercentile('Денежный поток'!J42,0.5)),_xll.VoseSimPercentile('Денежный поток'!J42,0.5),NA())</f>
        <v>2.7247131670980598</v>
      </c>
      <c r="E143" s="80" cm="1">
        <f t="array" aca="1" ref="E143" ca="1">IF(ISNUMBER(_xll.VoseSimPercentile('Денежный поток'!J42,0.9)),_xll.VoseSimPercentile('Денежный поток'!J42,0.9),NA())</f>
        <v>7.1208375904583754</v>
      </c>
      <c r="F143" s="80" cm="1">
        <f t="array" aca="1" ref="F143" ca="1">IF(ISNUMBER(_xll.VoseSimMean('Денежный поток'!J42)),_xll.VoseSimMean('Денежный поток'!J42),NA())</f>
        <v>2.8877517607986052</v>
      </c>
    </row>
    <row r="144" spans="2:7" hidden="1" outlineLevel="1" x14ac:dyDescent="0.45">
      <c r="B144" s="83">
        <f>'Денежный поток'!K6</f>
        <v>6</v>
      </c>
      <c r="C144" s="80" cm="1">
        <f t="array" aca="1" ref="C144" ca="1">IF(ISNUMBER(_xll.VoseSimPercentile('Денежный поток'!K42,0.1)),_xll.VoseSimPercentile('Денежный поток'!K42,0.1),NA())</f>
        <v>-1.5692600895232509</v>
      </c>
      <c r="D144" s="80" cm="1">
        <f t="array" aca="1" ref="D144" ca="1">IF(ISNUMBER(_xll.VoseSimPercentile('Денежный поток'!K42,0.5)),_xll.VoseSimPercentile('Денежный поток'!K42,0.5),NA())</f>
        <v>2.7779349915739062</v>
      </c>
      <c r="E144" s="80" cm="1">
        <f t="array" aca="1" ref="E144" ca="1">IF(ISNUMBER(_xll.VoseSimPercentile('Денежный поток'!K42,0.9)),_xll.VoseSimPercentile('Денежный поток'!K42,0.9),NA())</f>
        <v>7.5408658796027801</v>
      </c>
      <c r="F144" s="80" cm="1">
        <f t="array" aca="1" ref="F144" ca="1">IF(ISNUMBER(_xll.VoseSimMean('Денежный поток'!K42)),_xll.VoseSimMean('Денежный поток'!K42),NA())</f>
        <v>2.9279957821792082</v>
      </c>
    </row>
    <row r="145" spans="2:7" hidden="1" outlineLevel="1" x14ac:dyDescent="0.45">
      <c r="B145" s="83">
        <f>'Денежный поток'!L6</f>
        <v>7</v>
      </c>
      <c r="C145" s="80" cm="1">
        <f t="array" aca="1" ref="C145" ca="1">IF(ISNUMBER(_xll.VoseSimPercentile('Денежный поток'!L42,0.1)),_xll.VoseSimPercentile('Денежный поток'!L42,0.1),NA())</f>
        <v>-1.8226713076824645</v>
      </c>
      <c r="D145" s="80" cm="1">
        <f t="array" aca="1" ref="D145" ca="1">IF(ISNUMBER(_xll.VoseSimPercentile('Денежный поток'!L42,0.5)),_xll.VoseSimPercentile('Денежный поток'!L42,0.5),NA())</f>
        <v>2.7706742726423355</v>
      </c>
      <c r="E145" s="80" cm="1">
        <f t="array" aca="1" ref="E145" ca="1">IF(ISNUMBER(_xll.VoseSimPercentile('Денежный поток'!L42,0.9)),_xll.VoseSimPercentile('Денежный поток'!L42,0.9),NA())</f>
        <v>7.950733110125034</v>
      </c>
      <c r="F145" s="80" cm="1">
        <f t="array" aca="1" ref="F145" ca="1">IF(ISNUMBER(_xll.VoseSimMean('Денежный поток'!L42)),_xll.VoseSimMean('Денежный поток'!L42),NA())</f>
        <v>2.9565739962328279</v>
      </c>
    </row>
    <row r="146" spans="2:7" hidden="1" outlineLevel="1" x14ac:dyDescent="0.45">
      <c r="B146" s="83">
        <f>'Денежный поток'!M6</f>
        <v>8</v>
      </c>
      <c r="C146" s="80" cm="1">
        <f t="array" aca="1" ref="C146" ca="1">IF(ISNUMBER(_xll.VoseSimPercentile('Денежный поток'!M42,0.1)),_xll.VoseSimPercentile('Денежный поток'!M42,0.1),NA())</f>
        <v>-2.2046437586175016</v>
      </c>
      <c r="D146" s="80" cm="1">
        <f t="array" aca="1" ref="D146" ca="1">IF(ISNUMBER(_xll.VoseSimPercentile('Денежный поток'!M42,0.5)),_xll.VoseSimPercentile('Денежный поток'!M42,0.5),NA())</f>
        <v>2.8035123068385603</v>
      </c>
      <c r="E146" s="80" cm="1">
        <f t="array" aca="1" ref="E146" ca="1">IF(ISNUMBER(_xll.VoseSimPercentile('Денежный поток'!M42,0.9)),_xll.VoseSimPercentile('Денежный поток'!M42,0.9),NA())</f>
        <v>8.3538858599398083</v>
      </c>
      <c r="F146" s="80" cm="1">
        <f t="array" aca="1" ref="F146" ca="1">IF(ISNUMBER(_xll.VoseSimMean('Денежный поток'!M42)),_xll.VoseSimMean('Денежный поток'!M42),NA())</f>
        <v>2.9989655255253735</v>
      </c>
    </row>
    <row r="147" spans="2:7" hidden="1" outlineLevel="1" x14ac:dyDescent="0.45">
      <c r="B147" s="83">
        <f>'Денежный поток'!N6</f>
        <v>9</v>
      </c>
      <c r="C147" s="80" cm="1">
        <f t="array" aca="1" ref="C147" ca="1">IF(ISNUMBER(_xll.VoseSimPercentile('Денежный поток'!N42,0.1)),_xll.VoseSimPercentile('Денежный поток'!N42,0.1),NA())</f>
        <v>-2.3857421296405446</v>
      </c>
      <c r="D147" s="80" cm="1">
        <f t="array" aca="1" ref="D147" ca="1">IF(ISNUMBER(_xll.VoseSimPercentile('Денежный поток'!N42,0.5)),_xll.VoseSimPercentile('Денежный поток'!N42,0.5),NA())</f>
        <v>2.8382454355073179</v>
      </c>
      <c r="E147" s="80" cm="1">
        <f t="array" aca="1" ref="E147" ca="1">IF(ISNUMBER(_xll.VoseSimPercentile('Денежный поток'!N42,0.9)),_xll.VoseSimPercentile('Денежный поток'!N42,0.9),NA())</f>
        <v>8.8337546367849882</v>
      </c>
      <c r="F147" s="80" cm="1">
        <f t="array" aca="1" ref="F147" ca="1">IF(ISNUMBER(_xll.VoseSimMean('Денежный поток'!N42)),_xll.VoseSimMean('Денежный поток'!N42),NA())</f>
        <v>3.0779238653013525</v>
      </c>
    </row>
    <row r="148" spans="2:7" hidden="1" outlineLevel="1" x14ac:dyDescent="0.45">
      <c r="B148" s="83">
        <f>'Денежный поток'!O6</f>
        <v>10</v>
      </c>
      <c r="C148" s="80" cm="1">
        <f t="array" aca="1" ref="C148" ca="1">IF(ISNUMBER(_xll.VoseSimPercentile('Денежный поток'!O42,0.1)),_xll.VoseSimPercentile('Денежный поток'!O42,0.1),NA())</f>
        <v>-2.6509141023627927</v>
      </c>
      <c r="D148" s="80" cm="1">
        <f t="array" aca="1" ref="D148" ca="1">IF(ISNUMBER(_xll.VoseSimPercentile('Денежный поток'!O42,0.5)),_xll.VoseSimPercentile('Денежный поток'!O42,0.5),NA())</f>
        <v>2.8812279909438994</v>
      </c>
      <c r="E148" s="80" cm="1">
        <f t="array" aca="1" ref="E148" ca="1">IF(ISNUMBER(_xll.VoseSimPercentile('Денежный поток'!O42,0.9)),_xll.VoseSimPercentile('Денежный поток'!O42,0.9),NA())</f>
        <v>9.2841794851258754</v>
      </c>
      <c r="F148" s="80" cm="1">
        <f t="array" aca="1" ref="F148" ca="1">IF(ISNUMBER(_xll.VoseSimMean('Денежный поток'!O42)),_xll.VoseSimMean('Денежный поток'!O42),NA())</f>
        <v>3.1280685758508664</v>
      </c>
    </row>
    <row r="149" spans="2:7" hidden="1" outlineLevel="1" x14ac:dyDescent="0.45">
      <c r="B149" s="83">
        <f>'Денежный поток'!P6</f>
        <v>11</v>
      </c>
      <c r="C149" s="80" cm="1">
        <f t="array" aca="1" ref="C149" ca="1">IF(ISNUMBER(_xll.VoseSimPercentile('Денежный поток'!P42,0.1)),_xll.VoseSimPercentile('Денежный поток'!P42,0.1),NA())</f>
        <v>-2.8138050411334219</v>
      </c>
      <c r="D149" s="80" cm="1">
        <f t="array" aca="1" ref="D149" ca="1">IF(ISNUMBER(_xll.VoseSimPercentile('Денежный поток'!P42,0.5)),_xll.VoseSimPercentile('Денежный поток'!P42,0.5),NA())</f>
        <v>2.9039890459626911</v>
      </c>
      <c r="E149" s="80" cm="1">
        <f t="array" aca="1" ref="E149" ca="1">IF(ISNUMBER(_xll.VoseSimPercentile('Денежный поток'!P42,0.9)),_xll.VoseSimPercentile('Денежный поток'!P42,0.9),NA())</f>
        <v>9.6728449804805461</v>
      </c>
      <c r="F149" s="80" cm="1">
        <f t="array" aca="1" ref="F149" ca="1">IF(ISNUMBER(_xll.VoseSimMean('Денежный поток'!P42)),_xll.VoseSimMean('Денежный поток'!P42),NA())</f>
        <v>3.183203574602413</v>
      </c>
    </row>
    <row r="150" spans="2:7" hidden="1" outlineLevel="1" x14ac:dyDescent="0.45">
      <c r="B150" s="83">
        <f>'Денежный поток'!Q6</f>
        <v>12</v>
      </c>
      <c r="C150" s="80" cm="1">
        <f t="array" aca="1" ref="C150" ca="1">IF(ISNUMBER(_xll.VoseSimPercentile('Денежный поток'!Q42,0.1)),_xll.VoseSimPercentile('Денежный поток'!Q42,0.1),NA())</f>
        <v>-3.0492919795258016</v>
      </c>
      <c r="D150" s="80" cm="1">
        <f t="array" aca="1" ref="D150" ca="1">IF(ISNUMBER(_xll.VoseSimPercentile('Денежный поток'!Q42,0.5)),_xll.VoseSimPercentile('Денежный поток'!Q42,0.5),NA())</f>
        <v>2.9053037872872598</v>
      </c>
      <c r="E150" s="80" cm="1">
        <f t="array" aca="1" ref="E150" ca="1">IF(ISNUMBER(_xll.VoseSimPercentile('Денежный поток'!Q42,0.9)),_xll.VoseSimPercentile('Денежный поток'!Q42,0.9),NA())</f>
        <v>9.9612744267982762</v>
      </c>
      <c r="F150" s="80" cm="1">
        <f t="array" aca="1" ref="F150" ca="1">IF(ISNUMBER(_xll.VoseSimMean('Денежный поток'!Q42)),_xll.VoseSimMean('Денежный поток'!Q42),NA())</f>
        <v>3.2388399155914378</v>
      </c>
    </row>
    <row r="151" spans="2:7" hidden="1" outlineLevel="1" x14ac:dyDescent="0.45"/>
    <row r="152" spans="2:7" ht="28.05" hidden="1" customHeight="1" outlineLevel="1" x14ac:dyDescent="0.45">
      <c r="B152" s="23" t="s">
        <v>258</v>
      </c>
      <c r="C152" s="24" t="s">
        <v>259</v>
      </c>
      <c r="D152" s="24" t="s">
        <v>228</v>
      </c>
      <c r="E152" s="24" t="s">
        <v>260</v>
      </c>
      <c r="F152" s="24" t="s">
        <v>209</v>
      </c>
      <c r="G152" s="5"/>
    </row>
    <row r="153" spans="2:7" hidden="1" outlineLevel="1" x14ac:dyDescent="0.45">
      <c r="B153" s="83">
        <f>'Денежный поток'!F6</f>
        <v>1</v>
      </c>
      <c r="C153" s="80" cm="1">
        <f t="array" aca="1" ref="C153" ca="1">IF(ISNUMBER(_xll.VoseSimPercentile('Денежный поток'!F31,0.1)),_xll.VoseSimPercentile('Денежный поток'!F31,0.1),NA())</f>
        <v>1.0449238962305232</v>
      </c>
      <c r="D153" s="80" cm="1">
        <f t="array" aca="1" ref="D153" ca="1">IF(ISNUMBER(_xll.VoseSimPercentile('Денежный поток'!F31,0.5)),_xll.VoseSimPercentile('Денежный поток'!F31,0.5),NA())</f>
        <v>1.1000418584525309</v>
      </c>
      <c r="E153" s="80" cm="1">
        <f t="array" aca="1" ref="E153" ca="1">IF(ISNUMBER(_xll.VoseSimPercentile('Денежный поток'!F31,0.9)),_xll.VoseSimPercentile('Денежный поток'!F31,0.9),NA())</f>
        <v>1.1570194466443449</v>
      </c>
      <c r="F153" s="80" cm="1">
        <f t="array" aca="1" ref="F153" ca="1">IF(ISNUMBER(_xll.VoseSimMean('Денежный поток'!F31)),_xll.VoseSimMean('Денежный поток'!F31),NA())</f>
        <v>1.1005741830012374</v>
      </c>
    </row>
    <row r="154" spans="2:7" hidden="1" outlineLevel="1" x14ac:dyDescent="0.45">
      <c r="B154" s="83">
        <f>'Денежный поток'!G6</f>
        <v>2</v>
      </c>
      <c r="C154" s="80" cm="1">
        <f t="array" aca="1" ref="C154" ca="1">IF(ISNUMBER(_xll.VoseSimPercentile('Денежный поток'!G31,0.1)),_xll.VoseSimPercentile('Денежный поток'!G31,0.1),NA())</f>
        <v>1.0216201734308961</v>
      </c>
      <c r="D154" s="80" cm="1">
        <f t="array" aca="1" ref="D154" ca="1">IF(ISNUMBER(_xll.VoseSimPercentile('Денежный поток'!G31,0.5)),_xll.VoseSimPercentile('Денежный поток'!G31,0.5),NA())</f>
        <v>1.098935535151363</v>
      </c>
      <c r="E154" s="80" cm="1">
        <f t="array" aca="1" ref="E154" ca="1">IF(ISNUMBER(_xll.VoseSimPercentile('Денежный поток'!G31,0.9)),_xll.VoseSimPercentile('Денежный поток'!G31,0.9),NA())</f>
        <v>1.182471285660968</v>
      </c>
      <c r="F154" s="80" cm="1">
        <f t="array" aca="1" ref="F154" ca="1">IF(ISNUMBER(_xll.VoseSimMean('Денежный поток'!G31)),_xll.VoseSimMean('Денежный поток'!G31),NA())</f>
        <v>1.1009372471960377</v>
      </c>
    </row>
    <row r="155" spans="2:7" hidden="1" outlineLevel="1" x14ac:dyDescent="0.45">
      <c r="B155" s="83">
        <f>'Денежный поток'!H6</f>
        <v>3</v>
      </c>
      <c r="C155" s="80" cm="1">
        <f t="array" aca="1" ref="C155" ca="1">IF(ISNUMBER(_xll.VoseSimPercentile('Денежный поток'!H31,0.1)),_xll.VoseSimPercentile('Денежный поток'!H31,0.1),NA())</f>
        <v>1.0050817192875157</v>
      </c>
      <c r="D155" s="80" cm="1">
        <f t="array" aca="1" ref="D155" ca="1">IF(ISNUMBER(_xll.VoseSimPercentile('Денежный поток'!H31,0.5)),_xll.VoseSimPercentile('Денежный поток'!H31,0.5),NA())</f>
        <v>1.0984747372873414</v>
      </c>
      <c r="E155" s="80" cm="1">
        <f t="array" aca="1" ref="E155" ca="1">IF(ISNUMBER(_xll.VoseSimPercentile('Денежный поток'!H31,0.9)),_xll.VoseSimPercentile('Денежный поток'!H31,0.9),NA())</f>
        <v>1.1993544023065876</v>
      </c>
      <c r="F155" s="80" cm="1">
        <f t="array" aca="1" ref="F155" ca="1">IF(ISNUMBER(_xll.VoseSimMean('Денежный поток'!H31)),_xll.VoseSimMean('Денежный поток'!H31),NA())</f>
        <v>1.1010521425972741</v>
      </c>
    </row>
    <row r="156" spans="2:7" hidden="1" outlineLevel="1" x14ac:dyDescent="0.45">
      <c r="B156" s="83">
        <f>'Денежный поток'!I6</f>
        <v>4</v>
      </c>
      <c r="C156" s="80" cm="1">
        <f t="array" aca="1" ref="C156" ca="1">IF(ISNUMBER(_xll.VoseSimPercentile('Денежный поток'!I31,0.1)),_xll.VoseSimPercentile('Денежный поток'!I31,0.1),NA())</f>
        <v>0.98911416456979151</v>
      </c>
      <c r="D156" s="80" cm="1">
        <f t="array" aca="1" ref="D156" ca="1">IF(ISNUMBER(_xll.VoseSimPercentile('Денежный поток'!I31,0.5)),_xll.VoseSimPercentile('Денежный поток'!I31,0.5),NA())</f>
        <v>1.0981447766498889</v>
      </c>
      <c r="E156" s="80" cm="1">
        <f t="array" aca="1" ref="E156" ca="1">IF(ISNUMBER(_xll.VoseSimPercentile('Денежный поток'!I31,0.9)),_xll.VoseSimPercentile('Денежный поток'!I31,0.9),NA())</f>
        <v>1.215586422411131</v>
      </c>
      <c r="F156" s="80" cm="1">
        <f t="array" aca="1" ref="F156" ca="1">IF(ISNUMBER(_xll.VoseSimMean('Денежный поток'!I31)),_xll.VoseSimMean('Денежный поток'!I31),NA())</f>
        <v>1.1009675236239518</v>
      </c>
    </row>
    <row r="157" spans="2:7" hidden="1" outlineLevel="1" x14ac:dyDescent="0.45">
      <c r="B157" s="83">
        <f>'Денежный поток'!J6</f>
        <v>5</v>
      </c>
      <c r="C157" s="80" cm="1">
        <f t="array" aca="1" ref="C157" ca="1">IF(ISNUMBER(_xll.VoseSimPercentile('Денежный поток'!J31,0.1)),_xll.VoseSimPercentile('Денежный поток'!J31,0.1),NA())</f>
        <v>0.97697262525866557</v>
      </c>
      <c r="D157" s="80" cm="1">
        <f t="array" aca="1" ref="D157" ca="1">IF(ISNUMBER(_xll.VoseSimPercentile('Денежный поток'!J31,0.5)),_xll.VoseSimPercentile('Денежный поток'!J31,0.5),NA())</f>
        <v>1.0974152754887985</v>
      </c>
      <c r="E157" s="80" cm="1">
        <f t="array" aca="1" ref="E157" ca="1">IF(ISNUMBER(_xll.VoseSimPercentile('Денежный поток'!J31,0.9)),_xll.VoseSimPercentile('Денежный поток'!J31,0.9),NA())</f>
        <v>1.2295612750150289</v>
      </c>
      <c r="F157" s="80" cm="1">
        <f t="array" aca="1" ref="F157" ca="1">IF(ISNUMBER(_xll.VoseSimMean('Денежный поток'!J31)),_xll.VoseSimMean('Денежный поток'!J31),NA())</f>
        <v>1.1013485600656101</v>
      </c>
    </row>
    <row r="158" spans="2:7" hidden="1" outlineLevel="1" x14ac:dyDescent="0.45">
      <c r="B158" s="83">
        <f>'Денежный поток'!K6</f>
        <v>6</v>
      </c>
      <c r="C158" s="80" cm="1">
        <f t="array" aca="1" ref="C158" ca="1">IF(ISNUMBER(_xll.VoseSimPercentile('Денежный поток'!K31,0.1)),_xll.VoseSimPercentile('Денежный поток'!K31,0.1),NA())</f>
        <v>0.9673445025854297</v>
      </c>
      <c r="D158" s="80" cm="1">
        <f t="array" aca="1" ref="D158" ca="1">IF(ISNUMBER(_xll.VoseSimPercentile('Денежный поток'!K31,0.5)),_xll.VoseSimPercentile('Денежный поток'!K31,0.5),NA())</f>
        <v>1.0962143331530203</v>
      </c>
      <c r="E158" s="80" cm="1">
        <f t="array" aca="1" ref="E158" ca="1">IF(ISNUMBER(_xll.VoseSimPercentile('Денежный поток'!K31,0.9)),_xll.VoseSimPercentile('Денежный поток'!K31,0.9),NA())</f>
        <v>1.2424280929184759</v>
      </c>
      <c r="F158" s="80" cm="1">
        <f t="array" aca="1" ref="F158" ca="1">IF(ISNUMBER(_xll.VoseSimMean('Денежный поток'!K31)),_xll.VoseSimMean('Денежный поток'!K31),NA())</f>
        <v>1.1016383240284189</v>
      </c>
    </row>
    <row r="159" spans="2:7" hidden="1" outlineLevel="1" x14ac:dyDescent="0.45">
      <c r="B159" s="83">
        <f>'Денежный поток'!L6</f>
        <v>7</v>
      </c>
      <c r="C159" s="80" cm="1">
        <f t="array" aca="1" ref="C159" ca="1">IF(ISNUMBER(_xll.VoseSimPercentile('Денежный поток'!L31,0.1)),_xll.VoseSimPercentile('Денежный поток'!L31,0.1),NA())</f>
        <v>0.95358403270093051</v>
      </c>
      <c r="D159" s="80" cm="1">
        <f t="array" aca="1" ref="D159" ca="1">IF(ISNUMBER(_xll.VoseSimPercentile('Денежный поток'!L31,0.5)),_xll.VoseSimPercentile('Денежный поток'!L31,0.5),NA())</f>
        <v>1.0979527469150838</v>
      </c>
      <c r="E159" s="80" cm="1">
        <f t="array" aca="1" ref="E159" ca="1">IF(ISNUMBER(_xll.VoseSimPercentile('Денежный поток'!L31,0.9)),_xll.VoseSimPercentile('Денежный поток'!L31,0.9),NA())</f>
        <v>1.2563920091305667</v>
      </c>
      <c r="F159" s="80" cm="1">
        <f t="array" aca="1" ref="F159" ca="1">IF(ISNUMBER(_xll.VoseSimMean('Денежный поток'!L31)),_xll.VoseSimMean('Денежный поток'!L31),NA())</f>
        <v>1.102354555776655</v>
      </c>
    </row>
    <row r="160" spans="2:7" hidden="1" outlineLevel="1" x14ac:dyDescent="0.45">
      <c r="B160" s="83">
        <f>'Денежный поток'!M6</f>
        <v>8</v>
      </c>
      <c r="C160" s="80" cm="1">
        <f t="array" aca="1" ref="C160" ca="1">IF(ISNUMBER(_xll.VoseSimPercentile('Денежный поток'!M31,0.1)),_xll.VoseSimPercentile('Денежный поток'!M31,0.1),NA())</f>
        <v>0.94538883438440391</v>
      </c>
      <c r="D160" s="80" cm="1">
        <f t="array" aca="1" ref="D160" ca="1">IF(ISNUMBER(_xll.VoseSimPercentile('Денежный поток'!M31,0.5)),_xll.VoseSimPercentile('Денежный поток'!M31,0.5),NA())</f>
        <v>1.0966714079659292</v>
      </c>
      <c r="E160" s="80" cm="1">
        <f t="array" aca="1" ref="E160" ca="1">IF(ISNUMBER(_xll.VoseSimPercentile('Денежный поток'!M31,0.9)),_xll.VoseSimPercentile('Денежный поток'!M31,0.9),NA())</f>
        <v>1.2688593742018432</v>
      </c>
      <c r="F160" s="80" cm="1">
        <f t="array" aca="1" ref="F160" ca="1">IF(ISNUMBER(_xll.VoseSimMean('Денежный поток'!M31)),_xll.VoseSimMean('Денежный поток'!M31),NA())</f>
        <v>1.102473232854114</v>
      </c>
    </row>
    <row r="161" spans="2:6" hidden="1" outlineLevel="1" x14ac:dyDescent="0.45">
      <c r="B161" s="83">
        <f>'Денежный поток'!N6</f>
        <v>9</v>
      </c>
      <c r="C161" s="80" cm="1">
        <f t="array" aca="1" ref="C161" ca="1">IF(ISNUMBER(_xll.VoseSimPercentile('Денежный поток'!N31,0.1)),_xll.VoseSimPercentile('Денежный поток'!N31,0.1),NA())</f>
        <v>0.93527642186457194</v>
      </c>
      <c r="D161" s="80" cm="1">
        <f t="array" aca="1" ref="D161" ca="1">IF(ISNUMBER(_xll.VoseSimPercentile('Денежный поток'!N31,0.5)),_xll.VoseSimPercentile('Денежный поток'!N31,0.5),NA())</f>
        <v>1.0941611830587148</v>
      </c>
      <c r="E161" s="80" cm="1">
        <f t="array" aca="1" ref="E161" ca="1">IF(ISNUMBER(_xll.VoseSimPercentile('Денежный поток'!N31,0.9)),_xll.VoseSimPercentile('Денежный поток'!N31,0.9),NA())</f>
        <v>1.2800489255649441</v>
      </c>
      <c r="F161" s="80" cm="1">
        <f t="array" aca="1" ref="F161" ca="1">IF(ISNUMBER(_xll.VoseSimMean('Денежный поток'!N31)),_xll.VoseSimMean('Денежный поток'!N31),NA())</f>
        <v>1.1018180632138206</v>
      </c>
    </row>
    <row r="162" spans="2:6" hidden="1" outlineLevel="1" x14ac:dyDescent="0.45">
      <c r="B162" s="83">
        <f>'Денежный поток'!O6</f>
        <v>10</v>
      </c>
      <c r="C162" s="80" cm="1">
        <f t="array" aca="1" ref="C162" ca="1">IF(ISNUMBER(_xll.VoseSimPercentile('Денежный поток'!O31,0.1)),_xll.VoseSimPercentile('Денежный поток'!O31,0.1),NA())</f>
        <v>0.92561706110830366</v>
      </c>
      <c r="D162" s="80" cm="1">
        <f t="array" aca="1" ref="D162" ca="1">IF(ISNUMBER(_xll.VoseSimPercentile('Денежный поток'!O31,0.5)),_xll.VoseSimPercentile('Денежный поток'!O31,0.5),NA())</f>
        <v>1.0929448682415255</v>
      </c>
      <c r="E162" s="80" cm="1">
        <f t="array" aca="1" ref="E162" ca="1">IF(ISNUMBER(_xll.VoseSimPercentile('Денежный поток'!O31,0.9)),_xll.VoseSimPercentile('Денежный поток'!O31,0.9),NA())</f>
        <v>1.2894211709169217</v>
      </c>
      <c r="F162" s="80" cm="1">
        <f t="array" aca="1" ref="F162" ca="1">IF(ISNUMBER(_xll.VoseSimMean('Денежный поток'!O31)),_xll.VoseSimMean('Денежный поток'!O31),NA())</f>
        <v>1.1016504940635488</v>
      </c>
    </row>
    <row r="163" spans="2:6" hidden="1" outlineLevel="1" x14ac:dyDescent="0.45">
      <c r="B163" s="83">
        <f>'Денежный поток'!P6</f>
        <v>11</v>
      </c>
      <c r="C163" s="80" cm="1">
        <f t="array" aca="1" ref="C163" ca="1">IF(ISNUMBER(_xll.VoseSimPercentile('Денежный поток'!P31,0.1)),_xll.VoseSimPercentile('Денежный поток'!P31,0.1),NA())</f>
        <v>0.91886914908750394</v>
      </c>
      <c r="D163" s="80" cm="1">
        <f t="array" aca="1" ref="D163" ca="1">IF(ISNUMBER(_xll.VoseSimPercentile('Денежный поток'!P31,0.5)),_xll.VoseSimPercentile('Денежный поток'!P31,0.5),NA())</f>
        <v>1.0906637916233697</v>
      </c>
      <c r="E163" s="80" cm="1">
        <f t="array" aca="1" ref="E163" ca="1">IF(ISNUMBER(_xll.VoseSimPercentile('Денежный поток'!P31,0.9)),_xll.VoseSimPercentile('Денежный поток'!P31,0.9),NA())</f>
        <v>1.2972362522966181</v>
      </c>
      <c r="F163" s="80" cm="1">
        <f t="array" aca="1" ref="F163" ca="1">IF(ISNUMBER(_xll.VoseSimMean('Денежный поток'!P31)),_xll.VoseSimMean('Денежный поток'!P31),NA())</f>
        <v>1.1013726690368526</v>
      </c>
    </row>
    <row r="164" spans="2:6" hidden="1" outlineLevel="1" x14ac:dyDescent="0.45">
      <c r="B164" s="83">
        <f>'Денежный поток'!Q6</f>
        <v>12</v>
      </c>
      <c r="C164" s="80" cm="1">
        <f t="array" aca="1" ref="C164" ca="1">IF(ISNUMBER(_xll.VoseSimPercentile('Денежный поток'!Q31,0.1)),_xll.VoseSimPercentile('Денежный поток'!Q31,0.1),NA())</f>
        <v>0.91162952199595482</v>
      </c>
      <c r="D164" s="80" cm="1">
        <f t="array" aca="1" ref="D164" ca="1">IF(ISNUMBER(_xll.VoseSimPercentile('Денежный поток'!Q31,0.5)),_xll.VoseSimPercentile('Денежный поток'!Q31,0.5),NA())</f>
        <v>1.0903427702580752</v>
      </c>
      <c r="E164" s="80" cm="1">
        <f t="array" aca="1" ref="E164" ca="1">IF(ISNUMBER(_xll.VoseSimPercentile('Денежный поток'!Q31,0.9)),_xll.VoseSimPercentile('Денежный поток'!Q31,0.9),NA())</f>
        <v>1.3022690130276255</v>
      </c>
      <c r="F164" s="80" cm="1">
        <f t="array" aca="1" ref="F164" ca="1">IF(ISNUMBER(_xll.VoseSimMean('Денежный поток'!Q31)),_xll.VoseSimMean('Денежный поток'!Q31),NA())</f>
        <v>1.1006705048609893</v>
      </c>
    </row>
  </sheetData>
  <mergeCells count="4">
    <mergeCell ref="B74:G74"/>
    <mergeCell ref="B75:G75"/>
    <mergeCell ref="B73:G73"/>
    <mergeCell ref="B72:G72"/>
  </mergeCells>
  <conditionalFormatting sqref="B7">
    <cfRule type="expression" dxfId="5" priority="2">
      <formula>LEFT($B$7,1)="✗"</formula>
    </cfRule>
  </conditionalFormatting>
  <conditionalFormatting sqref="B6:G6">
    <cfRule type="expression" dxfId="4" priority="1">
      <formula>LEFT($B$6,1)&lt;&gt;"✔"</formula>
    </cfRule>
  </conditionalFormatting>
  <conditionalFormatting sqref="C139:F150">
    <cfRule type="expression" dxfId="3" priority="5">
      <formula>ISNA(C139)</formula>
    </cfRule>
  </conditionalFormatting>
  <conditionalFormatting sqref="C153:F164">
    <cfRule type="expression" dxfId="2" priority="6">
      <formula>ISNA(C153)</formula>
    </cfRule>
  </conditionalFormatting>
  <conditionalFormatting sqref="D81:F130">
    <cfRule type="expression" dxfId="1" priority="3">
      <formula>ISNA(D81)</formula>
    </cfRule>
  </conditionalFormatting>
  <conditionalFormatting sqref="F134:G136">
    <cfRule type="expression" dxfId="0" priority="4">
      <formula>ISNA(F134)</formula>
    </cfRule>
  </conditionalFormatting>
  <hyperlinks>
    <hyperlink ref="B4" location="'Денежный поток'!A1" display="◂  Денежный поток" xr:uid="{00000000-0004-0000-0300-000000000000}"/>
  </hyperlinks>
  <printOptions horizontalCentered="1"/>
  <pageMargins left="0.4" right="0.4" top="0.5" bottom="0.6" header="0.25" footer="0.25"/>
  <pageSetup paperSize="9" scale="73" fitToHeight="0" orientation="landscape" r:id="rId1"/>
  <headerFooter>
    <oddFooter>&amp;L&amp;K3F5876&amp;8&amp;F · &amp;A&amp;R&amp;K3F5876&amp;8Page &amp;P of &amp;N</oddFooter>
  </headerFooter>
  <rowBreaks count="1" manualBreakCount="1">
    <brk id="4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EA555-0477-440F-9F3D-334528B9A881}">
  <dimension ref="A1:B1"/>
  <sheetViews>
    <sheetView workbookViewId="0"/>
  </sheetViews>
  <sheetFormatPr defaultRowHeight="14.25" x14ac:dyDescent="0.45"/>
  <sheetData>
    <row r="1" spans="1:2" x14ac:dyDescent="0.45">
      <c r="A1" s="89" t="s">
        <v>261</v>
      </c>
      <c r="B1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D7E0EA-FDBD-4700-9318-12C83E936BF3}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0D09CD-F6BC-412E-911D-F7E1F0CF0335}">
  <dimension ref="B3:B332"/>
  <sheetViews>
    <sheetView workbookViewId="0"/>
  </sheetViews>
  <sheetFormatPr defaultRowHeight="14.25" x14ac:dyDescent="0.45"/>
  <sheetData>
    <row r="3" spans="2:2" x14ac:dyDescent="0.45">
      <c r="B3">
        <v>13</v>
      </c>
    </row>
    <row r="4" spans="2:2" x14ac:dyDescent="0.45">
      <c r="B4">
        <v>89</v>
      </c>
    </row>
    <row r="5" spans="2:2" x14ac:dyDescent="0.45">
      <c r="B5">
        <v>306</v>
      </c>
    </row>
    <row r="6" spans="2:2" x14ac:dyDescent="0.45">
      <c r="B6">
        <v>534</v>
      </c>
    </row>
    <row r="7" spans="2:2" x14ac:dyDescent="0.45">
      <c r="B7">
        <v>538</v>
      </c>
    </row>
    <row r="8" spans="2:2" x14ac:dyDescent="0.45">
      <c r="B8">
        <v>340</v>
      </c>
    </row>
    <row r="9" spans="2:2" x14ac:dyDescent="0.45">
      <c r="B9">
        <v>134</v>
      </c>
    </row>
    <row r="10" spans="2:2" x14ac:dyDescent="0.45">
      <c r="B10">
        <v>36</v>
      </c>
    </row>
    <row r="11" spans="2:2" x14ac:dyDescent="0.45">
      <c r="B11">
        <v>9</v>
      </c>
    </row>
    <row r="12" spans="2:2" x14ac:dyDescent="0.45">
      <c r="B12">
        <v>1</v>
      </c>
    </row>
    <row r="13" spans="2:2" x14ac:dyDescent="0.45">
      <c r="B13">
        <v>7</v>
      </c>
    </row>
    <row r="14" spans="2:2" x14ac:dyDescent="0.45">
      <c r="B14">
        <v>73</v>
      </c>
    </row>
    <row r="15" spans="2:2" x14ac:dyDescent="0.45">
      <c r="B15">
        <v>340</v>
      </c>
    </row>
    <row r="16" spans="2:2" x14ac:dyDescent="0.45">
      <c r="B16">
        <v>652</v>
      </c>
    </row>
    <row r="17" spans="2:2" x14ac:dyDescent="0.45">
      <c r="B17">
        <v>571</v>
      </c>
    </row>
    <row r="18" spans="2:2" x14ac:dyDescent="0.45">
      <c r="B18">
        <v>269</v>
      </c>
    </row>
    <row r="19" spans="2:2" x14ac:dyDescent="0.45">
      <c r="B19">
        <v>74</v>
      </c>
    </row>
    <row r="20" spans="2:2" x14ac:dyDescent="0.45">
      <c r="B20">
        <v>13</v>
      </c>
    </row>
    <row r="21" spans="2:2" x14ac:dyDescent="0.45">
      <c r="B21">
        <v>0</v>
      </c>
    </row>
    <row r="22" spans="2:2" x14ac:dyDescent="0.45">
      <c r="B22">
        <v>1</v>
      </c>
    </row>
    <row r="23" spans="2:2" x14ac:dyDescent="0.45">
      <c r="B23">
        <v>7</v>
      </c>
    </row>
    <row r="24" spans="2:2" x14ac:dyDescent="0.45">
      <c r="B24">
        <v>59</v>
      </c>
    </row>
    <row r="25" spans="2:2" x14ac:dyDescent="0.45">
      <c r="B25">
        <v>263</v>
      </c>
    </row>
    <row r="26" spans="2:2" x14ac:dyDescent="0.45">
      <c r="B26">
        <v>518</v>
      </c>
    </row>
    <row r="27" spans="2:2" x14ac:dyDescent="0.45">
      <c r="B27">
        <v>517</v>
      </c>
    </row>
    <row r="28" spans="2:2" x14ac:dyDescent="0.45">
      <c r="B28">
        <v>414</v>
      </c>
    </row>
    <row r="29" spans="2:2" x14ac:dyDescent="0.45">
      <c r="B29">
        <v>162</v>
      </c>
    </row>
    <row r="30" spans="2:2" x14ac:dyDescent="0.45">
      <c r="B30">
        <v>49</v>
      </c>
    </row>
    <row r="31" spans="2:2" x14ac:dyDescent="0.45">
      <c r="B31">
        <v>10</v>
      </c>
    </row>
    <row r="32" spans="2:2" x14ac:dyDescent="0.45">
      <c r="B32">
        <v>1</v>
      </c>
    </row>
    <row r="33" spans="2:2" x14ac:dyDescent="0.45">
      <c r="B33">
        <v>30</v>
      </c>
    </row>
    <row r="34" spans="2:2" x14ac:dyDescent="0.45">
      <c r="B34">
        <v>144</v>
      </c>
    </row>
    <row r="35" spans="2:2" x14ac:dyDescent="0.45">
      <c r="B35">
        <v>406</v>
      </c>
    </row>
    <row r="36" spans="2:2" x14ac:dyDescent="0.45">
      <c r="B36">
        <v>523</v>
      </c>
    </row>
    <row r="37" spans="2:2" x14ac:dyDescent="0.45">
      <c r="B37">
        <v>514</v>
      </c>
    </row>
    <row r="38" spans="2:2" x14ac:dyDescent="0.45">
      <c r="B38">
        <v>264</v>
      </c>
    </row>
    <row r="39" spans="2:2" x14ac:dyDescent="0.45">
      <c r="B39">
        <v>95</v>
      </c>
    </row>
    <row r="40" spans="2:2" x14ac:dyDescent="0.45">
      <c r="B40">
        <v>16</v>
      </c>
    </row>
    <row r="41" spans="2:2" x14ac:dyDescent="0.45">
      <c r="B41">
        <v>5</v>
      </c>
    </row>
    <row r="42" spans="2:2" x14ac:dyDescent="0.45">
      <c r="B42">
        <v>3</v>
      </c>
    </row>
    <row r="43" spans="2:2" x14ac:dyDescent="0.45">
      <c r="B43">
        <v>21</v>
      </c>
    </row>
    <row r="44" spans="2:2" x14ac:dyDescent="0.45">
      <c r="B44">
        <v>121</v>
      </c>
    </row>
    <row r="45" spans="2:2" x14ac:dyDescent="0.45">
      <c r="B45">
        <v>343</v>
      </c>
    </row>
    <row r="46" spans="2:2" x14ac:dyDescent="0.45">
      <c r="B46">
        <v>540</v>
      </c>
    </row>
    <row r="47" spans="2:2" x14ac:dyDescent="0.45">
      <c r="B47">
        <v>512</v>
      </c>
    </row>
    <row r="48" spans="2:2" x14ac:dyDescent="0.45">
      <c r="B48">
        <v>303</v>
      </c>
    </row>
    <row r="49" spans="2:2" x14ac:dyDescent="0.45">
      <c r="B49">
        <v>120</v>
      </c>
    </row>
    <row r="50" spans="2:2" x14ac:dyDescent="0.45">
      <c r="B50">
        <v>29</v>
      </c>
    </row>
    <row r="51" spans="2:2" x14ac:dyDescent="0.45">
      <c r="B51">
        <v>8</v>
      </c>
    </row>
    <row r="52" spans="2:2" x14ac:dyDescent="0.45">
      <c r="B52">
        <v>3</v>
      </c>
    </row>
    <row r="53" spans="2:2" x14ac:dyDescent="0.45">
      <c r="B53">
        <v>40</v>
      </c>
    </row>
    <row r="54" spans="2:2" x14ac:dyDescent="0.45">
      <c r="B54">
        <v>206</v>
      </c>
    </row>
    <row r="55" spans="2:2" x14ac:dyDescent="0.45">
      <c r="B55">
        <v>516</v>
      </c>
    </row>
    <row r="56" spans="2:2" x14ac:dyDescent="0.45">
      <c r="B56">
        <v>545</v>
      </c>
    </row>
    <row r="57" spans="2:2" x14ac:dyDescent="0.45">
      <c r="B57">
        <v>440</v>
      </c>
    </row>
    <row r="58" spans="2:2" x14ac:dyDescent="0.45">
      <c r="B58">
        <v>164</v>
      </c>
    </row>
    <row r="59" spans="2:2" x14ac:dyDescent="0.45">
      <c r="B59">
        <v>63</v>
      </c>
    </row>
    <row r="60" spans="2:2" x14ac:dyDescent="0.45">
      <c r="B60">
        <v>20</v>
      </c>
    </row>
    <row r="61" spans="2:2" x14ac:dyDescent="0.45">
      <c r="B61">
        <v>5</v>
      </c>
    </row>
    <row r="62" spans="2:2" x14ac:dyDescent="0.45">
      <c r="B62">
        <v>1</v>
      </c>
    </row>
    <row r="63" spans="2:2" x14ac:dyDescent="0.45">
      <c r="B63">
        <v>45</v>
      </c>
    </row>
    <row r="64" spans="2:2" x14ac:dyDescent="0.45">
      <c r="B64">
        <v>190</v>
      </c>
    </row>
    <row r="65" spans="2:2" x14ac:dyDescent="0.45">
      <c r="B65">
        <v>415</v>
      </c>
    </row>
    <row r="66" spans="2:2" x14ac:dyDescent="0.45">
      <c r="B66">
        <v>506</v>
      </c>
    </row>
    <row r="67" spans="2:2" x14ac:dyDescent="0.45">
      <c r="B67">
        <v>445</v>
      </c>
    </row>
    <row r="68" spans="2:2" x14ac:dyDescent="0.45">
      <c r="B68">
        <v>255</v>
      </c>
    </row>
    <row r="69" spans="2:2" x14ac:dyDescent="0.45">
      <c r="B69">
        <v>101</v>
      </c>
    </row>
    <row r="70" spans="2:2" x14ac:dyDescent="0.45">
      <c r="B70">
        <v>32</v>
      </c>
    </row>
    <row r="71" spans="2:2" x14ac:dyDescent="0.45">
      <c r="B71">
        <v>7</v>
      </c>
    </row>
    <row r="72" spans="2:2" x14ac:dyDescent="0.45">
      <c r="B72">
        <v>4</v>
      </c>
    </row>
    <row r="73" spans="2:2" x14ac:dyDescent="0.45">
      <c r="B73">
        <v>46</v>
      </c>
    </row>
    <row r="74" spans="2:2" x14ac:dyDescent="0.45">
      <c r="B74">
        <v>175</v>
      </c>
    </row>
    <row r="75" spans="2:2" x14ac:dyDescent="0.45">
      <c r="B75">
        <v>380</v>
      </c>
    </row>
    <row r="76" spans="2:2" x14ac:dyDescent="0.45">
      <c r="B76">
        <v>496</v>
      </c>
    </row>
    <row r="77" spans="2:2" x14ac:dyDescent="0.45">
      <c r="B77">
        <v>460</v>
      </c>
    </row>
    <row r="78" spans="2:2" x14ac:dyDescent="0.45">
      <c r="B78">
        <v>265</v>
      </c>
    </row>
    <row r="79" spans="2:2" x14ac:dyDescent="0.45">
      <c r="B79">
        <v>121</v>
      </c>
    </row>
    <row r="80" spans="2:2" x14ac:dyDescent="0.45">
      <c r="B80">
        <v>42</v>
      </c>
    </row>
    <row r="81" spans="2:2" x14ac:dyDescent="0.45">
      <c r="B81">
        <v>11</v>
      </c>
    </row>
    <row r="82" spans="2:2" x14ac:dyDescent="0.45">
      <c r="B82">
        <v>4</v>
      </c>
    </row>
    <row r="83" spans="2:2" x14ac:dyDescent="0.45">
      <c r="B83">
        <v>19</v>
      </c>
    </row>
    <row r="84" spans="2:2" x14ac:dyDescent="0.45">
      <c r="B84">
        <v>96</v>
      </c>
    </row>
    <row r="85" spans="2:2" x14ac:dyDescent="0.45">
      <c r="B85">
        <v>291</v>
      </c>
    </row>
    <row r="86" spans="2:2" x14ac:dyDescent="0.45">
      <c r="B86">
        <v>466</v>
      </c>
    </row>
    <row r="87" spans="2:2" x14ac:dyDescent="0.45">
      <c r="B87">
        <v>491</v>
      </c>
    </row>
    <row r="88" spans="2:2" x14ac:dyDescent="0.45">
      <c r="B88">
        <v>358</v>
      </c>
    </row>
    <row r="89" spans="2:2" x14ac:dyDescent="0.45">
      <c r="B89">
        <v>188</v>
      </c>
    </row>
    <row r="90" spans="2:2" x14ac:dyDescent="0.45">
      <c r="B90">
        <v>65</v>
      </c>
    </row>
    <row r="91" spans="2:2" x14ac:dyDescent="0.45">
      <c r="B91">
        <v>17</v>
      </c>
    </row>
    <row r="92" spans="2:2" x14ac:dyDescent="0.45">
      <c r="B92">
        <v>9</v>
      </c>
    </row>
    <row r="93" spans="2:2" x14ac:dyDescent="0.45">
      <c r="B93">
        <v>7</v>
      </c>
    </row>
    <row r="94" spans="2:2" x14ac:dyDescent="0.45">
      <c r="B94">
        <v>89</v>
      </c>
    </row>
    <row r="95" spans="2:2" x14ac:dyDescent="0.45">
      <c r="B95">
        <v>293</v>
      </c>
    </row>
    <row r="96" spans="2:2" x14ac:dyDescent="0.45">
      <c r="B96">
        <v>479</v>
      </c>
    </row>
    <row r="97" spans="2:2" x14ac:dyDescent="0.45">
      <c r="B97">
        <v>512</v>
      </c>
    </row>
    <row r="98" spans="2:2" x14ac:dyDescent="0.45">
      <c r="B98">
        <v>375</v>
      </c>
    </row>
    <row r="99" spans="2:2" x14ac:dyDescent="0.45">
      <c r="B99">
        <v>149</v>
      </c>
    </row>
    <row r="100" spans="2:2" x14ac:dyDescent="0.45">
      <c r="B100">
        <v>78</v>
      </c>
    </row>
    <row r="101" spans="2:2" x14ac:dyDescent="0.45">
      <c r="B101">
        <v>11</v>
      </c>
    </row>
    <row r="102" spans="2:2" x14ac:dyDescent="0.45">
      <c r="B102">
        <v>7</v>
      </c>
    </row>
    <row r="103" spans="2:2" x14ac:dyDescent="0.45">
      <c r="B103">
        <v>20</v>
      </c>
    </row>
    <row r="104" spans="2:2" x14ac:dyDescent="0.45">
      <c r="B104">
        <v>107</v>
      </c>
    </row>
    <row r="105" spans="2:2" x14ac:dyDescent="0.45">
      <c r="B105">
        <v>326</v>
      </c>
    </row>
    <row r="106" spans="2:2" x14ac:dyDescent="0.45">
      <c r="B106">
        <v>485</v>
      </c>
    </row>
    <row r="107" spans="2:2" x14ac:dyDescent="0.45">
      <c r="B107">
        <v>517</v>
      </c>
    </row>
    <row r="108" spans="2:2" x14ac:dyDescent="0.45">
      <c r="B108">
        <v>299</v>
      </c>
    </row>
    <row r="109" spans="2:2" x14ac:dyDescent="0.45">
      <c r="B109">
        <v>155</v>
      </c>
    </row>
    <row r="110" spans="2:2" x14ac:dyDescent="0.45">
      <c r="B110">
        <v>67</v>
      </c>
    </row>
    <row r="111" spans="2:2" x14ac:dyDescent="0.45">
      <c r="B111">
        <v>17</v>
      </c>
    </row>
    <row r="112" spans="2:2" x14ac:dyDescent="0.45">
      <c r="B112">
        <v>7</v>
      </c>
    </row>
    <row r="113" spans="2:2" x14ac:dyDescent="0.45">
      <c r="B113">
        <v>30</v>
      </c>
    </row>
    <row r="114" spans="2:2" x14ac:dyDescent="0.45">
      <c r="B114">
        <v>144</v>
      </c>
    </row>
    <row r="115" spans="2:2" x14ac:dyDescent="0.45">
      <c r="B115">
        <v>378</v>
      </c>
    </row>
    <row r="116" spans="2:2" x14ac:dyDescent="0.45">
      <c r="B116">
        <v>512</v>
      </c>
    </row>
    <row r="117" spans="2:2" x14ac:dyDescent="0.45">
      <c r="B117">
        <v>461</v>
      </c>
    </row>
    <row r="118" spans="2:2" x14ac:dyDescent="0.45">
      <c r="B118">
        <v>273</v>
      </c>
    </row>
    <row r="119" spans="2:2" x14ac:dyDescent="0.45">
      <c r="B119">
        <v>131</v>
      </c>
    </row>
    <row r="120" spans="2:2" x14ac:dyDescent="0.45">
      <c r="B120">
        <v>50</v>
      </c>
    </row>
    <row r="121" spans="2:2" x14ac:dyDescent="0.45">
      <c r="B121">
        <v>15</v>
      </c>
    </row>
    <row r="122" spans="2:2" x14ac:dyDescent="0.45">
      <c r="B122">
        <v>6</v>
      </c>
    </row>
    <row r="123" spans="2:2" x14ac:dyDescent="0.45">
      <c r="B123">
        <v>5</v>
      </c>
    </row>
    <row r="124" spans="2:2" x14ac:dyDescent="0.45">
      <c r="B124">
        <v>44</v>
      </c>
    </row>
    <row r="125" spans="2:2" x14ac:dyDescent="0.45">
      <c r="B125">
        <v>145</v>
      </c>
    </row>
    <row r="126" spans="2:2" x14ac:dyDescent="0.45">
      <c r="B126">
        <v>379</v>
      </c>
    </row>
    <row r="127" spans="2:2" x14ac:dyDescent="0.45">
      <c r="B127">
        <v>540</v>
      </c>
    </row>
    <row r="128" spans="2:2" x14ac:dyDescent="0.45">
      <c r="B128">
        <v>460</v>
      </c>
    </row>
    <row r="129" spans="2:2" x14ac:dyDescent="0.45">
      <c r="B129">
        <v>299</v>
      </c>
    </row>
    <row r="130" spans="2:2" x14ac:dyDescent="0.45">
      <c r="B130">
        <v>102</v>
      </c>
    </row>
    <row r="131" spans="2:2" x14ac:dyDescent="0.45">
      <c r="B131">
        <v>21</v>
      </c>
    </row>
    <row r="132" spans="2:2" x14ac:dyDescent="0.45">
      <c r="B132">
        <v>5</v>
      </c>
    </row>
    <row r="133" spans="2:2" x14ac:dyDescent="0.45">
      <c r="B133">
        <v>1</v>
      </c>
    </row>
    <row r="134" spans="2:2" x14ac:dyDescent="0.45">
      <c r="B134">
        <v>11</v>
      </c>
    </row>
    <row r="135" spans="2:2" x14ac:dyDescent="0.45">
      <c r="B135">
        <v>87</v>
      </c>
    </row>
    <row r="136" spans="2:2" x14ac:dyDescent="0.45">
      <c r="B136">
        <v>286</v>
      </c>
    </row>
    <row r="137" spans="2:2" x14ac:dyDescent="0.45">
      <c r="B137">
        <v>609</v>
      </c>
    </row>
    <row r="138" spans="2:2" x14ac:dyDescent="0.45">
      <c r="B138">
        <v>533</v>
      </c>
    </row>
    <row r="139" spans="2:2" x14ac:dyDescent="0.45">
      <c r="B139">
        <v>324</v>
      </c>
    </row>
    <row r="140" spans="2:2" x14ac:dyDescent="0.45">
      <c r="B140">
        <v>120</v>
      </c>
    </row>
    <row r="141" spans="2:2" x14ac:dyDescent="0.45">
      <c r="B141">
        <v>26</v>
      </c>
    </row>
    <row r="142" spans="2:2" x14ac:dyDescent="0.45">
      <c r="B142">
        <v>3</v>
      </c>
    </row>
    <row r="143" spans="2:2" x14ac:dyDescent="0.45">
      <c r="B143">
        <v>5</v>
      </c>
    </row>
    <row r="144" spans="2:2" x14ac:dyDescent="0.45">
      <c r="B144">
        <v>50</v>
      </c>
    </row>
    <row r="145" spans="2:2" x14ac:dyDescent="0.45">
      <c r="B145">
        <v>155</v>
      </c>
    </row>
    <row r="146" spans="2:2" x14ac:dyDescent="0.45">
      <c r="B146">
        <v>403</v>
      </c>
    </row>
    <row r="147" spans="2:2" x14ac:dyDescent="0.45">
      <c r="B147">
        <v>498</v>
      </c>
    </row>
    <row r="148" spans="2:2" x14ac:dyDescent="0.45">
      <c r="B148">
        <v>475</v>
      </c>
    </row>
    <row r="149" spans="2:2" x14ac:dyDescent="0.45">
      <c r="B149">
        <v>273</v>
      </c>
    </row>
    <row r="150" spans="2:2" x14ac:dyDescent="0.45">
      <c r="B150">
        <v>106</v>
      </c>
    </row>
    <row r="151" spans="2:2" x14ac:dyDescent="0.45">
      <c r="B151">
        <v>23</v>
      </c>
    </row>
    <row r="152" spans="2:2" x14ac:dyDescent="0.45">
      <c r="B152">
        <v>12</v>
      </c>
    </row>
    <row r="153" spans="2:2" x14ac:dyDescent="0.45">
      <c r="B153">
        <v>4</v>
      </c>
    </row>
    <row r="154" spans="2:2" x14ac:dyDescent="0.45">
      <c r="B154">
        <v>30</v>
      </c>
    </row>
    <row r="155" spans="2:2" x14ac:dyDescent="0.45">
      <c r="B155">
        <v>198</v>
      </c>
    </row>
    <row r="156" spans="2:2" x14ac:dyDescent="0.45">
      <c r="B156">
        <v>460</v>
      </c>
    </row>
    <row r="157" spans="2:2" x14ac:dyDescent="0.45">
      <c r="B157">
        <v>569</v>
      </c>
    </row>
    <row r="158" spans="2:2" x14ac:dyDescent="0.45">
      <c r="B158">
        <v>437</v>
      </c>
    </row>
    <row r="159" spans="2:2" x14ac:dyDescent="0.45">
      <c r="B159">
        <v>225</v>
      </c>
    </row>
    <row r="160" spans="2:2" x14ac:dyDescent="0.45">
      <c r="B160">
        <v>57</v>
      </c>
    </row>
    <row r="161" spans="2:2" x14ac:dyDescent="0.45">
      <c r="B161">
        <v>16</v>
      </c>
    </row>
    <row r="162" spans="2:2" x14ac:dyDescent="0.45">
      <c r="B162">
        <v>4</v>
      </c>
    </row>
    <row r="163" spans="2:2" x14ac:dyDescent="0.45">
      <c r="B163">
        <v>6</v>
      </c>
    </row>
    <row r="164" spans="2:2" x14ac:dyDescent="0.45">
      <c r="B164">
        <v>45</v>
      </c>
    </row>
    <row r="165" spans="2:2" x14ac:dyDescent="0.45">
      <c r="B165">
        <v>219</v>
      </c>
    </row>
    <row r="166" spans="2:2" x14ac:dyDescent="0.45">
      <c r="B166">
        <v>498</v>
      </c>
    </row>
    <row r="167" spans="2:2" x14ac:dyDescent="0.45">
      <c r="B167">
        <v>565</v>
      </c>
    </row>
    <row r="168" spans="2:2" x14ac:dyDescent="0.45">
      <c r="B168">
        <v>379</v>
      </c>
    </row>
    <row r="169" spans="2:2" x14ac:dyDescent="0.45">
      <c r="B169">
        <v>207</v>
      </c>
    </row>
    <row r="170" spans="2:2" x14ac:dyDescent="0.45">
      <c r="B170">
        <v>54</v>
      </c>
    </row>
    <row r="171" spans="2:2" x14ac:dyDescent="0.45">
      <c r="B171">
        <v>25</v>
      </c>
    </row>
    <row r="172" spans="2:2" x14ac:dyDescent="0.45">
      <c r="B172">
        <v>2</v>
      </c>
    </row>
    <row r="173" spans="2:2" x14ac:dyDescent="0.45">
      <c r="B173">
        <v>3</v>
      </c>
    </row>
    <row r="174" spans="2:2" x14ac:dyDescent="0.45">
      <c r="B174">
        <v>22</v>
      </c>
    </row>
    <row r="175" spans="2:2" x14ac:dyDescent="0.45">
      <c r="B175">
        <v>145</v>
      </c>
    </row>
    <row r="176" spans="2:2" x14ac:dyDescent="0.45">
      <c r="B176">
        <v>389</v>
      </c>
    </row>
    <row r="177" spans="2:2" x14ac:dyDescent="0.45">
      <c r="B177">
        <v>584</v>
      </c>
    </row>
    <row r="178" spans="2:2" x14ac:dyDescent="0.45">
      <c r="B178">
        <v>483</v>
      </c>
    </row>
    <row r="179" spans="2:2" x14ac:dyDescent="0.45">
      <c r="B179">
        <v>247</v>
      </c>
    </row>
    <row r="180" spans="2:2" x14ac:dyDescent="0.45">
      <c r="B180">
        <v>97</v>
      </c>
    </row>
    <row r="181" spans="2:2" x14ac:dyDescent="0.45">
      <c r="B181">
        <v>22</v>
      </c>
    </row>
    <row r="182" spans="2:2" x14ac:dyDescent="0.45">
      <c r="B182">
        <v>8</v>
      </c>
    </row>
    <row r="183" spans="2:2" x14ac:dyDescent="0.45">
      <c r="B183">
        <v>3</v>
      </c>
    </row>
    <row r="184" spans="2:2" x14ac:dyDescent="0.45">
      <c r="B184">
        <v>21</v>
      </c>
    </row>
    <row r="185" spans="2:2" x14ac:dyDescent="0.45">
      <c r="B185">
        <v>151</v>
      </c>
    </row>
    <row r="186" spans="2:2" x14ac:dyDescent="0.45">
      <c r="B186">
        <v>391</v>
      </c>
    </row>
    <row r="187" spans="2:2" x14ac:dyDescent="0.45">
      <c r="B187">
        <v>587</v>
      </c>
    </row>
    <row r="188" spans="2:2" x14ac:dyDescent="0.45">
      <c r="B188">
        <v>454</v>
      </c>
    </row>
    <row r="189" spans="2:2" x14ac:dyDescent="0.45">
      <c r="B189">
        <v>248</v>
      </c>
    </row>
    <row r="190" spans="2:2" x14ac:dyDescent="0.45">
      <c r="B190">
        <v>106</v>
      </c>
    </row>
    <row r="191" spans="2:2" x14ac:dyDescent="0.45">
      <c r="B191">
        <v>31</v>
      </c>
    </row>
    <row r="192" spans="2:2" x14ac:dyDescent="0.45">
      <c r="B192">
        <v>8</v>
      </c>
    </row>
    <row r="193" spans="2:2" x14ac:dyDescent="0.45">
      <c r="B193">
        <v>4</v>
      </c>
    </row>
    <row r="194" spans="2:2" x14ac:dyDescent="0.45">
      <c r="B194">
        <v>34</v>
      </c>
    </row>
    <row r="195" spans="2:2" x14ac:dyDescent="0.45">
      <c r="B195">
        <v>198</v>
      </c>
    </row>
    <row r="196" spans="2:2" x14ac:dyDescent="0.45">
      <c r="B196">
        <v>426</v>
      </c>
    </row>
    <row r="197" spans="2:2" x14ac:dyDescent="0.45">
      <c r="B197">
        <v>561</v>
      </c>
    </row>
    <row r="198" spans="2:2" x14ac:dyDescent="0.45">
      <c r="B198">
        <v>438</v>
      </c>
    </row>
    <row r="199" spans="2:2" x14ac:dyDescent="0.45">
      <c r="B199">
        <v>218</v>
      </c>
    </row>
    <row r="200" spans="2:2" x14ac:dyDescent="0.45">
      <c r="B200">
        <v>94</v>
      </c>
    </row>
    <row r="201" spans="2:2" x14ac:dyDescent="0.45">
      <c r="B201">
        <v>20</v>
      </c>
    </row>
    <row r="202" spans="2:2" x14ac:dyDescent="0.45">
      <c r="B202">
        <v>7</v>
      </c>
    </row>
    <row r="203" spans="2:2" x14ac:dyDescent="0.45">
      <c r="B203">
        <v>3</v>
      </c>
    </row>
    <row r="204" spans="2:2" x14ac:dyDescent="0.45">
      <c r="B204">
        <v>49</v>
      </c>
    </row>
    <row r="205" spans="2:2" x14ac:dyDescent="0.45">
      <c r="B205">
        <v>220</v>
      </c>
    </row>
    <row r="206" spans="2:2" x14ac:dyDescent="0.45">
      <c r="B206">
        <v>513</v>
      </c>
    </row>
    <row r="207" spans="2:2" x14ac:dyDescent="0.45">
      <c r="B207">
        <v>570</v>
      </c>
    </row>
    <row r="208" spans="2:2" x14ac:dyDescent="0.45">
      <c r="B208">
        <v>398</v>
      </c>
    </row>
    <row r="209" spans="2:2" x14ac:dyDescent="0.45">
      <c r="B209">
        <v>168</v>
      </c>
    </row>
    <row r="210" spans="2:2" x14ac:dyDescent="0.45">
      <c r="B210">
        <v>60</v>
      </c>
    </row>
    <row r="211" spans="2:2" x14ac:dyDescent="0.45">
      <c r="B211">
        <v>12</v>
      </c>
    </row>
    <row r="212" spans="2:2" x14ac:dyDescent="0.45">
      <c r="B212">
        <v>7</v>
      </c>
    </row>
    <row r="213" spans="2:2" x14ac:dyDescent="0.45">
      <c r="B213">
        <v>7</v>
      </c>
    </row>
    <row r="214" spans="2:2" x14ac:dyDescent="0.45">
      <c r="B214">
        <v>83</v>
      </c>
    </row>
    <row r="215" spans="2:2" x14ac:dyDescent="0.45">
      <c r="B215">
        <v>362</v>
      </c>
    </row>
    <row r="216" spans="2:2" x14ac:dyDescent="0.45">
      <c r="B216">
        <v>579</v>
      </c>
    </row>
    <row r="217" spans="2:2" x14ac:dyDescent="0.45">
      <c r="B217">
        <v>549</v>
      </c>
    </row>
    <row r="218" spans="2:2" x14ac:dyDescent="0.45">
      <c r="B218">
        <v>281</v>
      </c>
    </row>
    <row r="219" spans="2:2" x14ac:dyDescent="0.45">
      <c r="B219">
        <v>108</v>
      </c>
    </row>
    <row r="220" spans="2:2" x14ac:dyDescent="0.45">
      <c r="B220">
        <v>26</v>
      </c>
    </row>
    <row r="221" spans="2:2" x14ac:dyDescent="0.45">
      <c r="B221">
        <v>3</v>
      </c>
    </row>
    <row r="222" spans="2:2" x14ac:dyDescent="0.45">
      <c r="B222">
        <v>2</v>
      </c>
    </row>
    <row r="223" spans="2:2" x14ac:dyDescent="0.45">
      <c r="B223">
        <v>6</v>
      </c>
    </row>
    <row r="224" spans="2:2" x14ac:dyDescent="0.45">
      <c r="B224">
        <v>86</v>
      </c>
    </row>
    <row r="225" spans="2:2" x14ac:dyDescent="0.45">
      <c r="B225">
        <v>332</v>
      </c>
    </row>
    <row r="226" spans="2:2" x14ac:dyDescent="0.45">
      <c r="B226">
        <v>538</v>
      </c>
    </row>
    <row r="227" spans="2:2" x14ac:dyDescent="0.45">
      <c r="B227">
        <v>547</v>
      </c>
    </row>
    <row r="228" spans="2:2" x14ac:dyDescent="0.45">
      <c r="B228">
        <v>306</v>
      </c>
    </row>
    <row r="229" spans="2:2" x14ac:dyDescent="0.45">
      <c r="B229">
        <v>129</v>
      </c>
    </row>
    <row r="230" spans="2:2" x14ac:dyDescent="0.45">
      <c r="B230">
        <v>45</v>
      </c>
    </row>
    <row r="231" spans="2:2" x14ac:dyDescent="0.45">
      <c r="B231">
        <v>7</v>
      </c>
    </row>
    <row r="232" spans="2:2" x14ac:dyDescent="0.45">
      <c r="B232">
        <v>4</v>
      </c>
    </row>
    <row r="233" spans="2:2" x14ac:dyDescent="0.45">
      <c r="B233">
        <v>9</v>
      </c>
    </row>
    <row r="234" spans="2:2" x14ac:dyDescent="0.45">
      <c r="B234">
        <v>87</v>
      </c>
    </row>
    <row r="235" spans="2:2" x14ac:dyDescent="0.45">
      <c r="B235">
        <v>301</v>
      </c>
    </row>
    <row r="236" spans="2:2" x14ac:dyDescent="0.45">
      <c r="B236">
        <v>525</v>
      </c>
    </row>
    <row r="237" spans="2:2" x14ac:dyDescent="0.45">
      <c r="B237">
        <v>540</v>
      </c>
    </row>
    <row r="238" spans="2:2" x14ac:dyDescent="0.45">
      <c r="B238">
        <v>329</v>
      </c>
    </row>
    <row r="239" spans="2:2" x14ac:dyDescent="0.45">
      <c r="B239">
        <v>141</v>
      </c>
    </row>
    <row r="240" spans="2:2" x14ac:dyDescent="0.45">
      <c r="B240">
        <v>52</v>
      </c>
    </row>
    <row r="241" spans="2:2" x14ac:dyDescent="0.45">
      <c r="B241">
        <v>12</v>
      </c>
    </row>
    <row r="242" spans="2:2" x14ac:dyDescent="0.45">
      <c r="B242">
        <v>4</v>
      </c>
    </row>
    <row r="243" spans="2:2" x14ac:dyDescent="0.45">
      <c r="B243">
        <v>7</v>
      </c>
    </row>
    <row r="244" spans="2:2" x14ac:dyDescent="0.45">
      <c r="B244">
        <v>36</v>
      </c>
    </row>
    <row r="245" spans="2:2" x14ac:dyDescent="0.45">
      <c r="B245">
        <v>233</v>
      </c>
    </row>
    <row r="246" spans="2:2" x14ac:dyDescent="0.45">
      <c r="B246">
        <v>466</v>
      </c>
    </row>
    <row r="247" spans="2:2" x14ac:dyDescent="0.45">
      <c r="B247">
        <v>591</v>
      </c>
    </row>
    <row r="248" spans="2:2" x14ac:dyDescent="0.45">
      <c r="B248">
        <v>414</v>
      </c>
    </row>
    <row r="249" spans="2:2" x14ac:dyDescent="0.45">
      <c r="B249">
        <v>183</v>
      </c>
    </row>
    <row r="250" spans="2:2" x14ac:dyDescent="0.45">
      <c r="B250">
        <v>52</v>
      </c>
    </row>
    <row r="251" spans="2:2" x14ac:dyDescent="0.45">
      <c r="B251">
        <v>13</v>
      </c>
    </row>
    <row r="252" spans="2:2" x14ac:dyDescent="0.45">
      <c r="B252">
        <v>5</v>
      </c>
    </row>
    <row r="253" spans="2:2" x14ac:dyDescent="0.45">
      <c r="B253">
        <v>7</v>
      </c>
    </row>
    <row r="254" spans="2:2" x14ac:dyDescent="0.45">
      <c r="B254">
        <v>36</v>
      </c>
    </row>
    <row r="255" spans="2:2" x14ac:dyDescent="0.45">
      <c r="B255">
        <v>233</v>
      </c>
    </row>
    <row r="256" spans="2:2" x14ac:dyDescent="0.45">
      <c r="B256">
        <v>466</v>
      </c>
    </row>
    <row r="257" spans="2:2" x14ac:dyDescent="0.45">
      <c r="B257">
        <v>591</v>
      </c>
    </row>
    <row r="258" spans="2:2" x14ac:dyDescent="0.45">
      <c r="B258">
        <v>414</v>
      </c>
    </row>
    <row r="259" spans="2:2" x14ac:dyDescent="0.45">
      <c r="B259">
        <v>183</v>
      </c>
    </row>
    <row r="260" spans="2:2" x14ac:dyDescent="0.45">
      <c r="B260">
        <v>52</v>
      </c>
    </row>
    <row r="261" spans="2:2" x14ac:dyDescent="0.45">
      <c r="B261">
        <v>13</v>
      </c>
    </row>
    <row r="262" spans="2:2" x14ac:dyDescent="0.45">
      <c r="B262">
        <v>5</v>
      </c>
    </row>
    <row r="263" spans="2:2" x14ac:dyDescent="0.45">
      <c r="B263">
        <v>5</v>
      </c>
    </row>
    <row r="264" spans="2:2" x14ac:dyDescent="0.45">
      <c r="B264">
        <v>40</v>
      </c>
    </row>
    <row r="265" spans="2:2" x14ac:dyDescent="0.45">
      <c r="B265">
        <v>176</v>
      </c>
    </row>
    <row r="266" spans="2:2" x14ac:dyDescent="0.45">
      <c r="B266">
        <v>389</v>
      </c>
    </row>
    <row r="267" spans="2:2" x14ac:dyDescent="0.45">
      <c r="B267">
        <v>567</v>
      </c>
    </row>
    <row r="268" spans="2:2" x14ac:dyDescent="0.45">
      <c r="B268">
        <v>457</v>
      </c>
    </row>
    <row r="269" spans="2:2" x14ac:dyDescent="0.45">
      <c r="B269">
        <v>227</v>
      </c>
    </row>
    <row r="270" spans="2:2" x14ac:dyDescent="0.45">
      <c r="B270">
        <v>101</v>
      </c>
    </row>
    <row r="271" spans="2:2" x14ac:dyDescent="0.45">
      <c r="B271">
        <v>31</v>
      </c>
    </row>
    <row r="272" spans="2:2" x14ac:dyDescent="0.45">
      <c r="B272">
        <v>7</v>
      </c>
    </row>
    <row r="273" spans="2:2" x14ac:dyDescent="0.45">
      <c r="B273">
        <v>1231</v>
      </c>
    </row>
    <row r="274" spans="2:2" x14ac:dyDescent="0.45">
      <c r="B274">
        <v>105</v>
      </c>
    </row>
    <row r="275" spans="2:2" x14ac:dyDescent="0.45">
      <c r="B275">
        <v>101</v>
      </c>
    </row>
    <row r="276" spans="2:2" x14ac:dyDescent="0.45">
      <c r="B276">
        <v>87</v>
      </c>
    </row>
    <row r="277" spans="2:2" x14ac:dyDescent="0.45">
      <c r="B277">
        <v>160</v>
      </c>
    </row>
    <row r="278" spans="2:2" x14ac:dyDescent="0.45">
      <c r="B278">
        <v>67</v>
      </c>
    </row>
    <row r="279" spans="2:2" x14ac:dyDescent="0.45">
      <c r="B279">
        <v>59</v>
      </c>
    </row>
    <row r="280" spans="2:2" x14ac:dyDescent="0.45">
      <c r="B280">
        <v>59</v>
      </c>
    </row>
    <row r="281" spans="2:2" x14ac:dyDescent="0.45">
      <c r="B281">
        <v>62</v>
      </c>
    </row>
    <row r="282" spans="2:2" x14ac:dyDescent="0.45">
      <c r="B282">
        <v>69</v>
      </c>
    </row>
    <row r="283" spans="2:2" x14ac:dyDescent="0.45">
      <c r="B283">
        <v>1609</v>
      </c>
    </row>
    <row r="284" spans="2:2" x14ac:dyDescent="0.45">
      <c r="B284">
        <v>65</v>
      </c>
    </row>
    <row r="285" spans="2:2" x14ac:dyDescent="0.45">
      <c r="B285">
        <v>80</v>
      </c>
    </row>
    <row r="286" spans="2:2" x14ac:dyDescent="0.45">
      <c r="B286">
        <v>63</v>
      </c>
    </row>
    <row r="287" spans="2:2" x14ac:dyDescent="0.45">
      <c r="B287">
        <v>50</v>
      </c>
    </row>
    <row r="288" spans="2:2" x14ac:dyDescent="0.45">
      <c r="B288">
        <v>42</v>
      </c>
    </row>
    <row r="289" spans="2:2" x14ac:dyDescent="0.45">
      <c r="B289">
        <v>32</v>
      </c>
    </row>
    <row r="290" spans="2:2" x14ac:dyDescent="0.45">
      <c r="B290">
        <v>32</v>
      </c>
    </row>
    <row r="291" spans="2:2" x14ac:dyDescent="0.45">
      <c r="B291">
        <v>18</v>
      </c>
    </row>
    <row r="292" spans="2:2" x14ac:dyDescent="0.45">
      <c r="B292">
        <v>9</v>
      </c>
    </row>
    <row r="293" spans="2:2" x14ac:dyDescent="0.45">
      <c r="B293">
        <v>1083</v>
      </c>
    </row>
    <row r="294" spans="2:2" x14ac:dyDescent="0.45">
      <c r="B294">
        <v>134</v>
      </c>
    </row>
    <row r="295" spans="2:2" x14ac:dyDescent="0.45">
      <c r="B295">
        <v>100</v>
      </c>
    </row>
    <row r="296" spans="2:2" x14ac:dyDescent="0.45">
      <c r="B296">
        <v>88</v>
      </c>
    </row>
    <row r="297" spans="2:2" x14ac:dyDescent="0.45">
      <c r="B297">
        <v>201</v>
      </c>
    </row>
    <row r="298" spans="2:2" x14ac:dyDescent="0.45">
      <c r="B298">
        <v>59</v>
      </c>
    </row>
    <row r="299" spans="2:2" x14ac:dyDescent="0.45">
      <c r="B299">
        <v>81</v>
      </c>
    </row>
    <row r="300" spans="2:2" x14ac:dyDescent="0.45">
      <c r="B300">
        <v>88</v>
      </c>
    </row>
    <row r="301" spans="2:2" x14ac:dyDescent="0.45">
      <c r="B301">
        <v>78</v>
      </c>
    </row>
    <row r="302" spans="2:2" x14ac:dyDescent="0.45">
      <c r="B302">
        <v>88</v>
      </c>
    </row>
    <row r="303" spans="2:2" x14ac:dyDescent="0.45">
      <c r="B303">
        <v>28</v>
      </c>
    </row>
    <row r="304" spans="2:2" x14ac:dyDescent="0.45">
      <c r="B304">
        <v>161</v>
      </c>
    </row>
    <row r="305" spans="2:2" x14ac:dyDescent="0.45">
      <c r="B305">
        <v>412</v>
      </c>
    </row>
    <row r="306" spans="2:2" x14ac:dyDescent="0.45">
      <c r="B306">
        <v>526</v>
      </c>
    </row>
    <row r="307" spans="2:2" x14ac:dyDescent="0.45">
      <c r="B307">
        <v>490</v>
      </c>
    </row>
    <row r="308" spans="2:2" x14ac:dyDescent="0.45">
      <c r="B308">
        <v>251</v>
      </c>
    </row>
    <row r="309" spans="2:2" x14ac:dyDescent="0.45">
      <c r="B309">
        <v>97</v>
      </c>
    </row>
    <row r="310" spans="2:2" x14ac:dyDescent="0.45">
      <c r="B310">
        <v>27</v>
      </c>
    </row>
    <row r="311" spans="2:2" x14ac:dyDescent="0.45">
      <c r="B311">
        <v>6</v>
      </c>
    </row>
    <row r="312" spans="2:2" x14ac:dyDescent="0.45">
      <c r="B312">
        <v>2</v>
      </c>
    </row>
    <row r="313" spans="2:2" x14ac:dyDescent="0.45">
      <c r="B313">
        <v>6</v>
      </c>
    </row>
    <row r="314" spans="2:2" x14ac:dyDescent="0.45">
      <c r="B314">
        <v>68</v>
      </c>
    </row>
    <row r="315" spans="2:2" x14ac:dyDescent="0.45">
      <c r="B315">
        <v>282</v>
      </c>
    </row>
    <row r="316" spans="2:2" x14ac:dyDescent="0.45">
      <c r="B316">
        <v>530</v>
      </c>
    </row>
    <row r="317" spans="2:2" x14ac:dyDescent="0.45">
      <c r="B317">
        <v>522</v>
      </c>
    </row>
    <row r="318" spans="2:2" x14ac:dyDescent="0.45">
      <c r="B318">
        <v>375</v>
      </c>
    </row>
    <row r="319" spans="2:2" x14ac:dyDescent="0.45">
      <c r="B319">
        <v>154</v>
      </c>
    </row>
    <row r="320" spans="2:2" x14ac:dyDescent="0.45">
      <c r="B320">
        <v>50</v>
      </c>
    </row>
    <row r="321" spans="2:2" x14ac:dyDescent="0.45">
      <c r="B321">
        <v>10</v>
      </c>
    </row>
    <row r="322" spans="2:2" x14ac:dyDescent="0.45">
      <c r="B322">
        <v>3</v>
      </c>
    </row>
    <row r="323" spans="2:2" x14ac:dyDescent="0.45">
      <c r="B323">
        <v>111</v>
      </c>
    </row>
    <row r="324" spans="2:2" x14ac:dyDescent="0.45">
      <c r="B324">
        <v>626</v>
      </c>
    </row>
    <row r="325" spans="2:2" x14ac:dyDescent="0.45">
      <c r="B325">
        <v>699</v>
      </c>
    </row>
    <row r="326" spans="2:2" x14ac:dyDescent="0.45">
      <c r="B326">
        <v>363</v>
      </c>
    </row>
    <row r="327" spans="2:2" x14ac:dyDescent="0.45">
      <c r="B327">
        <v>152</v>
      </c>
    </row>
    <row r="328" spans="2:2" x14ac:dyDescent="0.45">
      <c r="B328">
        <v>42</v>
      </c>
    </row>
    <row r="329" spans="2:2" x14ac:dyDescent="0.45">
      <c r="B329">
        <v>6</v>
      </c>
    </row>
    <row r="330" spans="2:2" x14ac:dyDescent="0.45">
      <c r="B330">
        <v>0</v>
      </c>
    </row>
    <row r="331" spans="2:2" x14ac:dyDescent="0.45">
      <c r="B331">
        <v>0</v>
      </c>
    </row>
    <row r="332" spans="2:2" x14ac:dyDescent="0.45">
      <c r="B332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r:ModelRisk xmlns:mr="ModelRisk">
  <mr:Charts xmlns:mr="ModelRisk" enc="base64" len="1300">PABGAEkATABUAEUAUgBTAD4ADQAKADwALwBDAE4AVAA6ADAADQAKAEYASQBMAFQARQBSAFMAPgANAAoAPABQAEEARwBFAFMAPgANAAoAQwBOAFQAOgAyAA0ACgBDAFUAUgBQAEEARwBFADoAMAANAAoATgA6ADEADQAKAFQAWQBQAEUAOgAyAA0ACgBOAE0AOgBIAGkAcwB0AG8AZwByAGEAbQANAAoAUwBJAE0ASQBEADoAMAANAAoAUwBFAEwAUwA6ADAADQAKAEMAVQBSAFMARQBMADoAMAANAAoAPABPAFAAVABJAE8ATgBTAD4ADQAKAEMATgBUADoAOAANAAoATgBNADoAQwBoAGEAcgB0AF8AVABpAHQAbABlAA0ACgBUAFAAOgAyAA0ACgBWAEEATAA6AA0ACgBOAE0AOgBzAGwAaQBkAGUAcgBzAA0ACgBUAFAAOgAwAA0ACgBWAEEATAA6ADEADQAKAE4ATQA6AHMAbABpAGQAZQByAHMAXwBjAHUAbQB1AGwADQAKAFQAUAA6ADAADQAKAFYAQQBMADoAMAANAAoATgBNADoAbABlAGcAZQBuAGQADQAKAFQAUAA6ADAADQAKAFYAQQBMADoAMAANAAoATgBNADoATgBCAGEAcgBzAA0ACgBUAFAAOgAwAA0ACgBWAEEATAA6AC0AMQANAAoATgBNADoATABpAG4AZQBzAA0ACgBUAFAAOgAwAA0ACgBWAEEATAA6ADAADQAKAE4ATQA6AFkATABhAGIAZQBsAA0ACgBUAFAAOgAyAA0ACgBWAEEATAA6AA0ACgBOAE0AOgBPAHYAZQByAGwAYQB5AFYAYQByAHMADQAKAFQAUAA6ADAADQAKAFYAQQBMADoAMwANAAoAPAAvAE8AUABUAEkATwBOAFMAPgANAAoATgA6ADIADQAKAFQAWQBQAEUAOgAyAA0ACgBOAE0AOgBIAGkAcwB0AG8AZwByAGEAbQAyAA0ACgBTAEkATQBJAEQAOgAwAA0ACgBTAEUATABTADoAMAANAAoAQwBVAFIAUwBFAEwAOgAwAA0ACgA8AE8AUABUAEkATwBOAFMAPgANAAoAQwBOAFQAOgA4AA0ACgBOAE0AOgBDAGgAYQByAHQAXwBUAGkAdABsAGUADQAKAFQAUAA6ADIADQAKAFYAQQBMADoADQAKAE4ATQA6AHMAbABpAGQAZQByAHMADQAKAFQAUAA6ADAADQAKAFYAQQBMADoAMQANAAoATgBNADoAcwBsAGkAZABlAHIAcwBfAGMAdQBtAHUAbAANAAoAVABQADoAMAANAAoAVgBBAEwAOgAwAA0ACgBOAE0AOgBsAGUAZwBlAG4AZAANAAoAVABQADoAMAANAAoAVgBBAEwAOgAwAA0ACgBOAE0AOgBOAEIAYQByAHMADQAKAFQAUAA6ADAADQAKAFYAQQBMADoALQAxAA0ACgBOAE0AOgBMAGkAbgBlAHMADQAKAFQAUAA6ADAADQAKAFYAQQBMADoAMAANAAoATgBNADoAWQBMAGEAYgBlAGwADQAKAFQAUAA6ADIADQAKAFYAQQBMADoADQAKAE4ATQA6AE8AdgBlAHIAbABhAHkAVgBhAHIAcwANAAoAVABQADoAMAANAAoAVgBBAEwAOgAzAA0ACgA8AC8ATwBQAFQASQBPAE4AUwA+AA0ACgA8AC8AUABBAEcARQBTAD4ADQAKAA==</mr:Charts>
</mr:ModelRisk>
</file>

<file path=customXml/itemProps1.xml><?xml version="1.0" encoding="utf-8"?>
<ds:datastoreItem xmlns:ds="http://schemas.openxmlformats.org/officeDocument/2006/customXml" ds:itemID="{158B37EB-1ABE-40AA-95A6-5ACF13227984}">
  <ds:schemaRefs>
    <ds:schemaRef ds:uri="ModelRisk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40</vt:i4>
      </vt:variant>
    </vt:vector>
  </HeadingPairs>
  <TitlesOfParts>
    <vt:vector size="47" baseType="lpstr">
      <vt:lpstr>Описание</vt:lpstr>
      <vt:lpstr>Исходные данные</vt:lpstr>
      <vt:lpstr>Денежный поток</vt:lpstr>
      <vt:lpstr>Результаты</vt:lpstr>
      <vt:lpstr>ModelRiskDSN</vt:lpstr>
      <vt:lpstr>ModelRiskSYS1</vt:lpstr>
      <vt:lpstr>ModelRiskCharts</vt:lpstr>
      <vt:lpstr>AvgGBP</vt:lpstr>
      <vt:lpstr>AvgRate</vt:lpstr>
      <vt:lpstr>AvgUSD</vt:lpstr>
      <vt:lpstr>CF_Full</vt:lpstr>
      <vt:lpstr>CF_H</vt:lpstr>
      <vt:lpstr>CF_I</vt:lpstr>
      <vt:lpstr>CF_Today</vt:lpstr>
      <vt:lpstr>CF_U</vt:lpstr>
      <vt:lpstr>Checks</vt:lpstr>
      <vt:lpstr>CorrFX</vt:lpstr>
      <vt:lpstr>CorrRate</vt:lpstr>
      <vt:lpstr>CostEUR</vt:lpstr>
      <vt:lpstr>CostGBP</vt:lpstr>
      <vt:lpstr>Euribor0</vt:lpstr>
      <vt:lpstr>Fx_GBP0</vt:lpstr>
      <vt:lpstr>Fx_USD0</vt:lpstr>
      <vt:lpstr>HedgeShare</vt:lpstr>
      <vt:lpstr>Loan</vt:lpstr>
      <vt:lpstr>LoanMargin</vt:lpstr>
      <vt:lpstr>MktCorr</vt:lpstr>
      <vt:lpstr>MktCov</vt:lpstr>
      <vt:lpstr>MktCov0</vt:lpstr>
      <vt:lpstr>MktEigen</vt:lpstr>
      <vt:lpstr>MktInit</vt:lpstr>
      <vt:lpstr>MktMean</vt:lpstr>
      <vt:lpstr>MktVol</vt:lpstr>
      <vt:lpstr>NegQ_H</vt:lpstr>
      <vt:lpstr>NegQ_I</vt:lpstr>
      <vt:lpstr>NegQ_U</vt:lpstr>
      <vt:lpstr>Results!Print_Area</vt:lpstr>
      <vt:lpstr>'Cash flow'!Print_Titles</vt:lpstr>
      <vt:lpstr>Inputs!Print_Titles</vt:lpstr>
      <vt:lpstr>Results!Print_Titles</vt:lpstr>
      <vt:lpstr>RateGBP</vt:lpstr>
      <vt:lpstr>RateUSD</vt:lpstr>
      <vt:lpstr>SalesUSD</vt:lpstr>
      <vt:lpstr>SwapRate</vt:lpstr>
      <vt:lpstr>VolGBP</vt:lpstr>
      <vt:lpstr>VolRate</vt:lpstr>
      <vt:lpstr>VolUSD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CF-05 Валютный и процентный риск</dc:title>
  <dc:subject>Отраслевые примеры моделей МоделРиск — Корпоративные финансы</dc:subject>
  <dc:creator>ООО «Стратегия Риска»</dc:creator>
  <cp:keywords>МоделРиск; Монте-Карло; корпоративные финансы</cp:keywords>
  <dc:description>Продажи компании в долларах, затраты в фунтах и кредит с плавающей ставкой на двенадцать кварталов: денежный поток под риском с хеджированием и без.</dc:description>
  <cp:lastModifiedBy>ООО «Стратегия Риска»</cp:lastModifiedBy>
  <cp:lastPrinted>2026-10-05T13:30:36Z</cp:lastPrinted>
  <dcterms:created xsi:type="dcterms:W3CDTF">2026-10-05T13:26:59Z</dcterms:created>
  <dcterms:modified xsi:type="dcterms:W3CDTF">2026-10-05T13:30:37Z</dcterms:modified>
</cp:coreProperties>
</file>