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296FA89C-1D12-4B22-B8BD-732B57EBAA5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Прогноз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ActualYear">'Исходные данные'!$D$11</definedName>
    <definedName name="Amort">'Исходные данные'!$D$44</definedName>
    <definedName name="AnyBreach">'Прогноз'!$D$72</definedName>
    <definedName name="AnyShort">'Прогноз'!$D$73</definedName>
    <definedName name="AvgGrowth">'Прогноз'!$D$76</definedName>
    <definedName name="BaseRate">'Исходные данные'!$D$41</definedName>
    <definedName name="BaseRate_Hi">'Исходные данные'!$H$41</definedName>
    <definedName name="BaseRate_Lo">'Исходные данные'!$F$41</definedName>
    <definedName name="BaseRate_Mean">'Исходные данные'!$I$41</definedName>
    <definedName name="BaseRate_ML">'Исходные данные'!$G$41</definedName>
    <definedName name="BI_Y1">'Прогноз'!$G$66</definedName>
    <definedName name="BI_Y2">'Прогноз'!$H$66</definedName>
    <definedName name="BI_Y3">'Прогноз'!$I$66</definedName>
    <definedName name="BI_Y4">'Прогноз'!$J$66</definedName>
    <definedName name="BI_Y5">'Прогноз'!$K$66</definedName>
    <definedName name="BL_Y1">'Прогноз'!$G$65</definedName>
    <definedName name="BL_Y2">'Прогноз'!$H$65</definedName>
    <definedName name="BL_Y3">'Прогноз'!$I$65</definedName>
    <definedName name="BL_Y4">'Прогноз'!$J$65</definedName>
    <definedName name="BL_Y5">'Прогноз'!$K$65</definedName>
    <definedName name="BS_Y1">'Прогноз'!$G$67</definedName>
    <definedName name="BS_Y2">'Прогноз'!$H$67</definedName>
    <definedName name="BS_Y3">'Прогноз'!$I$67</definedName>
    <definedName name="BS_Y4">'Прогноз'!$J$67</definedName>
    <definedName name="BS_Y5">'Прогноз'!$K$67</definedName>
    <definedName name="CapexPct">'Исходные данные'!$D$34</definedName>
    <definedName name="CapexPct_Hi">'Исходные данные'!$H$34</definedName>
    <definedName name="CapexPct_Lo">'Исходные данные'!$F$34</definedName>
    <definedName name="CapexPct_Mean">'Исходные данные'!$I$34</definedName>
    <definedName name="CapexPct_ML">'Исходные данные'!$G$34</definedName>
    <definedName name="Cash0">'Исходные данные'!$D$14</definedName>
    <definedName name="Checks">'Прогноз'!$D$80:$D$82</definedName>
    <definedName name="DepRate">'Исходные данные'!$D$35</definedName>
    <definedName name="DIO">'Исходные данные'!$D$32</definedName>
    <definedName name="DIO_Hi">'Исходные данные'!$H$32</definedName>
    <definedName name="DIO_Lo">'Исходные данные'!$F$32</definedName>
    <definedName name="DIO_Mean">'Исходные данные'!$I$32</definedName>
    <definedName name="DIO_ML">'Исходные данные'!$G$32</definedName>
    <definedName name="DIO0">'Исходные данные'!$D$19</definedName>
    <definedName name="DivLev">'Исходные данные'!$D$48</definedName>
    <definedName name="DPO">'Исходные данные'!$D$33</definedName>
    <definedName name="DPO_Hi">'Исходные данные'!$H$33</definedName>
    <definedName name="DPO_Lo">'Исходные данные'!$F$33</definedName>
    <definedName name="DPO_Mean">'Исходные данные'!$I$33</definedName>
    <definedName name="DPO_ML">'Исходные данные'!$G$33</definedName>
    <definedName name="DPO0">'Исходные данные'!$D$20</definedName>
    <definedName name="DSO">'Исходные данные'!$D$31</definedName>
    <definedName name="DSO_Hi">'Исходные данные'!$H$31</definedName>
    <definedName name="DSO_Lo">'Исходные данные'!$F$31</definedName>
    <definedName name="DSO_Mean">'Исходные данные'!$I$31</definedName>
    <definedName name="DSO_ML">'Исходные данные'!$G$31</definedName>
    <definedName name="DSO0">'Исходные данные'!$D$18</definedName>
    <definedName name="Equity0">'Прогноз'!$D$14</definedName>
    <definedName name="ExpGrowth">'Исходные данные'!$D$25</definedName>
    <definedName name="GrowthA">'Исходные данные'!$D$27</definedName>
    <definedName name="GrowthMu">'Прогноз'!$D$11</definedName>
    <definedName name="GrowthR0">'Прогноз'!$D$12</definedName>
    <definedName name="GrowthSD">'Прогноз'!$D$13</definedName>
    <definedName name="GrowthVol">'Исходные данные'!$D$26</definedName>
    <definedName name="ICMin">'Исходные данные'!$D$50</definedName>
    <definedName name="InputMeans">'Исходные данные'!$I$29:$I$41</definedName>
    <definedName name="LastGrowth">'Исходные данные'!$D$28</definedName>
    <definedName name="Lev_Y1">'Прогноз'!$G$63</definedName>
    <definedName name="Lev_Y2">'Прогноз'!$H$63</definedName>
    <definedName name="Lev_Y3">'Прогноз'!$I$63</definedName>
    <definedName name="Lev_Y4">'Прогноз'!$J$63</definedName>
    <definedName name="Lev_Y5">'Прогноз'!$K$63</definedName>
    <definedName name="LevMax">'Исходные данные'!$D$49</definedName>
    <definedName name="Margin0">'Исходные данные'!$D$13</definedName>
    <definedName name="MarginBase">'Исходные данные'!$D$29</definedName>
    <definedName name="MarginBase_Hi">'Исходные данные'!$H$29</definedName>
    <definedName name="MarginBase_Lo">'Исходные данные'!$F$29</definedName>
    <definedName name="MarginBase_Mean">'Исходные данные'!$I$29</definedName>
    <definedName name="MarginBase_ML">'Исходные данные'!$G$29</definedName>
    <definedName name="MinCash">'Исходные данные'!$D$46</definedName>
    <definedName name="OpLev">'Исходные данные'!$D$30</definedName>
    <definedName name="Payout">'Исходные данные'!$D$47</definedName>
    <definedName name="PeakLev">'Прогноз'!$D$74</definedName>
    <definedName name="PeakRCF">'Прогноз'!$D$75</definedName>
    <definedName name="PPE0">'Исходные данные'!$D$15</definedName>
    <definedName name="_xlnm.Print_Area" localSheetId="3">'Результаты'!$A$1:$R$64</definedName>
    <definedName name="_xlnm.Print_Titles" localSheetId="2">'Прогноз'!$6:$7,'Прогноз'!$A:$D</definedName>
    <definedName name="_xlnm.Print_Titles" localSheetId="1">'Исходные данные'!$1:$4</definedName>
    <definedName name="_xlnm.Print_Titles" localSheetId="3">'Результаты'!$1:$4</definedName>
    <definedName name="RCF0">'Исходные данные'!$D$17</definedName>
    <definedName name="RCFLimit">'Исходные данные'!$D$45</definedName>
    <definedName name="RCFMargin">'Исходные данные'!$D$43</definedName>
    <definedName name="Rev0">'Исходные данные'!$D$12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TaxRate">'Исходные данные'!$D$36</definedName>
    <definedName name="TL0">'Исходные данные'!$D$16</definedName>
    <definedName name="TLMargin">'Исходные данные'!$D$42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6" i="4" l="1"/>
  <c r="H135" i="4"/>
  <c r="H134" i="4"/>
  <c r="H133" i="4"/>
  <c r="H132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D17" i="4"/>
  <c r="D14" i="4"/>
  <c r="F115" i="3"/>
  <c r="G91" i="3"/>
  <c r="F113" i="3"/>
  <c r="F121" i="3" s="1"/>
  <c r="G104" i="3"/>
  <c r="F112" i="3"/>
  <c r="F110" i="3"/>
  <c r="G92" i="3" s="1"/>
  <c r="F98" i="3"/>
  <c r="F118" i="3" s="1"/>
  <c r="F97" i="3"/>
  <c r="F96" i="3"/>
  <c r="F89" i="3"/>
  <c r="F87" i="3"/>
  <c r="G87" i="3"/>
  <c r="G97" i="3" s="1"/>
  <c r="G96" i="3"/>
  <c r="F54" i="3"/>
  <c r="F50" i="3"/>
  <c r="G39" i="3" s="1"/>
  <c r="F49" i="3"/>
  <c r="F47" i="3"/>
  <c r="F31" i="3"/>
  <c r="F30" i="3"/>
  <c r="F29" i="3"/>
  <c r="F32" i="3" s="1"/>
  <c r="F20" i="3"/>
  <c r="F18" i="3"/>
  <c r="F21" i="3" s="1"/>
  <c r="D82" i="3" s="1"/>
  <c r="D14" i="3"/>
  <c r="F117" i="3" s="1"/>
  <c r="D13" i="3"/>
  <c r="D12" i="3"/>
  <c r="F88" i="3"/>
  <c r="D11" i="3"/>
  <c r="G18" i="3" a="1"/>
  <c r="F7" i="3"/>
  <c r="G6" i="3"/>
  <c r="H6" i="3" s="1"/>
  <c r="H7" i="3" s="1"/>
  <c r="G100" i="3"/>
  <c r="G103" i="3"/>
  <c r="G88" i="3"/>
  <c r="F19" i="3"/>
  <c r="H87" i="3"/>
  <c r="H88" i="3" s="1"/>
  <c r="H89" i="3" s="1"/>
  <c r="H90" i="3" s="1"/>
  <c r="G98" i="3"/>
  <c r="I33" i="2" a="1"/>
  <c r="D29" i="2" a="1"/>
  <c r="D41" i="2" a="1"/>
  <c r="D32" i="2" a="1"/>
  <c r="I31" i="2" a="1"/>
  <c r="D31" i="2" a="1"/>
  <c r="I32" i="2" a="1"/>
  <c r="D34" i="2" a="1"/>
  <c r="I41" i="2" a="1"/>
  <c r="I29" i="2" a="1"/>
  <c r="I34" i="2" a="1"/>
  <c r="D33" i="2" a="1"/>
  <c r="G99" i="3" l="1"/>
  <c r="B25" i="4"/>
  <c r="B133" i="4"/>
  <c r="G50" i="3"/>
  <c r="H39" i="3" s="1"/>
  <c r="H50" i="3" s="1"/>
  <c r="G89" i="3"/>
  <c r="G90" i="3" s="1"/>
  <c r="G123" i="3" s="1"/>
  <c r="I87" i="3"/>
  <c r="I98" i="3" s="1"/>
  <c r="G113" i="3"/>
  <c r="H104" i="3" s="1"/>
  <c r="H113" i="3" s="1"/>
  <c r="H98" i="3"/>
  <c r="H97" i="3"/>
  <c r="G7" i="3"/>
  <c r="F99" i="3"/>
  <c r="H96" i="3"/>
  <c r="H99" i="3" s="1"/>
  <c r="F56" i="3"/>
  <c r="F57" i="3" s="1"/>
  <c r="G115" i="3"/>
  <c r="I18" i="3"/>
  <c r="G18" i="3"/>
  <c r="K18" i="3"/>
  <c r="J18" i="3"/>
  <c r="F116" i="3"/>
  <c r="F119" i="3" s="1"/>
  <c r="G22" i="3"/>
  <c r="I6" i="3"/>
  <c r="F90" i="3"/>
  <c r="F55" i="3"/>
  <c r="H18" i="3"/>
  <c r="H100" i="3"/>
  <c r="H103" i="3" s="1"/>
  <c r="F62" i="3"/>
  <c r="D33" i="2"/>
  <c r="I34" i="2"/>
  <c r="I29" i="2"/>
  <c r="D81" i="3" s="1"/>
  <c r="I41" i="2"/>
  <c r="D34" i="2"/>
  <c r="I32" i="2"/>
  <c r="D31" i="2"/>
  <c r="I31" i="2"/>
  <c r="D32" i="2"/>
  <c r="D41" i="2"/>
  <c r="D29" i="2"/>
  <c r="I33" i="2"/>
  <c r="G125" i="3" l="1"/>
  <c r="G93" i="3"/>
  <c r="G94" i="3" s="1"/>
  <c r="I100" i="3"/>
  <c r="I103" i="3" s="1"/>
  <c r="F58" i="3"/>
  <c r="J87" i="3"/>
  <c r="J98" i="3" s="1"/>
  <c r="I88" i="3"/>
  <c r="I89" i="3" s="1"/>
  <c r="I90" i="3" s="1"/>
  <c r="G105" i="3"/>
  <c r="I97" i="3"/>
  <c r="B24" i="4"/>
  <c r="B132" i="4"/>
  <c r="I96" i="3"/>
  <c r="F122" i="3"/>
  <c r="G102" i="3"/>
  <c r="G106" i="3" s="1"/>
  <c r="G117" i="3"/>
  <c r="I104" i="3"/>
  <c r="I113" i="3" s="1"/>
  <c r="J96" i="3"/>
  <c r="J97" i="3"/>
  <c r="J100" i="3"/>
  <c r="J103" i="3" s="1"/>
  <c r="K31" i="3"/>
  <c r="K33" i="3"/>
  <c r="K38" i="3" s="1"/>
  <c r="K19" i="3"/>
  <c r="K20" i="3" s="1"/>
  <c r="K21" i="3" s="1"/>
  <c r="K29" i="3"/>
  <c r="K30" i="3"/>
  <c r="G31" i="3"/>
  <c r="G19" i="3"/>
  <c r="G20" i="3" s="1"/>
  <c r="G21" i="3" s="1"/>
  <c r="G30" i="3"/>
  <c r="G29" i="3"/>
  <c r="G33" i="3"/>
  <c r="H91" i="3"/>
  <c r="H115" i="3" s="1"/>
  <c r="I31" i="3"/>
  <c r="I19" i="3"/>
  <c r="I20" i="3" s="1"/>
  <c r="I21" i="3" s="1"/>
  <c r="I29" i="3"/>
  <c r="I33" i="3"/>
  <c r="I38" i="3" s="1"/>
  <c r="I30" i="3"/>
  <c r="I7" i="3"/>
  <c r="J6" i="3"/>
  <c r="G23" i="3"/>
  <c r="H30" i="3"/>
  <c r="H31" i="3"/>
  <c r="H29" i="3"/>
  <c r="H33" i="3"/>
  <c r="H38" i="3" s="1"/>
  <c r="H19" i="3"/>
  <c r="H20" i="3" s="1"/>
  <c r="H21" i="3" s="1"/>
  <c r="J29" i="3"/>
  <c r="J19" i="3"/>
  <c r="J20" i="3" s="1"/>
  <c r="J21" i="3" s="1"/>
  <c r="J33" i="3"/>
  <c r="J38" i="3" s="1"/>
  <c r="J30" i="3"/>
  <c r="J31" i="3"/>
  <c r="I39" i="3"/>
  <c r="I50" i="3" s="1"/>
  <c r="F63" i="3"/>
  <c r="B26" i="4" l="1"/>
  <c r="B134" i="4"/>
  <c r="J88" i="3"/>
  <c r="J89" i="3" s="1"/>
  <c r="J90" i="3" s="1"/>
  <c r="I99" i="3"/>
  <c r="K87" i="3"/>
  <c r="G32" i="3"/>
  <c r="H32" i="3"/>
  <c r="G24" i="3"/>
  <c r="G25" i="3" s="1"/>
  <c r="G66" i="3" a="1"/>
  <c r="G66" i="3" s="1"/>
  <c r="I32" i="3"/>
  <c r="D76" i="3" a="1"/>
  <c r="D76" i="3" s="1"/>
  <c r="J39" i="3"/>
  <c r="J50" i="3" s="1"/>
  <c r="J104" i="3"/>
  <c r="J113" i="3" s="1"/>
  <c r="G108" i="3"/>
  <c r="G109" i="3" s="1"/>
  <c r="K96" i="3"/>
  <c r="K100" i="3"/>
  <c r="K103" i="3" s="1"/>
  <c r="J32" i="3"/>
  <c r="G64" i="3"/>
  <c r="I91" i="3"/>
  <c r="I115" i="3" s="1"/>
  <c r="J7" i="3"/>
  <c r="K6" i="3"/>
  <c r="K7" i="3" s="1"/>
  <c r="J99" i="3"/>
  <c r="G38" i="3"/>
  <c r="G54" i="3"/>
  <c r="K32" i="3"/>
  <c r="D24" i="4" a="1"/>
  <c r="B136" i="4" l="1"/>
  <c r="B28" i="4"/>
  <c r="K88" i="3"/>
  <c r="K89" i="3" s="1"/>
  <c r="K90" i="3" s="1"/>
  <c r="B27" i="4"/>
  <c r="B135" i="4"/>
  <c r="K98" i="3"/>
  <c r="K97" i="3"/>
  <c r="K99" i="3" s="1"/>
  <c r="D24" i="4"/>
  <c r="G37" i="3"/>
  <c r="G40" i="3"/>
  <c r="G56" i="3" s="1"/>
  <c r="K104" i="3"/>
  <c r="K113" i="3"/>
  <c r="K39" i="3"/>
  <c r="K50" i="3" s="1"/>
  <c r="H22" i="3"/>
  <c r="H54" i="3" s="1"/>
  <c r="G110" i="3"/>
  <c r="J91" i="3"/>
  <c r="J115" i="3"/>
  <c r="G41" i="3" l="1"/>
  <c r="G45" i="3" s="1"/>
  <c r="G46" i="3" s="1"/>
  <c r="I22" i="3"/>
  <c r="I54" i="3" s="1"/>
  <c r="G118" i="3"/>
  <c r="H92" i="3"/>
  <c r="G112" i="3"/>
  <c r="G121" i="3" s="1"/>
  <c r="K91" i="3"/>
  <c r="K115" i="3" s="1"/>
  <c r="G111" i="3"/>
  <c r="G126" i="3" s="1"/>
  <c r="J22" i="3" l="1"/>
  <c r="G47" i="3"/>
  <c r="G48" i="3" s="1"/>
  <c r="G67" i="3" s="1" a="1"/>
  <c r="G67" i="3" s="1"/>
  <c r="G116" i="3"/>
  <c r="G119" i="3" s="1"/>
  <c r="H123" i="3"/>
  <c r="H125" i="3"/>
  <c r="H93" i="3"/>
  <c r="H94" i="3" s="1"/>
  <c r="G122" i="3"/>
  <c r="G132" i="4" s="1"/>
  <c r="G124" i="3"/>
  <c r="E24" i="4" a="1"/>
  <c r="E24" i="4" l="1"/>
  <c r="H102" i="3"/>
  <c r="H105" i="3"/>
  <c r="H117" i="3" s="1"/>
  <c r="H23" i="3"/>
  <c r="G57" i="3"/>
  <c r="G49" i="3"/>
  <c r="G62" i="3" s="1"/>
  <c r="J54" i="3"/>
  <c r="G63" i="3" l="1" a="1"/>
  <c r="G63" i="3" s="1"/>
  <c r="G65" i="3" a="1"/>
  <c r="G65" i="3" s="1"/>
  <c r="G55" i="3"/>
  <c r="G58" i="3" s="1"/>
  <c r="K22" i="3"/>
  <c r="K54" i="3" s="1"/>
  <c r="H64" i="3"/>
  <c r="H66" i="3" a="1"/>
  <c r="H66" i="3" s="1"/>
  <c r="H24" i="3"/>
  <c r="H25" i="3" s="1"/>
  <c r="H106" i="3"/>
  <c r="F132" i="4" a="1"/>
  <c r="F24" i="4" a="1"/>
  <c r="E132" i="4" a="1"/>
  <c r="D132" i="4" a="1"/>
  <c r="C132" i="4" a="1"/>
  <c r="G24" i="4" a="1"/>
  <c r="C24" i="4" a="1"/>
  <c r="D25" i="4" a="1"/>
  <c r="D25" i="4" l="1"/>
  <c r="C24" i="4"/>
  <c r="G24" i="4"/>
  <c r="C132" i="4"/>
  <c r="D132" i="4"/>
  <c r="E132" i="4"/>
  <c r="F24" i="4"/>
  <c r="F132" i="4"/>
  <c r="H37" i="3"/>
  <c r="H40" i="3"/>
  <c r="H56" i="3" s="1"/>
  <c r="H108" i="3"/>
  <c r="H109" i="3" s="1"/>
  <c r="H110" i="3" l="1"/>
  <c r="H111" i="3" s="1"/>
  <c r="H126" i="3" s="1"/>
  <c r="H41" i="3"/>
  <c r="I92" i="3" l="1"/>
  <c r="H118" i="3"/>
  <c r="H112" i="3"/>
  <c r="H121" i="3" s="1"/>
  <c r="H45" i="3"/>
  <c r="H46" i="3" s="1"/>
  <c r="I123" i="3" l="1"/>
  <c r="I125" i="3"/>
  <c r="I93" i="3"/>
  <c r="I94" i="3" s="1"/>
  <c r="H122" i="3"/>
  <c r="G133" i="4" s="1"/>
  <c r="H124" i="3"/>
  <c r="H47" i="3"/>
  <c r="H48" i="3" s="1"/>
  <c r="H67" i="3" s="1" a="1"/>
  <c r="H67" i="3" s="1"/>
  <c r="H116" i="3"/>
  <c r="H119" i="3" s="1"/>
  <c r="E25" i="4" a="1"/>
  <c r="E25" i="4" l="1"/>
  <c r="I102" i="3"/>
  <c r="I105" i="3"/>
  <c r="I117" i="3" s="1"/>
  <c r="I23" i="3"/>
  <c r="H57" i="3"/>
  <c r="H49" i="3"/>
  <c r="H62" i="3" s="1"/>
  <c r="I106" i="3" l="1"/>
  <c r="H65" i="3" a="1"/>
  <c r="H65" i="3" s="1"/>
  <c r="H63" i="3" a="1"/>
  <c r="H63" i="3" s="1"/>
  <c r="I108" i="3"/>
  <c r="I109" i="3" s="1"/>
  <c r="I64" i="3"/>
  <c r="I66" i="3" a="1"/>
  <c r="I66" i="3" s="1"/>
  <c r="I24" i="3"/>
  <c r="I25" i="3" s="1"/>
  <c r="H55" i="3"/>
  <c r="H58" i="3" s="1"/>
  <c r="C25" i="4" a="1"/>
  <c r="G25" i="4" a="1"/>
  <c r="D133" i="4" a="1"/>
  <c r="C133" i="4" a="1"/>
  <c r="F25" i="4" a="1"/>
  <c r="F133" i="4" a="1"/>
  <c r="E133" i="4" a="1"/>
  <c r="D26" i="4" a="1"/>
  <c r="D26" i="4" l="1"/>
  <c r="E133" i="4"/>
  <c r="F133" i="4"/>
  <c r="F25" i="4"/>
  <c r="C133" i="4"/>
  <c r="D133" i="4"/>
  <c r="G25" i="4"/>
  <c r="C25" i="4"/>
  <c r="I37" i="3"/>
  <c r="I40" i="3"/>
  <c r="I56" i="3" s="1"/>
  <c r="I110" i="3"/>
  <c r="I111" i="3"/>
  <c r="I126" i="3" s="1"/>
  <c r="I118" i="3" l="1"/>
  <c r="J92" i="3"/>
  <c r="I112" i="3"/>
  <c r="I121" i="3" s="1"/>
  <c r="I41" i="3"/>
  <c r="I122" i="3" l="1"/>
  <c r="G134" i="4" s="1"/>
  <c r="I124" i="3"/>
  <c r="I45" i="3"/>
  <c r="I46" i="3" s="1"/>
  <c r="I116" i="3"/>
  <c r="I119" i="3" s="1"/>
  <c r="J123" i="3"/>
  <c r="J125" i="3"/>
  <c r="J93" i="3"/>
  <c r="J94" i="3" s="1"/>
  <c r="J102" i="3" l="1"/>
  <c r="J105" i="3"/>
  <c r="J117" i="3" s="1"/>
  <c r="I47" i="3"/>
  <c r="J106" i="3" l="1"/>
  <c r="J108" i="3"/>
  <c r="J109" i="3" s="1"/>
  <c r="J23" i="3"/>
  <c r="I57" i="3"/>
  <c r="I49" i="3"/>
  <c r="I48" i="3"/>
  <c r="I67" i="3" s="1" a="1"/>
  <c r="I67" i="3" s="1"/>
  <c r="E26" i="4" a="1"/>
  <c r="E26" i="4" l="1"/>
  <c r="I55" i="3"/>
  <c r="I58" i="3" s="1"/>
  <c r="I62" i="3"/>
  <c r="J64" i="3"/>
  <c r="J66" i="3" a="1"/>
  <c r="J66" i="3" s="1"/>
  <c r="J24" i="3"/>
  <c r="J25" i="3" s="1"/>
  <c r="J110" i="3"/>
  <c r="J111" i="3"/>
  <c r="J126" i="3" s="1"/>
  <c r="D27" i="4" a="1"/>
  <c r="D27" i="4" l="1"/>
  <c r="J37" i="3"/>
  <c r="I63" i="3" a="1"/>
  <c r="I63" i="3" s="1"/>
  <c r="I65" i="3" a="1"/>
  <c r="I65" i="3" s="1"/>
  <c r="J40" i="3"/>
  <c r="J56" i="3" s="1"/>
  <c r="J121" i="3"/>
  <c r="K92" i="3"/>
  <c r="J118" i="3"/>
  <c r="J112" i="3"/>
  <c r="C134" i="4" a="1"/>
  <c r="F134" i="4" a="1"/>
  <c r="E134" i="4" a="1"/>
  <c r="G26" i="4" a="1"/>
  <c r="D134" i="4" a="1"/>
  <c r="F26" i="4" a="1"/>
  <c r="C26" i="4" a="1"/>
  <c r="C26" i="4" l="1"/>
  <c r="F26" i="4"/>
  <c r="D134" i="4"/>
  <c r="G26" i="4"/>
  <c r="E134" i="4"/>
  <c r="F134" i="4"/>
  <c r="C134" i="4"/>
  <c r="J116" i="3"/>
  <c r="J119" i="3" s="1"/>
  <c r="K123" i="3"/>
  <c r="K125" i="3"/>
  <c r="K93" i="3"/>
  <c r="K94" i="3"/>
  <c r="J124" i="3"/>
  <c r="K105" i="3"/>
  <c r="J122" i="3"/>
  <c r="G135" i="4" s="1"/>
  <c r="J41" i="3"/>
  <c r="J45" i="3" l="1"/>
  <c r="J46" i="3" s="1"/>
  <c r="K102" i="3"/>
  <c r="K106" i="3" s="1"/>
  <c r="K117" i="3"/>
  <c r="K108" i="3" l="1"/>
  <c r="K109" i="3" s="1"/>
  <c r="J47" i="3"/>
  <c r="J48" i="3" s="1"/>
  <c r="J67" i="3" s="1" a="1"/>
  <c r="J67" i="3" s="1"/>
  <c r="E27" i="4" a="1"/>
  <c r="E27" i="4" l="1"/>
  <c r="K110" i="3"/>
  <c r="K23" i="3"/>
  <c r="J57" i="3"/>
  <c r="J49" i="3"/>
  <c r="J55" i="3" l="1"/>
  <c r="J58" i="3" s="1"/>
  <c r="J62" i="3"/>
  <c r="K118" i="3"/>
  <c r="K112" i="3"/>
  <c r="K116" i="3" s="1"/>
  <c r="K119" i="3" s="1"/>
  <c r="K64" i="3"/>
  <c r="K66" i="3" a="1"/>
  <c r="K66" i="3" s="1"/>
  <c r="K24" i="3"/>
  <c r="K25" i="3" s="1"/>
  <c r="K111" i="3"/>
  <c r="K126" i="3" s="1"/>
  <c r="D28" i="4" a="1"/>
  <c r="D28" i="4" l="1"/>
  <c r="K121" i="3"/>
  <c r="K40" i="3"/>
  <c r="K56" i="3" s="1"/>
  <c r="J65" i="3" a="1"/>
  <c r="J65" i="3" s="1"/>
  <c r="J63" i="3" a="1"/>
  <c r="J63" i="3" s="1"/>
  <c r="K37" i="3"/>
  <c r="K41" i="3" s="1"/>
  <c r="G27" i="4" a="1"/>
  <c r="E135" i="4" a="1"/>
  <c r="F27" i="4" a="1"/>
  <c r="D135" i="4" a="1"/>
  <c r="C135" i="4" a="1"/>
  <c r="F135" i="4" a="1"/>
  <c r="C27" i="4" a="1"/>
  <c r="C27" i="4" l="1"/>
  <c r="F135" i="4"/>
  <c r="C135" i="4"/>
  <c r="D135" i="4"/>
  <c r="F27" i="4"/>
  <c r="E135" i="4"/>
  <c r="G27" i="4"/>
  <c r="K45" i="3"/>
  <c r="K46" i="3" s="1"/>
  <c r="K124" i="3"/>
  <c r="K122" i="3"/>
  <c r="G136" i="4" l="1"/>
  <c r="B61" i="4"/>
  <c r="K47" i="3"/>
  <c r="K57" i="3" l="1"/>
  <c r="D75" i="3" a="1"/>
  <c r="D75" i="3" s="1"/>
  <c r="K49" i="3"/>
  <c r="K55" i="3" s="1"/>
  <c r="K58" i="3" s="1"/>
  <c r="D80" i="3" s="1"/>
  <c r="B7" i="4" s="1"/>
  <c r="K48" i="3"/>
  <c r="K67" i="3" s="1" a="1"/>
  <c r="K67" i="3" s="1"/>
  <c r="E28" i="4" a="1"/>
  <c r="D18" i="4" a="1"/>
  <c r="D18" i="4" l="1"/>
  <c r="E28" i="4"/>
  <c r="D73" i="3" a="1"/>
  <c r="D73" i="3" s="1"/>
  <c r="K62" i="3"/>
  <c r="D13" i="4" a="1"/>
  <c r="D13" i="4" l="1"/>
  <c r="K63" i="3" a="1"/>
  <c r="K63" i="3" s="1"/>
  <c r="K65" i="3" a="1"/>
  <c r="K65" i="3" s="1"/>
  <c r="F136" i="4" a="1"/>
  <c r="F28" i="4" a="1"/>
  <c r="E136" i="4" a="1"/>
  <c r="D136" i="4" a="1"/>
  <c r="C136" i="4" a="1"/>
  <c r="G28" i="4" a="1"/>
  <c r="C28" i="4" a="1"/>
  <c r="C28" i="4" l="1"/>
  <c r="G28" i="4"/>
  <c r="C136" i="4"/>
  <c r="D136" i="4"/>
  <c r="E136" i="4"/>
  <c r="F28" i="4"/>
  <c r="F136" i="4"/>
  <c r="D72" i="3" a="1"/>
  <c r="D72" i="3" s="1"/>
  <c r="D74" i="3" a="1"/>
  <c r="D74" i="3" s="1"/>
  <c r="D116" i="4" a="1"/>
  <c r="D99" i="4" a="1"/>
  <c r="D112" i="4" a="1"/>
  <c r="D87" i="4" a="1"/>
  <c r="D104" i="4" a="1"/>
  <c r="D71" i="4" a="1"/>
  <c r="D100" i="4" a="1"/>
  <c r="D16" i="4" a="1"/>
  <c r="D84" i="4" a="1"/>
  <c r="D102" i="4" a="1"/>
  <c r="D80" i="4" a="1"/>
  <c r="D15" i="4" a="1"/>
  <c r="D72" i="4" a="1"/>
  <c r="D109" i="4" a="1"/>
  <c r="D103" i="4" a="1"/>
  <c r="D98" i="4" a="1"/>
  <c r="D113" i="4" a="1"/>
  <c r="D101" i="4" a="1"/>
  <c r="D108" i="4" a="1"/>
  <c r="D76" i="4" a="1"/>
  <c r="D95" i="4" a="1"/>
  <c r="B6" i="4" a="1"/>
  <c r="D94" i="4" a="1"/>
  <c r="D105" i="4" a="1"/>
  <c r="D93" i="4" a="1"/>
  <c r="D91" i="4" a="1"/>
  <c r="D82" i="4" a="1"/>
  <c r="D90" i="4" a="1"/>
  <c r="D97" i="4" a="1"/>
  <c r="D85" i="4" a="1"/>
  <c r="D119" i="4" a="1"/>
  <c r="D118" i="4" a="1"/>
  <c r="D86" i="4" a="1"/>
  <c r="D89" i="4" a="1"/>
  <c r="D77" i="4" a="1"/>
  <c r="D96" i="4" a="1"/>
  <c r="D115" i="4" a="1"/>
  <c r="D83" i="4" a="1"/>
  <c r="D114" i="4" a="1"/>
  <c r="D78" i="4" a="1"/>
  <c r="D81" i="4" a="1"/>
  <c r="D92" i="4" a="1"/>
  <c r="D111" i="4" a="1"/>
  <c r="D79" i="4" a="1"/>
  <c r="D110" i="4" a="1"/>
  <c r="D74" i="4" a="1"/>
  <c r="D73" i="4" a="1"/>
  <c r="D88" i="4" a="1"/>
  <c r="D107" i="4" a="1"/>
  <c r="D75" i="4" a="1"/>
  <c r="D106" i="4" a="1"/>
  <c r="D70" i="4" a="1"/>
  <c r="D117" i="4" a="1"/>
  <c r="D121" i="4" a="1"/>
  <c r="D12" i="4" a="1"/>
  <c r="B49" i="4" a="1"/>
  <c r="C55" i="4" l="1"/>
  <c r="B51" i="4"/>
  <c r="B125" i="4" s="1"/>
  <c r="D51" i="4"/>
  <c r="D53" i="4"/>
  <c r="C53" i="4"/>
  <c r="D54" i="4"/>
  <c r="E55" i="4"/>
  <c r="B52" i="4"/>
  <c r="B126" i="4" s="1"/>
  <c r="C51" i="4"/>
  <c r="D52" i="4"/>
  <c r="C54" i="4"/>
  <c r="B50" i="4"/>
  <c r="B124" i="4" s="1"/>
  <c r="C49" i="4"/>
  <c r="D50" i="4"/>
  <c r="C52" i="4"/>
  <c r="G126" i="4" s="1"/>
  <c r="B55" i="4"/>
  <c r="B129" i="4" s="1"/>
  <c r="E54" i="4"/>
  <c r="C50" i="4"/>
  <c r="B54" i="4"/>
  <c r="B128" i="4" s="1"/>
  <c r="E52" i="4"/>
  <c r="E51" i="4"/>
  <c r="B53" i="4"/>
  <c r="B127" i="4" s="1"/>
  <c r="E50" i="4"/>
  <c r="D55" i="4"/>
  <c r="F129" i="4" s="1"/>
  <c r="D49" i="4"/>
  <c r="E53" i="4"/>
  <c r="B49" i="4"/>
  <c r="B123" i="4" s="1"/>
  <c r="E49" i="4"/>
  <c r="D12" i="4"/>
  <c r="D121" i="4"/>
  <c r="D117" i="4"/>
  <c r="D70" i="4"/>
  <c r="D106" i="4"/>
  <c r="D75" i="4"/>
  <c r="D107" i="4"/>
  <c r="D88" i="4"/>
  <c r="D73" i="4"/>
  <c r="D74" i="4"/>
  <c r="D110" i="4"/>
  <c r="D79" i="4"/>
  <c r="D111" i="4"/>
  <c r="D92" i="4"/>
  <c r="D81" i="4"/>
  <c r="D78" i="4"/>
  <c r="D114" i="4"/>
  <c r="D83" i="4"/>
  <c r="D115" i="4"/>
  <c r="D96" i="4"/>
  <c r="D77" i="4"/>
  <c r="D89" i="4"/>
  <c r="D86" i="4"/>
  <c r="D118" i="4"/>
  <c r="D119" i="4"/>
  <c r="D85" i="4"/>
  <c r="D97" i="4"/>
  <c r="D90" i="4"/>
  <c r="D82" i="4"/>
  <c r="D91" i="4"/>
  <c r="D93" i="4"/>
  <c r="D105" i="4"/>
  <c r="D94" i="4"/>
  <c r="B6" i="4"/>
  <c r="D95" i="4"/>
  <c r="D76" i="4"/>
  <c r="D108" i="4"/>
  <c r="D101" i="4"/>
  <c r="D113" i="4"/>
  <c r="D98" i="4"/>
  <c r="D103" i="4"/>
  <c r="D109" i="4"/>
  <c r="D72" i="4"/>
  <c r="D15" i="4"/>
  <c r="D80" i="4"/>
  <c r="D102" i="4"/>
  <c r="D84" i="4"/>
  <c r="D16" i="4"/>
  <c r="D100" i="4"/>
  <c r="D71" i="4"/>
  <c r="D104" i="4"/>
  <c r="D87" i="4"/>
  <c r="D112" i="4"/>
  <c r="D99" i="4"/>
  <c r="D116" i="4"/>
  <c r="G123" i="4" l="1"/>
  <c r="G127" i="4"/>
  <c r="G128" i="4"/>
  <c r="F123" i="4"/>
  <c r="G125" i="4"/>
  <c r="G129" i="4"/>
  <c r="F124" i="4"/>
  <c r="F128" i="4"/>
  <c r="F127" i="4"/>
  <c r="F125" i="4"/>
  <c r="G124" i="4"/>
  <c r="F126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<sst xmlns="http://schemas.openxmlformats.org/spreadsheetml/2006/main" count="503" uniqueCount="303">
  <si>
    <t xml:space="preserve">Финансовый прогноз по трем формам и риск финансирования</t>
  </si>
  <si>
    <t xml:space="preserve">Пример МоделРиск  ·  Корпоративные финансы  ·  CF-03</t>
  </si>
  <si>
    <t xml:space="preserve">Удержится ли компания в рамках банковских ковенантов?  Пятилетний прогноз по трем формам отчетности с риском финансирования.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</si>
  <si>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</si>
  <si>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</si>
  <si>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</si>
  <si>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Корпоративные финансы</t>
  </si>
  <si>
    <t xml:space="preserve">Сложность</t>
  </si>
  <si>
    <t xml:space="preserve">★★★★★   Пять лет связанных отчета о прибылях и убытках, баланса и денежного потока с возобновляемой линией, дивидендами и проверкой ковенантов в каждой итерации.</t>
  </si>
  <si>
    <t xml:space="preserve">Вопрос бизнеса</t>
  </si>
  <si>
    <t xml:space="preserve">Производитель упаковки представляет пятилетний план совету директоров и банкам. По плану долговая нагрузка уверенно снижается. Насколько вероятно, что компания по пути нарушит ковенант или столкнется с нехваткой ликвидности, в каком году и что это определяет?</t>
  </si>
  <si>
    <t xml:space="preserve">Для кого</t>
  </si>
  <si>
    <t xml:space="preserve">Финансовым директорам, казначейству и службам планирования, кредиторам и кредитным аналитикам, советам директоров, утверждающим план финансирования.</t>
  </si>
  <si>
    <t xml:space="preserve">Основные результаты</t>
  </si>
  <si>
    <t xml:space="preserve">Вероятность нарушить ковенант по долговой нагрузке или по покрытию процентов и вероятность нехватки ликвидности по годам и за пять лет · долговая нагрузка по годам с диапазоном в сравнении с планом и ковенантом · пиковая нагрузка и использование возобновляемой линии · ключевые факторы нарушения.</t>
  </si>
  <si>
    <t xml:space="preserve">Приемы МоделРиск</t>
  </si>
  <si>
    <t xml:space="preserve">Выручка как авторегрессионный временной ряд (VoseTimeAR1) · рентабельность, которая меняется вместе с ростом · оборачиваемость оборотного капитала, капитальные затраты и процентные ставки как оценки PERT · связанный баланс, который сходится в каждой итерации · возобновляемая линия, закрывающая любой кассовый разрыв · запрет дивидендов выше порога нагрузки · проверки ковенантов в формулировке банков как выходы · план, повторенный на наиболее вероятных значениях · веерная диаграмма с планом и ковенантом · «торнадо» вероятности нарушения.</t>
  </si>
  <si>
    <t xml:space="preserve">Файл</t>
  </si>
  <si>
    <t xml:space="preserve">CF-03 Финансовый прогноз по трем формам и риск финансирования  ·  Версия 1.0  ·  Ноябрь 2026  ·  создано в МоделРиск</t>
  </si>
  <si>
    <t xml:space="preserve">Вопрос бизнеса</t>
  </si>
  <si>
    <t xml:space="preserve">Выручка производителя упаковки в 2026 году — 400 млн долл., EBITDA — 60 млн долл. Компания должна 160 млн долл. по срочному кредиту, который гасится по 15 млн долл. в год, и имеет невыбранную возобновляемую кредитную линию на 60 млн долл. Банки проверяют два ковенанта на конец каждого года: чистый долг не более 3,0 EBITDA и EBITDA не менее 4,0 процентов. Компания выплачивает 35% прибыли в виде дивидендов, пока долговая нагрузка ниже 2,5. План руководства с ростом 4% в год и рентабельностью 15% снижает нагрузку с 2,4 сегодня примерно до 1,1 в 2031 году. Но рост продаж волатилен и устойчив — за плохим годом обычно следует еще один, — рентабельность падает вместе с объемами, а оборотный капитал, капитальные затраты и процентные ставки неопределенны. Модель разыгрывает три формы отчетности вместе и проверяет ковенанты и ликвидность компании в каждом году.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</si>
  <si>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</si>
  <si>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</si>
  <si>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</si>
  <si>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Баланс и результаты 2026 года; ожидаемый рост, его годовой шок и устойчивость; рентабельность и ее зависимость от роста; оборачиваемость оборотного капитала в днях, капитальные затраты и процентная ставка (PERT); условия кредита, возобновляемая линия, дивидендная политика и ковенанты.</t>
  </si>
  <si>
    <t xml:space="preserve">2  Прогноз</t>
  </si>
  <si>
    <t xml:space="preserve">VoseTimeAR1 разыгрывает пять лет выручки с устойчивыми темпами роста. Отчет о прибылях и убытках следует из рентабельности, амортизации, процентов на долг на начало года и налога. Денежный поток после оборотного капитала, капитальных затрат, погашения кредита и дивидендов финансируется возобновляемой линией, когда он отрицателен, и гасит ее, когда положителен. Баланс сходится в каждом году. На конец каждого года ковенанты проверяются так, как их формулируют банки: чистый долг выше максимума × EBITDA или EBITDA ниже минимума × проценты. План повторяет формы отчетности с ростом на ожидаемом уровне и каждым PERT на наиболее вероятном значении.</t>
  </si>
  <si>
    <t xml:space="preserve">3  Результаты</t>
  </si>
  <si>
    <t xml:space="preserve">Вероятность нарушения ковенанта и нехватки ликвидности в каждом году и за пять лет; долговая нагрузка по годам в сравнении с планом и ковенантом; пиковая нагрузка и использование возобновляемой линии; что определяет нарушение.</t>
  </si>
  <si>
    <t xml:space="preserve">Как пользоваться моделью</t>
  </si>
  <si>
    <t xml:space="preserve">Шаг 1</t>
  </si>
  <si>
    <t xml:space="preserve">Введите исходное положение своей компании на 2026 год, допущения плана и их диапазоны, а также условия финансирования.</t>
  </si>
  <si>
    <t xml:space="preserve">Шаг 2</t>
  </si>
  <si>
    <t xml:space="preserve">Нажмите F9 на листе «Прогноз», чтобы увидеть, как формы отчетности и проверки ковенантов меняются вместе.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</si>
  <si>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</si>
  <si>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</si>
  <si>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</si>
  <si>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Договаривайтесь о запасе по ковенантам, графике погашения или дивидендной политике, пока вероятность нарушения не станет приемлемой.</t>
  </si>
  <si>
    <t xml:space="preserve">Структура модели</t>
  </si>
  <si>
    <t xml:space="preserve">Исходные данные</t>
  </si>
  <si>
    <t xml:space="preserve">Исходное положение, операционная деятельность, финансирование и ковенанты.</t>
  </si>
  <si>
    <t xml:space="preserve">Прогноз</t>
  </si>
  <si>
    <t xml:space="preserve">Отчет о прибылях и убытках, оборотный капитал, денежный поток, возобновляемая линия, баланс и ковенанты по годам; выходы и проверки; план.</t>
  </si>
  <si>
    <t xml:space="preserve">Результаты</t>
  </si>
  <si>
    <t xml:space="preserve">Вероятности нарушения и нехватки ликвидности, долговая нагрузка по годам в сравнении с планом, пиковая нагрузка, ключевые факторы.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</si>
  <si>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</si>
  <si>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</si>
  <si>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</si>
  <si>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</si>
  <si>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</si>
  <si>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</si>
  <si>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</si>
  <si>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</si>
  <si>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</si>
  <si>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</si>
  <si>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</si>
  <si>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</si>
  <si>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</si>
  <si>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долл.).</t>
  </si>
  <si>
    <t xml:space="preserve">Годы</t>
  </si>
  <si>
    <t xml:space="preserve">2026 — последний фактический год; 2027–2031 — прогноз; остатки на конец года.</t>
  </si>
  <si>
    <t xml:space="preserve">Долговая нагрузка</t>
  </si>
  <si>
    <t xml:space="preserve">Чистый долг (срочный кредит + возобновляемая линия − денежные средства) ÷ EBITDA. Ковенант проверяется так, как сформулирован: чистый долг выше максимума × EBITDA, поэтому год с отрицательной EBITDA — нарушение.</t>
  </si>
  <si>
    <t xml:space="preserve">Покрытие процентов</t>
  </si>
  <si>
    <t xml:space="preserve">EBITDA ÷ проценты, уплаченные за год. Проверяется как EBITDA ниже минимума × проценты — это работает и в году без процентов.</t>
  </si>
  <si>
    <t xml:space="preserve">Нехватка ликвидности</t>
  </si>
  <si>
    <t xml:space="preserve">Возобновляемая линия выбрана полностью, а денежные средства опускаются ниже минимума, который держит компания.</t>
  </si>
  <si>
    <t xml:space="preserve">Основные допущения и ограничения</t>
  </si>
  <si>
    <t xml:space="preserve">Проценты</t>
  </si>
  <si>
    <t xml:space="preserve">Начисляются на долг на начало каждого года по одной базовой ставке на все пять лет.</t>
  </si>
  <si>
    <t xml:space="preserve">Оборотный капитал</t>
  </si>
  <si>
    <t xml:space="preserve">Дебиторская задолженность, запасы и кредиторская задолженность в днях выручки.</t>
  </si>
  <si>
    <t xml:space="preserve">Налог</t>
  </si>
  <si>
    <t xml:space="preserve">25% от положительной прибыли до налога; без переноса убытков.</t>
  </si>
  <si>
    <t xml:space="preserve">Дивиденды</t>
  </si>
  <si>
    <t xml:space="preserve">35% чистой прибыли, если долговая нагрузка на конец предыдущего года была ниже 2,5.</t>
  </si>
  <si>
    <t xml:space="preserve">План</t>
  </si>
  <si>
    <t xml:space="preserve">Рост на ожидаемом уровне каждый год и каждый PERT на наиболее вероятном значении: рентабельность 15% и дни, капитальные затраты и ставка, заложенные в план.</t>
  </si>
  <si>
    <t xml:space="preserve">Данные</t>
  </si>
  <si>
    <t xml:space="preserve">Компания и все цифры придуманы для этого примера.</t>
  </si>
  <si>
    <t xml:space="preserve">Функции МоделРиск в модели</t>
  </si>
  <si>
    <t>VoseTimeAR1</t>
  </si>
  <si>
    <t xml:space="preserve">Пять лет выручки: логарифм роста следует авторегрессионному процессу первого порядка (устойчив).</t>
  </si>
  <si>
    <t>VosePERT</t>
  </si>
  <si>
    <t xml:space="preserve">Рентабельность, оборачиваемость оборотного капитала в днях, капитальные затраты и базовая процентная ставка.</t>
  </si>
  <si>
    <t>VoseInput, VoseOutput</t>
  </si>
  <si>
    <t xml:space="preserve">Обозначить факторы, а проверки ковенантов и долговую нагрузку каждого года — как выходы.</t>
  </si>
  <si>
    <t>VoseSimMean, VoseSimPercentile</t>
  </si>
  <si>
    <t xml:space="preserve">Статистика моделирования для таблиц и графиков на листе «Результаты»; среднее выхода 1/0 — это вероятность.</t>
  </si>
  <si>
    <t>VoseSimSensitivityMean</t>
  </si>
  <si>
    <t xml:space="preserve">Диаграмма «торнадо»: все VoseInput ранжированы по тому, насколько меняется вероятность нарушения ковенанта на их диапазоне.</t>
  </si>
  <si>
    <t xml:space="preserve">Что почитать</t>
  </si>
  <si>
    <t xml:space="preserve">Финансовое моделирование</t>
  </si>
  <si>
    <t>Benninga, S. &amp; Mofkadi, T. (2022). Financial Modeling, 5th edition. MIT Press.</t>
  </si>
  <si>
    <t xml:space="preserve">Анализ рисков</t>
  </si>
  <si>
    <t xml:space="preserve">Cash Flow at Risk: денежный поток под риском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</si>
  <si>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</si>
  <si>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</si>
  <si>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</si>
  <si>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Прогноз  ▸</t>
  </si>
  <si>
    <t xml:space="preserve">Как читать этот лист:  желтые ячейки — исходные данные.  В оранжевых ячейках распределения МоделРиск, они показывают текущее случайное значение (F9 — выбрать заново).  Мин. / Наиболее вероятное / Макс. — минимум, наиболее вероятное значение и максимум для PERT.  Среднее — среднее значение распределения (VoseMean); если диапазон задан неверно, показывается ✗.</t>
  </si>
  <si>
    <t xml:space="preserve">1   Исходное положение</t>
  </si>
  <si>
    <t xml:space="preserve">Последний фактический год.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</si>
  <si>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</si>
  <si>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</si>
  <si>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</si>
  <si>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</si>
  <si>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</si>
  <si>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Последний фактический год</t>
  </si>
  <si>
    <t xml:space="preserve">год</t>
  </si>
  <si>
    <t xml:space="preserve">Константа</t>
  </si>
  <si>
    <t xml:space="preserve">Выручка</t>
  </si>
  <si>
    <t xml:space="preserve">млн долл.</t>
  </si>
  <si>
    <t xml:space="preserve">Рентабельность по EBITDA  (факт)</t>
  </si>
  <si>
    <t xml:space="preserve">EBITDA 60 млн долл.</t>
  </si>
  <si>
    <t xml:space="preserve">Денежные средства</t>
  </si>
  <si>
    <t xml:space="preserve">Основные средства, нетто</t>
  </si>
  <si>
    <t xml:space="preserve">Срочный кредит</t>
  </si>
  <si>
    <t xml:space="preserve">Выбрано по возобновляемой линии</t>
  </si>
  <si>
    <t xml:space="preserve">Дебиторская задолженность  (факт)</t>
  </si>
  <si>
    <t xml:space="preserve">дней выручки</t>
  </si>
  <si>
    <t xml:space="preserve">Запасы  (факт)</t>
  </si>
  <si>
    <t xml:space="preserve">Кредиторская задолженность  (факт)</t>
  </si>
  <si>
    <t xml:space="preserve">2   Рост и операционная деятельность</t>
  </si>
  <si>
    <t xml:space="preserve">План и его неопределенность.</t>
  </si>
  <si>
    <t xml:space="preserve">Мин.</t>
  </si>
  <si>
    <t xml:space="preserve">Наиболее вероятное</t>
  </si>
  <si>
    <t xml:space="preserve">Макс.</t>
  </si>
  <si>
    <t xml:space="preserve">Среднее</t>
  </si>
  <si>
    <t xml:space="preserve">Ожидаемый рост выручки</t>
  </si>
  <si>
    <t xml:space="preserve">в год</t>
  </si>
  <si>
    <t xml:space="preserve">План руководства.</t>
  </si>
  <si>
    <t xml:space="preserve">Годовой шок роста</t>
  </si>
  <si>
    <t xml:space="preserve">Неожиданное отклонение роста за год: σ для VoseTimeAR1 = стандартное отклонение по истории × √(1 − устойчивость²).</t>
  </si>
  <si>
    <t xml:space="preserve">Устойчивость роста</t>
  </si>
  <si>
    <t xml:space="preserve">от 0 до 1</t>
  </si>
  <si>
    <t xml:space="preserve">Доля неожиданного отклонения роста, которая переходит на следующий год.</t>
  </si>
  <si>
    <t xml:space="preserve">Рост в последнем фактическом году</t>
  </si>
  <si>
    <t xml:space="preserve">Рентабельность по EBITDA при ожидаемом росте</t>
  </si>
  <si>
    <t>PERT</t>
  </si>
  <si>
    <t xml:space="preserve">Главный риск — затраты на энергию и смолы.</t>
  </si>
  <si>
    <t xml:space="preserve">Изменение рентабельности на пункт неожиданного роста</t>
  </si>
  <si>
    <t xml:space="preserve">Постоянные затраты: рентабельность падает вместе с объемами.</t>
  </si>
  <si>
    <t xml:space="preserve">Дебиторская задолженность  (прогноз)</t>
  </si>
  <si>
    <t xml:space="preserve">В спад клиенты могут платить позже.</t>
  </si>
  <si>
    <t xml:space="preserve">Запасы  (прогноз)</t>
  </si>
  <si>
    <t xml:space="preserve">Кредиторская задолженность  (прогноз)</t>
  </si>
  <si>
    <t xml:space="preserve">Поставщики могут ужесточить условия.</t>
  </si>
  <si>
    <t xml:space="preserve">Капитальные затраты</t>
  </si>
  <si>
    <t xml:space="preserve">от выручки</t>
  </si>
  <si>
    <t xml:space="preserve">План плюс вероятный перерасход.</t>
  </si>
  <si>
    <t xml:space="preserve">Амортизация</t>
  </si>
  <si>
    <t xml:space="preserve">от основных средств на начало года</t>
  </si>
  <si>
    <t xml:space="preserve">Ставка налога</t>
  </si>
  <si>
    <t xml:space="preserve">3   Финансирование и ковенанты</t>
  </si>
  <si>
    <t xml:space="preserve">Условия долга, политика по денежным средствам и дивидендам; ковенанты, которые банки проверяют на конец каждого года.</t>
  </si>
  <si>
    <t xml:space="preserve">Базовая процентная ставка  (в среднем за 5 лет)</t>
  </si>
  <si>
    <t xml:space="preserve">Долг с плавающей ставкой; рыночная форвардная кривая и ее диапазон.</t>
  </si>
  <si>
    <t xml:space="preserve">Маржа по срочному кредиту</t>
  </si>
  <si>
    <t xml:space="preserve">Маржа по возобновляемой линии</t>
  </si>
  <si>
    <t xml:space="preserve">Погашение срочного кредита</t>
  </si>
  <si>
    <t xml:space="preserve">млн долл. в год</t>
  </si>
  <si>
    <t xml:space="preserve">Лимит возобновляемой линии</t>
  </si>
  <si>
    <t xml:space="preserve">Минимальный остаток денежных средств</t>
  </si>
  <si>
    <t xml:space="preserve">Операционный остаток денежных средств, который держит компания.</t>
  </si>
  <si>
    <t xml:space="preserve">Доля дивидендов</t>
  </si>
  <si>
    <t xml:space="preserve">от чистой прибыли</t>
  </si>
  <si>
    <t xml:space="preserve">Без дивидендов при нагрузке выше</t>
  </si>
  <si>
    <t>× EBITDA</t>
  </si>
  <si>
    <t xml:space="preserve">Политика совета директоров.</t>
  </si>
  <si>
    <t xml:space="preserve">Максимальная долговая нагрузка</t>
  </si>
  <si>
    <t xml:space="preserve">Чистый долг ÷ EBITDA.</t>
  </si>
  <si>
    <t xml:space="preserve">Минимальное покрытие процентов</t>
  </si>
  <si>
    <t xml:space="preserve">× проценты</t>
  </si>
  <si>
    <t xml:space="preserve">EBITDA ÷ проценты.</t>
  </si>
  <si>
    <t xml:space="preserve">ПРОГНОЗ   ·   Отчет о прибылях и убытках, денежный поток, возобновляемая линия и баланс: факт 2026 года и пять лет (млн долл.).</t>
  </si>
  <si>
    <t xml:space="preserve">◂  Исходные данные</t>
  </si>
  <si>
    <t xml:space="preserve">Далее:  Результаты  ▸</t>
  </si>
  <si>
    <t xml:space="preserve">Год</t>
  </si>
  <si>
    <t xml:space="preserve">Календарный год</t>
  </si>
  <si>
    <t xml:space="preserve">1   Единичные значения этой итерации</t>
  </si>
  <si>
    <t xml:space="preserve">Величина</t>
  </si>
  <si>
    <t xml:space="preserve">Значение</t>
  </si>
  <si>
    <t xml:space="preserve">Как рассчитывается</t>
  </si>
  <si>
    <t xml:space="preserve">Ожидаемый логарифм роста</t>
  </si>
  <si>
    <t xml:space="preserve">Среднее логарифмических доходностей VoseTimeAR1</t>
  </si>
  <si>
    <t xml:space="preserve">Логарифм роста в последнем фактическом году</t>
  </si>
  <si>
    <t xml:space="preserve">С чего начинается ряд</t>
  </si>
  <si>
    <t xml:space="preserve">Стандартное отклонение годового роста  (в долгосрочной перспективе)</t>
  </si>
  <si>
    <t xml:space="preserve">Годовой шок ÷ √(1 − устойчивость²): сравните с историей</t>
  </si>
  <si>
    <t xml:space="preserve">Собственный капитал на конец 2026 года</t>
  </si>
  <si>
    <t xml:space="preserve">Активы за вычетом кредиторской задолженности и долга</t>
  </si>
  <si>
    <t xml:space="preserve">2   Отчет о прибылях и убытках</t>
  </si>
  <si>
    <t xml:space="preserve">Выручка из VoseTimeAR1; рентабельность меняется вместе с неожиданным отклонением роста; проценты на долг на начало года.</t>
  </si>
  <si>
    <t xml:space="preserve">Рост  (логарифм)</t>
  </si>
  <si>
    <t xml:space="preserve">Рентабельность по EBITDA</t>
  </si>
  <si>
    <t>EBITDA</t>
  </si>
  <si>
    <t xml:space="preserve">Чистая прибыль</t>
  </si>
  <si>
    <t xml:space="preserve">3   Оборотный капитал и инвестиции</t>
  </si>
  <si>
    <t xml:space="preserve">Дебиторская задолженность, запасы и кредиторская задолженность в днях выручки; капитальные затраты как доля выручки.</t>
  </si>
  <si>
    <t xml:space="preserve">Дебиторская задолженность</t>
  </si>
  <si>
    <t xml:space="preserve">Запасы</t>
  </si>
  <si>
    <t xml:space="preserve">Кредиторская задолженность</t>
  </si>
  <si>
    <t xml:space="preserve">Чистый оборотный капитал</t>
  </si>
  <si>
    <t xml:space="preserve">4   Денежный поток</t>
  </si>
  <si>
    <t xml:space="preserve">Операционный денежный поток = чистая прибыль + амортизация − прирост оборотного капитала. Оттоки в скобках.</t>
  </si>
  <si>
    <t xml:space="preserve">Операционный денежный поток</t>
  </si>
  <si>
    <t xml:space="preserve">Дивиденды  (нет, если нагрузка прошлого года была слишком высокой)</t>
  </si>
  <si>
    <t xml:space="preserve">Денежный поток до возобновляемой линии</t>
  </si>
  <si>
    <t xml:space="preserve">5   Возобновляемая линия и денежные средства</t>
  </si>
  <si>
    <t xml:space="preserve">Возобновляемая линия покрывает любую нехватку ниже минимального остатка в пределах лимита и гасится в первую очередь.</t>
  </si>
  <si>
    <t xml:space="preserve">Денежные средства сверх минимума до возобновляемой линии</t>
  </si>
  <si>
    <t xml:space="preserve">Нужно выбрать по возобновляемой линии</t>
  </si>
  <si>
    <t xml:space="preserve">Нехватка ликвидности  (потребность сверх лимита)</t>
  </si>
  <si>
    <t xml:space="preserve">6   Баланс</t>
  </si>
  <si>
    <t xml:space="preserve">На конец каждого года. Сходится в каждой итерации: строка проверки остается нулевой.</t>
  </si>
  <si>
    <t xml:space="preserve">Основные средства</t>
  </si>
  <si>
    <t xml:space="preserve">Итого активы  (денежные средства + дебиторская задолженность + запасы + основные средства)</t>
  </si>
  <si>
    <t xml:space="preserve">Собственный капитал</t>
  </si>
  <si>
    <t xml:space="preserve">Кредиторская задолженность + долг + собственный капитал</t>
  </si>
  <si>
    <t xml:space="preserve">Проверка: активы − (кредиторская задолженность + долг + собственный капитал)</t>
  </si>
  <si>
    <t xml:space="preserve">7   Ковенанты</t>
  </si>
  <si>
    <t xml:space="preserve">Проверяются на конец каждого года так, как их формулируют банки: чистый долг выше максимума × EBITDA, EBITDA ниже минимума × проценты. Долговая нагрузка и три проверки каждого года — выходы.</t>
  </si>
  <si>
    <t xml:space="preserve">Чистый долг</t>
  </si>
  <si>
    <t xml:space="preserve">Долговая нагрузка  (чистый долг ÷ EBITDA)</t>
  </si>
  <si>
    <t>×</t>
  </si>
  <si>
    <t xml:space="preserve">Покрытие процентов  (EBITDA ÷ проценты)</t>
  </si>
  <si>
    <t xml:space="preserve">Ковенант по нагрузке нарушен?  (1 — да)</t>
  </si>
  <si>
    <t>1 / 0</t>
  </si>
  <si>
    <t xml:space="preserve">Ковенант по покрытию процентов нарушен?  (1 — да)</t>
  </si>
  <si>
    <t xml:space="preserve">Нехватка ликвидности?  (1 — да)</t>
  </si>
  <si>
    <t xml:space="preserve">8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</si>
  <si>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</si>
  <si>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</si>
  <si>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Смысл</t>
  </si>
  <si>
    <t xml:space="preserve">Нарушен ли ковенант в каком-либо году?  (1 — да)</t>
  </si>
  <si>
    <t xml:space="preserve">Нехватка ликвидности в каком-либо году?  (1 — да)</t>
  </si>
  <si>
    <t xml:space="preserve">Пиковая долговая нагрузка</t>
  </si>
  <si>
    <t xml:space="preserve">Наибольшая долговая нагрузка на конец года.</t>
  </si>
  <si>
    <t xml:space="preserve">Пиковая выборка по возобновляемой линии</t>
  </si>
  <si>
    <t xml:space="preserve">Средний рост выручки  (логарифм, 5 лет)</t>
  </si>
  <si>
    <t xml:space="preserve">Помечено как входная величина для диаграммы «торнадо».</t>
  </si>
  <si>
    <t xml:space="preserve">9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</si>
  <si>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</si>
  <si>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Баланс сходится в каждом году</t>
  </si>
  <si>
    <t xml:space="preserve">Все диапазоны на листе «Исходные данные» заданы верно  (нет ✗ в столбце «Среднее»)</t>
  </si>
  <si>
    <t xml:space="preserve">Фактические данные 2026 года дают положительные EBITDA и собственный капитал</t>
  </si>
  <si>
    <t xml:space="preserve">10   План</t>
  </si>
  <si>
    <t xml:space="preserve">План руководства: те же формы отчетности с ростом на ожидаемом уровне каждый год и каждым PERT на наиболее вероятном значении. Без неопределенности: не меняется при F9.</t>
  </si>
  <si>
    <t xml:space="preserve">Отчет о прибылях и убытках</t>
  </si>
  <si>
    <t xml:space="preserve">Оборотный капитал и инвестиции</t>
  </si>
  <si>
    <t xml:space="preserve">Денежный поток</t>
  </si>
  <si>
    <t xml:space="preserve">Возобновляемая линия и денежные средства</t>
  </si>
  <si>
    <t xml:space="preserve">Баланс</t>
  </si>
  <si>
    <t xml:space="preserve">Ковенанты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</si>
  <si>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</si>
  <si>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Прогноз</t>
  </si>
  <si>
    <t xml:space="preserve">1   Удержится ли компания в рамках ковенантов?</t>
  </si>
  <si>
    <t xml:space="preserve">Долговая нагрузка по годам — от 10-го до 90-го процентиля</t>
  </si>
  <si>
    <t xml:space="preserve">За пять лет прогноза.</t>
  </si>
  <si>
    <t xml:space="preserve">Показатель</t>
  </si>
  <si>
    <t xml:space="preserve">Вероятность нарушить ковенант</t>
  </si>
  <si>
    <t xml:space="preserve">вероятность</t>
  </si>
  <si>
    <t xml:space="preserve">Вероятность нехватки ликвидности</t>
  </si>
  <si>
    <t xml:space="preserve">Ковенант по долговой нагрузке  (лист «Исходные данные»)</t>
  </si>
  <si>
    <t xml:space="preserve">Средняя пиковая долговая нагрузка</t>
  </si>
  <si>
    <t xml:space="preserve">P90 пиковой долговой нагрузки</t>
  </si>
  <si>
    <t xml:space="preserve">Лимит возобновляемой линии  (лист «Исходные данные»)</t>
  </si>
  <si>
    <t xml:space="preserve">P90 пиковой выборки по возобновляемой линии</t>
  </si>
  <si>
    <t xml:space="preserve">2   По годам</t>
  </si>
  <si>
    <t xml:space="preserve">Вероятность каждого события в каждом году и долговая нагрузка на конец года.</t>
  </si>
  <si>
    <t xml:space="preserve">Нехватка</t>
  </si>
  <si>
    <t xml:space="preserve">Медиана</t>
  </si>
  <si>
    <t xml:space="preserve">90-й проц.</t>
  </si>
  <si>
    <t xml:space="preserve">нарушение</t>
  </si>
  <si>
    <t xml:space="preserve">ликвидности</t>
  </si>
  <si>
    <t xml:space="preserve">нагрузка</t>
  </si>
  <si>
    <t xml:space="preserve">Пиковая долговая нагрузка — накопленная вероятность</t>
  </si>
  <si>
    <t xml:space="preserve">3   Что определяет нарушение ковенанта</t>
  </si>
  <si>
    <t xml:space="preserve">Что определяет нарушение ковенанта  (вероятность за 5 лет)</t>
  </si>
  <si>
    <t xml:space="preserve">Вероятность нарушения в пределах пяти лет: наименьшая и наибольшая по десяти равным группам каждой величины (VoseSimSensitivityMean) относительно общей вероятности.</t>
  </si>
  <si>
    <t xml:space="preserve">Исходная величина (по степени влияния)</t>
  </si>
  <si>
    <t xml:space="preserve">Наименьшее среднее</t>
  </si>
  <si>
    <t xml:space="preserve">Наибольшее среднее</t>
  </si>
  <si>
    <t xml:space="preserve">Место</t>
  </si>
  <si>
    <t xml:space="preserve">4   Как читать результаты</t>
  </si>
  <si>
    <t xml:space="preserve">•  Большинство нарушений приходится на первые годы: долг самый большой, а у EBITDA было меньше всего времени вырасти. Вероятность нарушения снижается год за годом по мере погашения кредита — таблица показывает, где запас важнее всего.</t>
  </si>
  <si>
    <t xml:space="preserve">•  Рост и рентабельность определяют вероятность нарушения вместе, потому что рентабельность падает вместе с объемами: оба ковенанта нарушаются, когда падает EBITDA. Оборотный капитал и капитальные затраты важны меньше, а процентная ставка почти не важна.</t>
  </si>
  <si>
    <t xml:space="preserve">•  Чтобы снизить вероятность нарушения, компания может договориться о более высоком ковенанте на первые два года, о более медленном графике погашения или о более строгой дивидендной политике — и проверить каждый вариант, снова запустив модель.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</si>
  <si>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</si>
  <si>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</si>
  <si>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</si>
  <si>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</si>
  <si>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PeakLev</t>
  </si>
  <si>
    <t xml:space="preserve">Общее среднее AnyBreach</t>
  </si>
  <si>
    <t xml:space="preserve">Исходная величина (для графика)</t>
  </si>
  <si>
    <t xml:space="preserve">Наибольшее − среднее</t>
  </si>
  <si>
    <t xml:space="preserve">Наименьшее − среднее</t>
  </si>
  <si>
    <t xml:space="preserve">Период</t>
  </si>
  <si>
    <t xml:space="preserve">10-й процентиль</t>
  </si>
  <si>
    <t xml:space="preserve">90-й процентиль</t>
  </si>
  <si>
    <t xml:space="preserve">Ковенант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</si>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</sst>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_);\(#,##0.0\);&quot;–&quot;_)"/>
    <numFmt numFmtId="165" formatCode="0.0%"/>
    <numFmt numFmtId="166" formatCode="#,##0_);\(#,##0\);&quot;–&quot;_)"/>
    <numFmt numFmtId="167" formatCode="0.000"/>
    <numFmt numFmtId="168" formatCode="0.00&quot;×&quot;"/>
    <numFmt numFmtId="169" formatCode="0.0%;\-0.0%;0.0%;&quot;–&quot;"/>
    <numFmt numFmtId="170" formatCode="0.00&quot;×&quot;;\-0.00&quot;×&quot;;0.00&quot;×&quot;;&quot;–&quot;"/>
    <numFmt numFmtId="171" formatCode="#,##0.0_);\(#,##0.0\);&quot;–&quot;_);&quot;–&quot;"/>
    <numFmt numFmtId="172" formatCode="0;\-0;0;&quot;–&quot;"/>
  </numFmts>
  <fonts count="26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b/>
      <sz val="9"/>
      <color rgb="FF111214"/>
      <name val="Calibri"/>
    </font>
    <font>
      <b/>
      <sz val="9"/>
      <color rgb="FF8B8E95"/>
      <name val="Calibri"/>
    </font>
    <font>
      <b/>
      <sz val="10"/>
      <color rgb="FF15803D"/>
      <name val="Calibri"/>
    </font>
    <font>
      <b/>
      <sz val="13"/>
      <color rgb="FF1F2328"/>
      <name val="Calibri"/>
    </font>
    <font>
      <sz val="10"/>
      <color rgb="FF55585F"/>
      <name val="Calibri"/>
    </font>
    <font>
      <sz val="8"/>
      <color rgb="FF55585F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2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/>
      <right/>
      <top style="thin">
        <color rgb="FF6B6E75"/>
      </top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94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64" fontId="1" fillId="2" borderId="7" xfId="1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2" fontId="1" fillId="2" borderId="7" xfId="1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166" fontId="2" fillId="3" borderId="7" xfId="2" applyNumberFormat="1" applyBorder="1">
      <alignment horizontal="right" vertical="center"/>
    </xf>
    <xf numFmtId="166" fontId="1" fillId="2" borderId="7" xfId="1" applyNumberFormat="1" applyBorder="1">
      <alignment horizontal="right" vertical="center"/>
    </xf>
    <xf numFmtId="166" fontId="3" fillId="0" borderId="8" xfId="3" applyNumberFormat="1" applyBorder="1">
      <alignment horizontal="right" vertical="center"/>
    </xf>
    <xf numFmtId="9" fontId="1" fillId="2" borderId="7" xfId="1" applyNumberFormat="1" applyBorder="1">
      <alignment horizontal="right" vertical="center"/>
    </xf>
    <xf numFmtId="10" fontId="2" fillId="3" borderId="7" xfId="2" applyNumberFormat="1" applyBorder="1">
      <alignment horizontal="right" vertical="center"/>
    </xf>
    <xf numFmtId="10" fontId="1" fillId="2" borderId="7" xfId="1" applyNumberFormat="1" applyBorder="1">
      <alignment horizontal="right" vertical="center"/>
    </xf>
    <xf numFmtId="10" fontId="3" fillId="0" borderId="8" xfId="3" applyNumberFormat="1" applyBorder="1">
      <alignment horizontal="right" vertical="center"/>
    </xf>
    <xf numFmtId="0" fontId="17" fillId="7" borderId="0" xfId="0" applyFont="1" applyFill="1" applyAlignment="1">
      <alignment horizontal="left" vertical="center" indent="1"/>
    </xf>
    <xf numFmtId="0" fontId="0" fillId="7" borderId="0" xfId="0" applyFill="1"/>
    <xf numFmtId="0" fontId="17" fillId="7" borderId="0" xfId="0" applyFont="1" applyFill="1" applyAlignment="1">
      <alignment horizontal="right" vertical="center"/>
    </xf>
    <xf numFmtId="0" fontId="20" fillId="7" borderId="0" xfId="0" applyFont="1" applyFill="1" applyAlignment="1">
      <alignment horizontal="right" vertical="center"/>
    </xf>
    <xf numFmtId="1" fontId="19" fillId="7" borderId="0" xfId="0" applyNumberFormat="1" applyFont="1" applyFill="1" applyAlignment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1" fontId="18" fillId="7" borderId="4" xfId="0" applyNumberFormat="1" applyFont="1" applyFill="1" applyBorder="1" applyAlignment="1">
      <alignment horizontal="right" vertical="center"/>
    </xf>
    <xf numFmtId="0" fontId="17" fillId="7" borderId="4" xfId="0" applyFont="1" applyFill="1" applyBorder="1" applyAlignment="1">
      <alignment horizontal="right" vertical="center"/>
    </xf>
    <xf numFmtId="164" fontId="3" fillId="0" borderId="8" xfId="3" applyNumberFormat="1" applyBorder="1">
      <alignment horizontal="right" vertical="center"/>
    </xf>
    <xf numFmtId="164" fontId="2" fillId="3" borderId="7" xfId="2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64" fontId="12" fillId="0" borderId="8" xfId="3" applyNumberFormat="1" applyFont="1" applyBorder="1">
      <alignment horizontal="right" vertical="center"/>
    </xf>
    <xf numFmtId="0" fontId="12" fillId="0" borderId="9" xfId="0" applyFont="1" applyBorder="1" applyAlignment="1">
      <alignment horizontal="left" vertical="center" indent="1"/>
    </xf>
    <xf numFmtId="0" fontId="18" fillId="0" borderId="9" xfId="0" applyFont="1" applyBorder="1" applyAlignment="1">
      <alignment horizontal="left" vertical="center" indent="1"/>
    </xf>
    <xf numFmtId="0" fontId="0" fillId="0" borderId="9" xfId="0" applyBorder="1"/>
    <xf numFmtId="164" fontId="12" fillId="0" borderId="9" xfId="3" applyNumberFormat="1" applyFont="1" applyBorder="1">
      <alignment horizontal="right" vertical="center"/>
    </xf>
    <xf numFmtId="167" fontId="3" fillId="0" borderId="8" xfId="3" applyNumberFormat="1" applyBorder="1">
      <alignment horizontal="right" vertical="center"/>
    </xf>
    <xf numFmtId="168" fontId="3" fillId="0" borderId="2" xfId="3" applyNumberFormat="1">
      <alignment horizontal="right" vertical="center"/>
    </xf>
    <xf numFmtId="168" fontId="4" fillId="4" borderId="10" xfId="4" applyNumberFormat="1" applyBorder="1">
      <alignment horizontal="right" vertical="center"/>
    </xf>
    <xf numFmtId="168" fontId="3" fillId="0" borderId="8" xfId="3" applyNumberFormat="1" applyBorder="1">
      <alignment horizontal="right" vertical="center"/>
    </xf>
    <xf numFmtId="1" fontId="4" fillId="4" borderId="10" xfId="4" applyNumberFormat="1" applyBorder="1">
      <alignment horizontal="right" vertical="center"/>
    </xf>
    <xf numFmtId="164" fontId="4" fillId="4" borderId="10" xfId="4" applyNumberFormat="1" applyBorder="1">
      <alignment horizontal="right" vertical="center"/>
    </xf>
    <xf numFmtId="0" fontId="2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indent="1"/>
    </xf>
    <xf numFmtId="1" fontId="3" fillId="0" borderId="8" xfId="3" applyNumberFormat="1" applyBorder="1">
      <alignment horizontal="right" vertical="center"/>
    </xf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18" fillId="0" borderId="0" xfId="0" applyFont="1" applyAlignment="1">
      <alignment horizontal="left" vertical="center" indent="1"/>
    </xf>
    <xf numFmtId="0" fontId="25" fillId="0" borderId="5" xfId="0" applyFont="1" applyBorder="1"/>
    <xf numFmtId="169" fontId="22" fillId="5" borderId="7" xfId="5" applyNumberFormat="1" applyFont="1" applyBorder="1">
      <alignment horizontal="right" vertical="center"/>
    </xf>
    <xf numFmtId="169" fontId="1" fillId="5" borderId="7" xfId="5" applyNumberFormat="1" applyBorder="1">
      <alignment horizontal="right" vertical="center"/>
    </xf>
    <xf numFmtId="0" fontId="23" fillId="0" borderId="6" xfId="0" applyFont="1" applyBorder="1" applyAlignment="1">
      <alignment horizontal="left" vertical="center" indent="1"/>
    </xf>
    <xf numFmtId="170" fontId="1" fillId="5" borderId="7" xfId="5" applyNumberFormat="1" applyBorder="1">
      <alignment horizontal="right" vertical="center"/>
    </xf>
    <xf numFmtId="171" fontId="1" fillId="5" borderId="7" xfId="5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0" fontId="24" fillId="7" borderId="4" xfId="0" applyFont="1" applyFill="1" applyBorder="1" applyAlignment="1">
      <alignment horizontal="right" vertical="center"/>
    </xf>
    <xf numFmtId="1" fontId="3" fillId="0" borderId="6" xfId="0" applyNumberFormat="1" applyFont="1" applyBorder="1" applyAlignment="1">
      <alignment horizontal="left" vertical="center" indent="1"/>
    </xf>
    <xf numFmtId="0" fontId="17" fillId="7" borderId="4" xfId="0" applyFont="1" applyFill="1" applyBorder="1" applyAlignment="1">
      <alignment horizontal="center" vertical="center" wrapText="1"/>
    </xf>
    <xf numFmtId="172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69" fontId="1" fillId="5" borderId="1" xfId="5" applyNumberFormat="1">
      <alignment horizontal="right" vertical="center"/>
    </xf>
    <xf numFmtId="0" fontId="23" fillId="0" borderId="0" xfId="0" applyFont="1" applyAlignment="1">
      <alignment horizontal="left" vertical="center" indent="1"/>
    </xf>
    <xf numFmtId="165" fontId="3" fillId="0" borderId="2" xfId="3" applyNumberFormat="1">
      <alignment horizontal="right" vertical="center"/>
    </xf>
    <xf numFmtId="1" fontId="2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9">
    <dxf>
      <font>
        <color rgb="FF8B8E95"/>
      </font>
    </dxf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90-й процентиль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numRef>
              <c:f>'Результаты'!$B$132:$B$136</c:f>
              <c:numCache>
                <c:formatCode>0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'Результаты'!$E$132:$E$136</c:f>
              <c:numCache>
                <c:formatCode>#,##0.00</c:formatCode>
                <c:ptCount val="5"/>
                <c:pt idx="0">
                  <c:v>2.9558627550390488</c:v>
                </c:pt>
                <c:pt idx="1">
                  <c:v>2.8016306305462733</c:v>
                </c:pt>
                <c:pt idx="2">
                  <c:v>2.5464725575498943</c:v>
                </c:pt>
                <c:pt idx="3">
                  <c:v>2.2550674464210778</c:v>
                </c:pt>
                <c:pt idx="4">
                  <c:v>1.9663594733991832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B4-4BA5-BD95-4BB23FE6FD53}"/>
            </c:ext>
          </c:extLst>
        </c:ser>
        <c:ser>
          <c:idx val="1"/>
          <c:order val="1"/>
          <c:tx>
            <c:v>Медиана</c:v>
          </c:tx>
          <c:spPr>
            <a:ln w="28575">
              <a:solidFill>
                <a:srgbClr val="2F3136"/>
              </a:solidFill>
              <a:prstDash val="solid"/>
            </a:ln>
          </c:spPr>
          <c:marker>
            <c:symbol val="none"/>
          </c:marker>
          <c:cat>
            <c:numRef>
              <c:f>'Результаты'!$B$132:$B$136</c:f>
              <c:numCache>
                <c:formatCode>0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'Результаты'!$D$132:$D$136</c:f>
              <c:numCache>
                <c:formatCode>#,##0.00</c:formatCode>
                <c:ptCount val="5"/>
                <c:pt idx="0">
                  <c:v>2.1869489350594491</c:v>
                </c:pt>
                <c:pt idx="1">
                  <c:v>1.8932853925051163</c:v>
                </c:pt>
                <c:pt idx="2">
                  <c:v>1.6334069052039506</c:v>
                </c:pt>
                <c:pt idx="3">
                  <c:v>1.3813850618250332</c:v>
                </c:pt>
                <c:pt idx="4">
                  <c:v>1.1333794770413927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B4-4BA5-BD95-4BB23FE6FD53}"/>
            </c:ext>
          </c:extLst>
        </c:ser>
        <c:ser>
          <c:idx val="2"/>
          <c:order val="2"/>
          <c:tx>
            <c:v>Среднее</c:v>
          </c:tx>
          <c:spPr>
            <a:ln w="19050">
              <a:solidFill>
                <a:srgbClr val="B45309"/>
              </a:solidFill>
              <a:prstDash val="solid"/>
            </a:ln>
          </c:spPr>
          <c:marker>
            <c:symbol val="none"/>
          </c:marker>
          <c:cat>
            <c:numRef>
              <c:f>'Результаты'!$B$132:$B$136</c:f>
              <c:numCache>
                <c:formatCode>0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'Результаты'!$F$132:$F$136</c:f>
              <c:numCache>
                <c:formatCode>#,##0.00</c:formatCode>
                <c:ptCount val="5"/>
                <c:pt idx="0">
                  <c:v>2.2674447471950856</c:v>
                </c:pt>
                <c:pt idx="1">
                  <c:v>2.0093582537471826</c:v>
                </c:pt>
                <c:pt idx="2">
                  <c:v>1.7491781791075127</c:v>
                </c:pt>
                <c:pt idx="3">
                  <c:v>1.4953027873919669</c:v>
                </c:pt>
                <c:pt idx="4">
                  <c:v>1.2426309153188531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B4-4BA5-BD95-4BB23FE6FD53}"/>
            </c:ext>
          </c:extLst>
        </c:ser>
        <c:ser>
          <c:idx val="3"/>
          <c:order val="3"/>
          <c:tx>
            <c:v>10-й процентиль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numRef>
              <c:f>'Результаты'!$B$132:$B$136</c:f>
              <c:numCache>
                <c:formatCode>0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'Результаты'!$C$132:$C$136</c:f>
              <c:numCache>
                <c:formatCode>#,##0.00</c:formatCode>
                <c:ptCount val="5"/>
                <c:pt idx="0">
                  <c:v>1.6632367299583539</c:v>
                </c:pt>
                <c:pt idx="1">
                  <c:v>1.3403050703634185</c:v>
                </c:pt>
                <c:pt idx="2">
                  <c:v>1.0743000580521564</c:v>
                </c:pt>
                <c:pt idx="3">
                  <c:v>0.83798470183072871</c:v>
                </c:pt>
                <c:pt idx="4">
                  <c:v>0.60740071769258719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3B4-4BA5-BD95-4BB23FE6FD53}"/>
            </c:ext>
          </c:extLst>
        </c:ser>
        <c:ser>
          <c:idx val="4"/>
          <c:order val="4"/>
          <c:tx>
            <c:v>План</c:v>
          </c:tx>
          <c:spPr>
            <a:ln w="22225">
              <a:solidFill>
                <a:srgbClr val="15803D"/>
              </a:solidFill>
              <a:prstDash val="solid"/>
            </a:ln>
          </c:spPr>
          <c:marker>
            <c:symbol val="none"/>
          </c:marker>
          <c:cat>
            <c:numRef>
              <c:f>'Результаты'!$B$132:$B$136</c:f>
              <c:numCache>
                <c:formatCode>0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'Результаты'!$G$132:$G$136</c:f>
              <c:numCache>
                <c:formatCode>#,##0.00</c:formatCode>
                <c:ptCount val="5"/>
                <c:pt idx="0">
                  <c:v>2.138864374780471</c:v>
                </c:pt>
                <c:pt idx="1">
                  <c:v>1.867072879271481</c:v>
                </c:pt>
                <c:pt idx="2">
                  <c:v>1.6007915050980155</c:v>
                </c:pt>
                <c:pt idx="3">
                  <c:v>1.3395864955897567</c:v>
                </c:pt>
                <c:pt idx="4">
                  <c:v>1.083081851592929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3B4-4BA5-BD95-4BB23FE6FD53}"/>
            </c:ext>
          </c:extLst>
        </c:ser>
        <c:ser>
          <c:idx val="5"/>
          <c:order val="5"/>
          <c:tx>
            <c:v>Ковенант</c:v>
          </c:tx>
          <c:spPr>
            <a:ln w="22225">
              <a:solidFill>
                <a:srgbClr val="E85F2E"/>
              </a:solidFill>
              <a:prstDash val="sysDash"/>
            </a:ln>
          </c:spPr>
          <c:marker>
            <c:symbol val="none"/>
          </c:marker>
          <c:cat>
            <c:numRef>
              <c:f>'Результаты'!$B$132:$B$136</c:f>
              <c:numCache>
                <c:formatCode>0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'Результаты'!$H$132:$H$136</c:f>
              <c:numCache>
                <c:formatCode>#,##0.00</c:formatCode>
                <c:ptCount val="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3B4-4BA5-BD95-4BB23FE6F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Чистый долг ÷ EBITDA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Пиковая долговая нагрузка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'Результаты'!$D$70:$D$119</c:f>
              <c:numCache>
                <c:formatCode>#,##0.00</c:formatCode>
                <c:ptCount val="50"/>
                <c:pt idx="0">
                  <c:v>1.3890976020718144</c:v>
                </c:pt>
                <c:pt idx="1">
                  <c:v>1.517961026379453</c:v>
                </c:pt>
                <c:pt idx="2">
                  <c:v>1.5910441769192747</c:v>
                </c:pt>
                <c:pt idx="3">
                  <c:v>1.648148444767751</c:v>
                </c:pt>
                <c:pt idx="4">
                  <c:v>1.705645625243893</c:v>
                </c:pt>
                <c:pt idx="5">
                  <c:v>1.7440748121211302</c:v>
                </c:pt>
                <c:pt idx="6">
                  <c:v>1.7877712764292573</c:v>
                </c:pt>
                <c:pt idx="7">
                  <c:v>1.8226531819393217</c:v>
                </c:pt>
                <c:pt idx="8">
                  <c:v>1.860461745349387</c:v>
                </c:pt>
                <c:pt idx="9">
                  <c:v>1.8936392803574456</c:v>
                </c:pt>
                <c:pt idx="10">
                  <c:v>1.922928869235869</c:v>
                </c:pt>
                <c:pt idx="11">
                  <c:v>1.9495804899433127</c:v>
                </c:pt>
                <c:pt idx="12">
                  <c:v>1.9777853896986508</c:v>
                </c:pt>
                <c:pt idx="13">
                  <c:v>2.0030670772822918</c:v>
                </c:pt>
                <c:pt idx="14">
                  <c:v>2.0299720043646161</c:v>
                </c:pt>
                <c:pt idx="15">
                  <c:v>2.0562647303594503</c:v>
                </c:pt>
                <c:pt idx="16">
                  <c:v>2.0832354929707879</c:v>
                </c:pt>
                <c:pt idx="17">
                  <c:v>2.1123532474167503</c:v>
                </c:pt>
                <c:pt idx="18">
                  <c:v>2.1377983597552395</c:v>
                </c:pt>
                <c:pt idx="19">
                  <c:v>2.1659592724436219</c:v>
                </c:pt>
                <c:pt idx="20">
                  <c:v>2.1911470891884033</c:v>
                </c:pt>
                <c:pt idx="21">
                  <c:v>2.2203257160676504</c:v>
                </c:pt>
                <c:pt idx="22">
                  <c:v>2.2446058497213337</c:v>
                </c:pt>
                <c:pt idx="23">
                  <c:v>2.2736117443114736</c:v>
                </c:pt>
                <c:pt idx="24">
                  <c:v>2.303356597363166</c:v>
                </c:pt>
                <c:pt idx="25">
                  <c:v>2.3294371862785992</c:v>
                </c:pt>
                <c:pt idx="26">
                  <c:v>2.3619802096308753</c:v>
                </c:pt>
                <c:pt idx="27">
                  <c:v>2.3900106625948587</c:v>
                </c:pt>
                <c:pt idx="28">
                  <c:v>2.41846500227674</c:v>
                </c:pt>
                <c:pt idx="29">
                  <c:v>2.4495060185826079</c:v>
                </c:pt>
                <c:pt idx="30">
                  <c:v>2.4830375803284523</c:v>
                </c:pt>
                <c:pt idx="31">
                  <c:v>2.5168355458843052</c:v>
                </c:pt>
                <c:pt idx="32">
                  <c:v>2.5509956714398641</c:v>
                </c:pt>
                <c:pt idx="33">
                  <c:v>2.5852033061215796</c:v>
                </c:pt>
                <c:pt idx="34">
                  <c:v>2.6238674265264534</c:v>
                </c:pt>
                <c:pt idx="35">
                  <c:v>2.6580946699715335</c:v>
                </c:pt>
                <c:pt idx="36">
                  <c:v>2.6991629929127279</c:v>
                </c:pt>
                <c:pt idx="37">
                  <c:v>2.7366156067719687</c:v>
                </c:pt>
                <c:pt idx="38">
                  <c:v>2.7888690506272718</c:v>
                </c:pt>
                <c:pt idx="39">
                  <c:v>2.8425524217358151</c:v>
                </c:pt>
                <c:pt idx="40">
                  <c:v>2.8976243680102276</c:v>
                </c:pt>
                <c:pt idx="41">
                  <c:v>2.9611490538912317</c:v>
                </c:pt>
                <c:pt idx="42">
                  <c:v>3.0245862345673111</c:v>
                </c:pt>
                <c:pt idx="43">
                  <c:v>3.1007576199123044</c:v>
                </c:pt>
                <c:pt idx="44">
                  <c:v>3.193546392490354</c:v>
                </c:pt>
                <c:pt idx="45">
                  <c:v>3.3259107364214513</c:v>
                </c:pt>
                <c:pt idx="46">
                  <c:v>3.4832171480419665</c:v>
                </c:pt>
                <c:pt idx="47">
                  <c:v>3.6961386443069579</c:v>
                </c:pt>
                <c:pt idx="48">
                  <c:v>4.0099392100057711</c:v>
                </c:pt>
                <c:pt idx="49">
                  <c:v>4.8545928651497166</c:v>
                </c:pt>
              </c:numCache>
            </c:numRef>
          </c:xVal>
          <c:yVal>
            <c:numRef>
              <c:f>'Результаты'!$B$70:$B$119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2A9-42A5-B39D-F979690A4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in val="1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Чистый долг ÷ EBITDA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'Результаты'!$B$123:$B$129</c:f>
              <c:strCache>
                <c:ptCount val="7"/>
                <c:pt idx="0">
                  <c:v>Рост выручки</c:v>
                </c:pt>
                <c:pt idx="1">
                  <c:v>Рентабельность по EBITDA</c:v>
                </c:pt>
                <c:pt idx="2">
                  <c:v>Доля капитальных затрат</c:v>
                </c:pt>
                <c:pt idx="3">
                  <c:v>Оборачиваемость запасов, дни</c:v>
                </c:pt>
                <c:pt idx="4">
                  <c:v>Оборачиваемость дебиторской задолженности, дни</c:v>
                </c:pt>
                <c:pt idx="5">
                  <c:v>Оборачиваемость кредиторской задолженности, дни</c:v>
                </c:pt>
                <c:pt idx="6">
                  <c:v>Базовая ставка</c:v>
                </c:pt>
              </c:strCache>
            </c:strRef>
          </c:cat>
          <c:val>
            <c:numRef>
              <c:f>'Результаты'!$F$123:$F$129</c:f>
              <c:numCache>
                <c:formatCode>0.0%</c:formatCode>
                <c:ptCount val="7"/>
                <c:pt idx="0">
                  <c:v>0.51870000000000005</c:v>
                </c:pt>
                <c:pt idx="1">
                  <c:v>0.1527</c:v>
                </c:pt>
                <c:pt idx="2">
                  <c:v>6.0700000000000004E-2</c:v>
                </c:pt>
                <c:pt idx="3">
                  <c:v>5.0699999999999995E-2</c:v>
                </c:pt>
                <c:pt idx="4">
                  <c:v>4.0700000000000014E-2</c:v>
                </c:pt>
                <c:pt idx="5">
                  <c:v>1.6699999999999993E-2</c:v>
                </c:pt>
                <c:pt idx="6">
                  <c:v>1.7699999999999994E-2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D3-41B0-A4F5-3003E9AA258E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'Результаты'!$B$123:$B$129</c:f>
              <c:strCache>
                <c:ptCount val="7"/>
                <c:pt idx="0">
                  <c:v>Рост выручки</c:v>
                </c:pt>
                <c:pt idx="1">
                  <c:v>Рентабельность по EBITDA</c:v>
                </c:pt>
                <c:pt idx="2">
                  <c:v>Доля капитальных затрат</c:v>
                </c:pt>
                <c:pt idx="3">
                  <c:v>Оборачиваемость запасов, дни</c:v>
                </c:pt>
                <c:pt idx="4">
                  <c:v>Оборачиваемость дебиторской задолженности, дни</c:v>
                </c:pt>
                <c:pt idx="5">
                  <c:v>Оборачиваемость кредиторской задолженности, дни</c:v>
                </c:pt>
                <c:pt idx="6">
                  <c:v>Базовая ставка</c:v>
                </c:pt>
              </c:strCache>
            </c:strRef>
          </c:cat>
          <c:val>
            <c:numRef>
              <c:f>'Результаты'!$G$123:$G$129</c:f>
              <c:numCache>
                <c:formatCode>0.0%</c:formatCode>
                <c:ptCount val="7"/>
                <c:pt idx="0">
                  <c:v>-0.15629999999999999</c:v>
                </c:pt>
                <c:pt idx="1">
                  <c:v>-9.9299999999999999E-2</c:v>
                </c:pt>
                <c:pt idx="2">
                  <c:v>-3.5299999999999998E-2</c:v>
                </c:pt>
                <c:pt idx="3">
                  <c:v>-2.9299999999999993E-2</c:v>
                </c:pt>
                <c:pt idx="4">
                  <c:v>-3.2299999999999995E-2</c:v>
                </c:pt>
                <c:pt idx="5">
                  <c:v>-2.5299999999999989E-2</c:v>
                </c:pt>
                <c:pt idx="6">
                  <c:v>-1.3300000000000006E-2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D3-41B0-A4F5-3003E9AA25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30</xdr:row>
      <xdr:rowOff>0</xdr:rowOff>
    </xdr:from>
    <xdr:ext cx="6263999" cy="2664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8</xdr:col>
      <xdr:colOff>0</xdr:colOff>
      <xdr:row>46</xdr:row>
      <xdr:rowOff>0</xdr:rowOff>
    </xdr:from>
    <xdr:ext cx="6263999" cy="216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6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26.25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52.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89" t="s">
        <v>20</v>
      </c>
      <c r="C16" s="90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65.650000000000006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ht="26.25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x14ac:dyDescent="0.45">
      <c r="B55" s="9" t="s">
        <v>65</v>
      </c>
      <c r="C55" s="10" t="s">
        <v>66</v>
      </c>
    </row>
    <row r="56" spans="2:3" ht="12" customHeight="1" x14ac:dyDescent="0.45"/>
    <row r="57" spans="2:3" ht="22.05" customHeight="1" x14ac:dyDescent="0.5">
      <c r="B57" s="7" t="s">
        <v>67</v>
      </c>
      <c r="C57" s="8"/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x14ac:dyDescent="0.45">
      <c r="B61" s="9" t="s">
        <v>74</v>
      </c>
      <c r="C61" s="10" t="s">
        <v>75</v>
      </c>
    </row>
    <row r="62" spans="2:3" x14ac:dyDescent="0.45">
      <c r="B62" s="9" t="s">
        <v>76</v>
      </c>
      <c r="C62" s="10" t="s">
        <v>77</v>
      </c>
    </row>
    <row r="63" spans="2:3" x14ac:dyDescent="0.45">
      <c r="B63" s="9" t="s">
        <v>78</v>
      </c>
      <c r="C63" s="10" t="s">
        <v>79</v>
      </c>
    </row>
    <row r="64" spans="2:3" ht="12" customHeight="1" x14ac:dyDescent="0.45"/>
    <row r="65" spans="2:3" ht="22.05" customHeight="1" x14ac:dyDescent="0.5">
      <c r="B65" s="7" t="s">
        <v>80</v>
      </c>
      <c r="C65" s="8"/>
    </row>
    <row r="66" spans="2:3" x14ac:dyDescent="0.45">
      <c r="B66" s="20" t="s">
        <v>81</v>
      </c>
      <c r="C66" s="10" t="s">
        <v>82</v>
      </c>
    </row>
    <row r="67" spans="2:3" x14ac:dyDescent="0.45">
      <c r="B67" s="20" t="s">
        <v>83</v>
      </c>
      <c r="C67" s="10" t="s">
        <v>84</v>
      </c>
    </row>
    <row r="68" spans="2:3" x14ac:dyDescent="0.45">
      <c r="B68" s="20" t="s">
        <v>85</v>
      </c>
      <c r="C68" s="10" t="s">
        <v>86</v>
      </c>
    </row>
    <row r="69" spans="2:3" ht="26.25" x14ac:dyDescent="0.45">
      <c r="B69" s="20" t="s">
        <v>87</v>
      </c>
      <c r="C69" s="10" t="s">
        <v>88</v>
      </c>
    </row>
    <row r="70" spans="2:3" x14ac:dyDescent="0.45">
      <c r="B70" s="20" t="s">
        <v>89</v>
      </c>
      <c r="C70" s="10" t="s">
        <v>90</v>
      </c>
    </row>
    <row r="71" spans="2:3" ht="12" customHeight="1" x14ac:dyDescent="0.45"/>
    <row r="72" spans="2:3" ht="22.05" customHeight="1" x14ac:dyDescent="0.5">
      <c r="B72" s="7" t="s">
        <v>91</v>
      </c>
      <c r="C72" s="8"/>
    </row>
    <row r="73" spans="2:3" x14ac:dyDescent="0.45">
      <c r="B73" s="9" t="s">
        <v>92</v>
      </c>
      <c r="C73" s="10" t="s">
        <v>93</v>
      </c>
    </row>
    <row r="74" spans="2:3" x14ac:dyDescent="0.45">
      <c r="B74" s="9" t="s">
        <v>94</v>
      </c>
      <c r="C74" s="10" t="s">
        <v>95</v>
      </c>
    </row>
    <row r="75" spans="2:3" ht="16.05" customHeight="1" x14ac:dyDescent="0.45"/>
    <row r="76" spans="2:3" x14ac:dyDescent="0.45">
      <c r="B76" s="91" t="s">
        <v>96</v>
      </c>
      <c r="C76" s="90"/>
    </row>
  </sheetData>
  <mergeCells count="2">
    <mergeCell ref="B16:C16"/>
    <mergeCell ref="B76:C76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Прогноз'!A1" display="Прогноз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51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97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98</v>
      </c>
      <c r="C4" s="5"/>
      <c r="D4" s="5"/>
      <c r="E4" s="5"/>
      <c r="F4" s="5"/>
      <c r="G4" s="5"/>
      <c r="H4" s="5"/>
      <c r="I4" s="5"/>
      <c r="J4" s="6" t="s">
        <v>99</v>
      </c>
    </row>
    <row r="5" spans="1:10" ht="8" customHeight="1" x14ac:dyDescent="0.45"/>
    <row r="6" spans="1:10" ht="30" customHeight="1" x14ac:dyDescent="0.45">
      <c r="B6" s="92" t="s">
        <v>100</v>
      </c>
      <c r="C6" s="90"/>
      <c r="D6" s="90"/>
      <c r="E6" s="90"/>
      <c r="F6" s="90"/>
      <c r="G6" s="90"/>
      <c r="H6" s="90"/>
      <c r="I6" s="90"/>
      <c r="J6" s="90"/>
    </row>
    <row r="7" spans="1:10" ht="6" customHeight="1" x14ac:dyDescent="0.45"/>
    <row r="8" spans="1:10" ht="22.05" customHeight="1" x14ac:dyDescent="0.5">
      <c r="B8" s="7" t="s">
        <v>101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102</v>
      </c>
    </row>
    <row r="10" spans="1:10" ht="18" customHeight="1" x14ac:dyDescent="0.45">
      <c r="B10" s="23" t="s">
        <v>103</v>
      </c>
      <c r="C10" s="23" t="s">
        <v>104</v>
      </c>
      <c r="D10" s="24" t="s">
        <v>105</v>
      </c>
      <c r="E10" s="23" t="s">
        <v>106</v>
      </c>
      <c r="F10" s="5"/>
      <c r="G10" s="5"/>
      <c r="H10" s="5"/>
      <c r="I10" s="5"/>
      <c r="J10" s="23" t="s">
        <v>107</v>
      </c>
    </row>
    <row r="11" spans="1:10" x14ac:dyDescent="0.45">
      <c r="B11" s="25" t="s">
        <v>108</v>
      </c>
      <c r="C11" s="26" t="s">
        <v>109</v>
      </c>
      <c r="D11" s="27">
        <v>2026</v>
      </c>
      <c r="E11" s="26" t="s">
        <v>110</v>
      </c>
      <c r="F11" s="28"/>
      <c r="G11" s="28"/>
      <c r="H11" s="28"/>
      <c r="I11" s="28"/>
      <c r="J11" s="29"/>
    </row>
    <row r="12" spans="1:10" x14ac:dyDescent="0.45">
      <c r="B12" s="25" t="s">
        <v>111</v>
      </c>
      <c r="C12" s="26" t="s">
        <v>112</v>
      </c>
      <c r="D12" s="30">
        <v>400</v>
      </c>
      <c r="E12" s="26" t="s">
        <v>110</v>
      </c>
      <c r="F12" s="28"/>
      <c r="G12" s="28"/>
      <c r="H12" s="28"/>
      <c r="I12" s="28"/>
      <c r="J12" s="29"/>
    </row>
    <row r="13" spans="1:10" x14ac:dyDescent="0.45">
      <c r="B13" s="25" t="s">
        <v>113</v>
      </c>
      <c r="C13" s="26"/>
      <c r="D13" s="31">
        <v>0.15</v>
      </c>
      <c r="E13" s="26" t="s">
        <v>110</v>
      </c>
      <c r="F13" s="28"/>
      <c r="G13" s="28"/>
      <c r="H13" s="28"/>
      <c r="I13" s="28"/>
      <c r="J13" s="29" t="s">
        <v>114</v>
      </c>
    </row>
    <row r="14" spans="1:10" x14ac:dyDescent="0.45">
      <c r="B14" s="25" t="s">
        <v>115</v>
      </c>
      <c r="C14" s="26" t="s">
        <v>112</v>
      </c>
      <c r="D14" s="30">
        <v>15</v>
      </c>
      <c r="E14" s="26" t="s">
        <v>110</v>
      </c>
      <c r="F14" s="28"/>
      <c r="G14" s="28"/>
      <c r="H14" s="28"/>
      <c r="I14" s="28"/>
      <c r="J14" s="29"/>
    </row>
    <row r="15" spans="1:10" x14ac:dyDescent="0.45">
      <c r="B15" s="25" t="s">
        <v>116</v>
      </c>
      <c r="C15" s="26" t="s">
        <v>112</v>
      </c>
      <c r="D15" s="30">
        <v>180</v>
      </c>
      <c r="E15" s="26" t="s">
        <v>110</v>
      </c>
      <c r="F15" s="28"/>
      <c r="G15" s="28"/>
      <c r="H15" s="28"/>
      <c r="I15" s="28"/>
      <c r="J15" s="29"/>
    </row>
    <row r="16" spans="1:10" x14ac:dyDescent="0.45">
      <c r="B16" s="25" t="s">
        <v>117</v>
      </c>
      <c r="C16" s="26" t="s">
        <v>112</v>
      </c>
      <c r="D16" s="30">
        <v>160</v>
      </c>
      <c r="E16" s="26" t="s">
        <v>110</v>
      </c>
      <c r="F16" s="28"/>
      <c r="G16" s="28"/>
      <c r="H16" s="28"/>
      <c r="I16" s="28"/>
      <c r="J16" s="29"/>
    </row>
    <row r="17" spans="2:10" x14ac:dyDescent="0.45">
      <c r="B17" s="25" t="s">
        <v>118</v>
      </c>
      <c r="C17" s="26" t="s">
        <v>112</v>
      </c>
      <c r="D17" s="30">
        <v>0</v>
      </c>
      <c r="E17" s="26" t="s">
        <v>110</v>
      </c>
      <c r="F17" s="28"/>
      <c r="G17" s="28"/>
      <c r="H17" s="28"/>
      <c r="I17" s="28"/>
      <c r="J17" s="29"/>
    </row>
    <row r="18" spans="2:10" x14ac:dyDescent="0.45">
      <c r="B18" s="25" t="s">
        <v>119</v>
      </c>
      <c r="C18" s="26" t="s">
        <v>120</v>
      </c>
      <c r="D18" s="27">
        <v>55</v>
      </c>
      <c r="E18" s="26" t="s">
        <v>110</v>
      </c>
      <c r="F18" s="28"/>
      <c r="G18" s="28"/>
      <c r="H18" s="28"/>
      <c r="I18" s="28"/>
      <c r="J18" s="29"/>
    </row>
    <row r="19" spans="2:10" x14ac:dyDescent="0.45">
      <c r="B19" s="25" t="s">
        <v>121</v>
      </c>
      <c r="C19" s="26" t="s">
        <v>120</v>
      </c>
      <c r="D19" s="27">
        <v>50</v>
      </c>
      <c r="E19" s="26" t="s">
        <v>110</v>
      </c>
      <c r="F19" s="28"/>
      <c r="G19" s="28"/>
      <c r="H19" s="28"/>
      <c r="I19" s="28"/>
      <c r="J19" s="29"/>
    </row>
    <row r="20" spans="2:10" x14ac:dyDescent="0.45">
      <c r="B20" s="25" t="s">
        <v>122</v>
      </c>
      <c r="C20" s="26" t="s">
        <v>120</v>
      </c>
      <c r="D20" s="27">
        <v>45</v>
      </c>
      <c r="E20" s="26" t="s">
        <v>110</v>
      </c>
      <c r="F20" s="28"/>
      <c r="G20" s="28"/>
      <c r="H20" s="28"/>
      <c r="I20" s="28"/>
      <c r="J20" s="29"/>
    </row>
    <row r="21" spans="2:10" ht="8" customHeight="1" x14ac:dyDescent="0.45"/>
    <row r="22" spans="2:10" ht="22.05" customHeight="1" x14ac:dyDescent="0.5">
      <c r="B22" s="7" t="s">
        <v>123</v>
      </c>
      <c r="C22" s="8"/>
      <c r="D22" s="8"/>
      <c r="E22" s="8"/>
      <c r="F22" s="8"/>
      <c r="G22" s="8"/>
      <c r="H22" s="8"/>
      <c r="I22" s="8"/>
      <c r="J22" s="8"/>
    </row>
    <row r="23" spans="2:10" ht="18" customHeight="1" x14ac:dyDescent="0.45">
      <c r="B23" s="13" t="s">
        <v>124</v>
      </c>
    </row>
    <row r="24" spans="2:10" ht="18" customHeight="1" x14ac:dyDescent="0.45">
      <c r="B24" s="23" t="s">
        <v>103</v>
      </c>
      <c r="C24" s="23" t="s">
        <v>104</v>
      </c>
      <c r="D24" s="24" t="s">
        <v>105</v>
      </c>
      <c r="E24" s="23" t="s">
        <v>106</v>
      </c>
      <c r="F24" s="24" t="s">
        <v>125</v>
      </c>
      <c r="G24" s="24" t="s">
        <v>126</v>
      </c>
      <c r="H24" s="24" t="s">
        <v>127</v>
      </c>
      <c r="I24" s="24" t="s">
        <v>128</v>
      </c>
      <c r="J24" s="23" t="s">
        <v>107</v>
      </c>
    </row>
    <row r="25" spans="2:10" x14ac:dyDescent="0.45">
      <c r="B25" s="25" t="s">
        <v>129</v>
      </c>
      <c r="C25" s="26" t="s">
        <v>130</v>
      </c>
      <c r="D25" s="31">
        <v>0.04</v>
      </c>
      <c r="E25" s="26" t="s">
        <v>110</v>
      </c>
      <c r="F25" s="28"/>
      <c r="G25" s="28"/>
      <c r="H25" s="28"/>
      <c r="I25" s="28"/>
      <c r="J25" s="29" t="s">
        <v>131</v>
      </c>
    </row>
    <row r="26" spans="2:10" ht="23.25" x14ac:dyDescent="0.45">
      <c r="B26" s="25" t="s">
        <v>132</v>
      </c>
      <c r="C26" s="26" t="s">
        <v>130</v>
      </c>
      <c r="D26" s="31">
        <v>7.0000000000000007E-2</v>
      </c>
      <c r="E26" s="26" t="s">
        <v>110</v>
      </c>
      <c r="F26" s="28"/>
      <c r="G26" s="28"/>
      <c r="H26" s="28"/>
      <c r="I26" s="28"/>
      <c r="J26" s="29" t="s">
        <v>133</v>
      </c>
    </row>
    <row r="27" spans="2:10" x14ac:dyDescent="0.45">
      <c r="B27" s="25" t="s">
        <v>134</v>
      </c>
      <c r="C27" s="26" t="s">
        <v>135</v>
      </c>
      <c r="D27" s="32">
        <v>0.5</v>
      </c>
      <c r="E27" s="26" t="s">
        <v>110</v>
      </c>
      <c r="F27" s="28"/>
      <c r="G27" s="28"/>
      <c r="H27" s="28"/>
      <c r="I27" s="28"/>
      <c r="J27" s="29" t="s">
        <v>136</v>
      </c>
    </row>
    <row r="28" spans="2:10" x14ac:dyDescent="0.45">
      <c r="B28" s="25" t="s">
        <v>137</v>
      </c>
      <c r="C28" s="26"/>
      <c r="D28" s="31">
        <v>0.05</v>
      </c>
      <c r="E28" s="26" t="s">
        <v>110</v>
      </c>
      <c r="F28" s="28"/>
      <c r="G28" s="28"/>
      <c r="H28" s="28"/>
      <c r="I28" s="28"/>
      <c r="J28" s="29"/>
    </row>
    <row r="29" spans="2:10" x14ac:dyDescent="0.45">
      <c r="B29" s="25" t="s">
        <v>138</v>
      </c>
      <c r="C29" s="26"/>
      <c r="D29" s="33" cm="1">
        <f t="array" aca="1" ref="D29" ca="1">_xll.VoseInput("Рентабельность по EBITDA","")+_xll.VosePERT(F29,G29,H29)</f>
        <v>0.15950248685779062</v>
      </c>
      <c r="E29" s="26" t="s">
        <v>139</v>
      </c>
      <c r="F29" s="31">
        <v>0.125</v>
      </c>
      <c r="G29" s="31">
        <v>0.15</v>
      </c>
      <c r="H29" s="31">
        <v>0.16500000000000001</v>
      </c>
      <c r="I29" s="34" cm="1">
        <f t="array" ref="I29">IF(AND(F29&lt;=G29,G29&lt;=H29,F29&lt;H29,F29&gt;=0,H29&lt;=1),_xll.VoseMean(_xll.VosePERTObject(F29,G29,H29)),"✗ диапазон")</f>
        <v>0.14833333333333334</v>
      </c>
      <c r="J29" s="29" t="s">
        <v>140</v>
      </c>
    </row>
    <row r="30" spans="2:10" x14ac:dyDescent="0.45">
      <c r="B30" s="25" t="s">
        <v>141</v>
      </c>
      <c r="C30" s="26"/>
      <c r="D30" s="32">
        <v>0.3</v>
      </c>
      <c r="E30" s="26" t="s">
        <v>110</v>
      </c>
      <c r="F30" s="28"/>
      <c r="G30" s="28"/>
      <c r="H30" s="28"/>
      <c r="I30" s="28"/>
      <c r="J30" s="29" t="s">
        <v>142</v>
      </c>
    </row>
    <row r="31" spans="2:10" x14ac:dyDescent="0.45">
      <c r="B31" s="25" t="s">
        <v>143</v>
      </c>
      <c r="C31" s="26" t="s">
        <v>120</v>
      </c>
      <c r="D31" s="35" cm="1">
        <f t="array" aca="1" ref="D31" ca="1">_xll.VoseInput("Оборачиваемость дебиторской задолженности, дни","дней выручки")+_xll.VosePERT(F31,G31,H31)</f>
        <v>54.672584547248583</v>
      </c>
      <c r="E31" s="26" t="s">
        <v>139</v>
      </c>
      <c r="F31" s="36">
        <v>50</v>
      </c>
      <c r="G31" s="36">
        <v>55</v>
      </c>
      <c r="H31" s="36">
        <v>65</v>
      </c>
      <c r="I31" s="37" cm="1">
        <f t="array" ref="I31">IF(AND(F31&lt;=G31,G31&lt;=H31,F31&lt;H31),_xll.VoseMean(_xll.VosePERTObject(F31,G31,H31)),"✗ диапазон")</f>
        <v>55.833333333333336</v>
      </c>
      <c r="J31" s="29" t="s">
        <v>144</v>
      </c>
    </row>
    <row r="32" spans="2:10" x14ac:dyDescent="0.45">
      <c r="B32" s="25" t="s">
        <v>145</v>
      </c>
      <c r="C32" s="26" t="s">
        <v>120</v>
      </c>
      <c r="D32" s="35" cm="1">
        <f t="array" aca="1" ref="D32" ca="1">_xll.VoseInput("Оборачиваемость запасов, дни","дней выручки")+_xll.VosePERT(F32,G32,H32)</f>
        <v>49.198212666471555</v>
      </c>
      <c r="E32" s="26" t="s">
        <v>139</v>
      </c>
      <c r="F32" s="36">
        <v>45</v>
      </c>
      <c r="G32" s="36">
        <v>50</v>
      </c>
      <c r="H32" s="36">
        <v>60</v>
      </c>
      <c r="I32" s="37" cm="1">
        <f t="array" ref="I32">IF(AND(F32&lt;=G32,G32&lt;=H32,F32&lt;H32),_xll.VoseMean(_xll.VosePERTObject(F32,G32,H32)),"✗ диапазон")</f>
        <v>50.833333333333336</v>
      </c>
      <c r="J32" s="29"/>
    </row>
    <row r="33" spans="2:10" x14ac:dyDescent="0.45">
      <c r="B33" s="25" t="s">
        <v>146</v>
      </c>
      <c r="C33" s="26" t="s">
        <v>120</v>
      </c>
      <c r="D33" s="35" cm="1">
        <f t="array" aca="1" ref="D33" ca="1">_xll.VoseInput("Оборачиваемость кредиторской задолженности, дни","дней выручки")+_xll.VosePERT(F33,G33,H33)</f>
        <v>46.859263331426874</v>
      </c>
      <c r="E33" s="26" t="s">
        <v>139</v>
      </c>
      <c r="F33" s="36">
        <v>38</v>
      </c>
      <c r="G33" s="36">
        <v>45</v>
      </c>
      <c r="H33" s="36">
        <v>48</v>
      </c>
      <c r="I33" s="37" cm="1">
        <f t="array" ref="I33">IF(AND(F33&lt;=G33,G33&lt;=H33,F33&lt;H33),_xll.VoseMean(_xll.VosePERTObject(F33,G33,H33)),"✗ диапазон")</f>
        <v>44.333333333333336</v>
      </c>
      <c r="J33" s="29" t="s">
        <v>147</v>
      </c>
    </row>
    <row r="34" spans="2:10" x14ac:dyDescent="0.45">
      <c r="B34" s="25" t="s">
        <v>148</v>
      </c>
      <c r="C34" s="26" t="s">
        <v>149</v>
      </c>
      <c r="D34" s="33" cm="1">
        <f t="array" aca="1" ref="D34" ca="1">_xll.VoseInput("Доля капитальных затрат","от выручки")+_xll.VosePERT(F34,G34,H34)</f>
        <v>5.8647373847650591E-2</v>
      </c>
      <c r="E34" s="26" t="s">
        <v>139</v>
      </c>
      <c r="F34" s="31">
        <v>0.04</v>
      </c>
      <c r="G34" s="31">
        <v>0.05</v>
      </c>
      <c r="H34" s="31">
        <v>6.5000000000000002E-2</v>
      </c>
      <c r="I34" s="34" cm="1">
        <f t="array" ref="I34">IF(AND(F34&lt;=G34,G34&lt;=H34,F34&lt;H34,F34&gt;=0,H34&lt;=1),_xll.VoseMean(_xll.VosePERTObject(F34,G34,H34)),"✗ диапазон")</f>
        <v>5.0833333333333341E-2</v>
      </c>
      <c r="J34" s="29" t="s">
        <v>150</v>
      </c>
    </row>
    <row r="35" spans="2:10" x14ac:dyDescent="0.45">
      <c r="B35" s="25" t="s">
        <v>151</v>
      </c>
      <c r="C35" s="26" t="s">
        <v>152</v>
      </c>
      <c r="D35" s="38">
        <v>0.1</v>
      </c>
      <c r="E35" s="26" t="s">
        <v>110</v>
      </c>
      <c r="F35" s="28"/>
      <c r="G35" s="28"/>
      <c r="H35" s="28"/>
      <c r="I35" s="28"/>
      <c r="J35" s="29"/>
    </row>
    <row r="36" spans="2:10" x14ac:dyDescent="0.45">
      <c r="B36" s="25" t="s">
        <v>153</v>
      </c>
      <c r="C36" s="26"/>
      <c r="D36" s="38">
        <v>0.25</v>
      </c>
      <c r="E36" s="26" t="s">
        <v>110</v>
      </c>
      <c r="F36" s="28"/>
      <c r="G36" s="28"/>
      <c r="H36" s="28"/>
      <c r="I36" s="28"/>
      <c r="J36" s="29"/>
    </row>
    <row r="37" spans="2:10" ht="8" customHeight="1" x14ac:dyDescent="0.45"/>
    <row r="38" spans="2:10" ht="22.05" customHeight="1" x14ac:dyDescent="0.5">
      <c r="B38" s="7" t="s">
        <v>154</v>
      </c>
      <c r="C38" s="8"/>
      <c r="D38" s="8"/>
      <c r="E38" s="8"/>
      <c r="F38" s="8"/>
      <c r="G38" s="8"/>
      <c r="H38" s="8"/>
      <c r="I38" s="8"/>
      <c r="J38" s="8"/>
    </row>
    <row r="39" spans="2:10" ht="18" customHeight="1" x14ac:dyDescent="0.45">
      <c r="B39" s="13" t="s">
        <v>155</v>
      </c>
    </row>
    <row r="40" spans="2:10" ht="18" customHeight="1" x14ac:dyDescent="0.45">
      <c r="B40" s="23" t="s">
        <v>103</v>
      </c>
      <c r="C40" s="23" t="s">
        <v>104</v>
      </c>
      <c r="D40" s="24" t="s">
        <v>105</v>
      </c>
      <c r="E40" s="23" t="s">
        <v>106</v>
      </c>
      <c r="F40" s="24" t="s">
        <v>125</v>
      </c>
      <c r="G40" s="24" t="s">
        <v>126</v>
      </c>
      <c r="H40" s="24" t="s">
        <v>127</v>
      </c>
      <c r="I40" s="24" t="s">
        <v>128</v>
      </c>
      <c r="J40" s="23" t="s">
        <v>107</v>
      </c>
    </row>
    <row r="41" spans="2:10" x14ac:dyDescent="0.45">
      <c r="B41" s="25" t="s">
        <v>156</v>
      </c>
      <c r="C41" s="26" t="s">
        <v>130</v>
      </c>
      <c r="D41" s="39" cm="1">
        <f t="array" aca="1" ref="D41" ca="1">_xll.VoseInput("Базовая ставка","в год")+_xll.VosePERT(F41,G41,H41)</f>
        <v>3.086161106130992E-2</v>
      </c>
      <c r="E41" s="26" t="s">
        <v>139</v>
      </c>
      <c r="F41" s="40">
        <v>2.5000000000000001E-2</v>
      </c>
      <c r="G41" s="40">
        <v>3.5000000000000003E-2</v>
      </c>
      <c r="H41" s="40">
        <v>0.05</v>
      </c>
      <c r="I41" s="41" cm="1">
        <f t="array" ref="I41">IF(AND(F41&lt;=G41,G41&lt;=H41,F41&lt;H41,F41&gt;=0,H41&lt;=1),_xll.VoseMean(_xll.VosePERTObject(F41,G41,H41)),"✗ диапазон")</f>
        <v>3.5833333333333335E-2</v>
      </c>
      <c r="J41" s="29" t="s">
        <v>157</v>
      </c>
    </row>
    <row r="42" spans="2:10" x14ac:dyDescent="0.45">
      <c r="B42" s="25" t="s">
        <v>158</v>
      </c>
      <c r="C42" s="26" t="s">
        <v>130</v>
      </c>
      <c r="D42" s="40">
        <v>2.5000000000000001E-2</v>
      </c>
      <c r="E42" s="26" t="s">
        <v>110</v>
      </c>
      <c r="F42" s="28"/>
      <c r="G42" s="28"/>
      <c r="H42" s="28"/>
      <c r="I42" s="28"/>
      <c r="J42" s="29"/>
    </row>
    <row r="43" spans="2:10" x14ac:dyDescent="0.45">
      <c r="B43" s="25" t="s">
        <v>159</v>
      </c>
      <c r="C43" s="26" t="s">
        <v>130</v>
      </c>
      <c r="D43" s="40">
        <v>2.2499999999999999E-2</v>
      </c>
      <c r="E43" s="26" t="s">
        <v>110</v>
      </c>
      <c r="F43" s="28"/>
      <c r="G43" s="28"/>
      <c r="H43" s="28"/>
      <c r="I43" s="28"/>
      <c r="J43" s="29"/>
    </row>
    <row r="44" spans="2:10" x14ac:dyDescent="0.45">
      <c r="B44" s="25" t="s">
        <v>160</v>
      </c>
      <c r="C44" s="26" t="s">
        <v>161</v>
      </c>
      <c r="D44" s="30">
        <v>15</v>
      </c>
      <c r="E44" s="26" t="s">
        <v>110</v>
      </c>
      <c r="F44" s="28"/>
      <c r="G44" s="28"/>
      <c r="H44" s="28"/>
      <c r="I44" s="28"/>
      <c r="J44" s="29"/>
    </row>
    <row r="45" spans="2:10" x14ac:dyDescent="0.45">
      <c r="B45" s="25" t="s">
        <v>162</v>
      </c>
      <c r="C45" s="26" t="s">
        <v>112</v>
      </c>
      <c r="D45" s="30">
        <v>60</v>
      </c>
      <c r="E45" s="26" t="s">
        <v>110</v>
      </c>
      <c r="F45" s="28"/>
      <c r="G45" s="28"/>
      <c r="H45" s="28"/>
      <c r="I45" s="28"/>
      <c r="J45" s="29"/>
    </row>
    <row r="46" spans="2:10" x14ac:dyDescent="0.45">
      <c r="B46" s="25" t="s">
        <v>163</v>
      </c>
      <c r="C46" s="26" t="s">
        <v>112</v>
      </c>
      <c r="D46" s="30">
        <v>15</v>
      </c>
      <c r="E46" s="26" t="s">
        <v>110</v>
      </c>
      <c r="F46" s="28"/>
      <c r="G46" s="28"/>
      <c r="H46" s="28"/>
      <c r="I46" s="28"/>
      <c r="J46" s="29" t="s">
        <v>164</v>
      </c>
    </row>
    <row r="47" spans="2:10" x14ac:dyDescent="0.45">
      <c r="B47" s="25" t="s">
        <v>165</v>
      </c>
      <c r="C47" s="26" t="s">
        <v>166</v>
      </c>
      <c r="D47" s="38">
        <v>0.35</v>
      </c>
      <c r="E47" s="26" t="s">
        <v>110</v>
      </c>
      <c r="F47" s="28"/>
      <c r="G47" s="28"/>
      <c r="H47" s="28"/>
      <c r="I47" s="28"/>
      <c r="J47" s="29"/>
    </row>
    <row r="48" spans="2:10" x14ac:dyDescent="0.45">
      <c r="B48" s="25" t="s">
        <v>167</v>
      </c>
      <c r="C48" s="26" t="s">
        <v>168</v>
      </c>
      <c r="D48" s="32">
        <v>2.5</v>
      </c>
      <c r="E48" s="26" t="s">
        <v>110</v>
      </c>
      <c r="F48" s="28"/>
      <c r="G48" s="28"/>
      <c r="H48" s="28"/>
      <c r="I48" s="28"/>
      <c r="J48" s="29" t="s">
        <v>169</v>
      </c>
    </row>
    <row r="49" spans="2:10" x14ac:dyDescent="0.45">
      <c r="B49" s="25" t="s">
        <v>170</v>
      </c>
      <c r="C49" s="26" t="s">
        <v>168</v>
      </c>
      <c r="D49" s="32">
        <v>3</v>
      </c>
      <c r="E49" s="26" t="s">
        <v>110</v>
      </c>
      <c r="F49" s="28"/>
      <c r="G49" s="28"/>
      <c r="H49" s="28"/>
      <c r="I49" s="28"/>
      <c r="J49" s="29" t="s">
        <v>171</v>
      </c>
    </row>
    <row r="50" spans="2:10" x14ac:dyDescent="0.45">
      <c r="B50" s="25" t="s">
        <v>172</v>
      </c>
      <c r="C50" s="26" t="s">
        <v>173</v>
      </c>
      <c r="D50" s="32">
        <v>4</v>
      </c>
      <c r="E50" s="26" t="s">
        <v>110</v>
      </c>
      <c r="F50" s="28"/>
      <c r="G50" s="28"/>
      <c r="H50" s="28"/>
      <c r="I50" s="28"/>
      <c r="J50" s="29" t="s">
        <v>174</v>
      </c>
    </row>
    <row r="51" spans="2:10" ht="8" customHeight="1" x14ac:dyDescent="0.45"/>
  </sheetData>
  <mergeCells count="1">
    <mergeCell ref="B6:J6"/>
  </mergeCells>
  <conditionalFormatting sqref="I29">
    <cfRule type="expression" dxfId="8" priority="1">
      <formula>LEFT($I29,1)="✗"</formula>
    </cfRule>
  </conditionalFormatting>
  <conditionalFormatting sqref="I31:I34">
    <cfRule type="expression" dxfId="7" priority="2">
      <formula>LEFT($I31,1)="✗"</formula>
    </cfRule>
  </conditionalFormatting>
  <conditionalFormatting sqref="I41">
    <cfRule type="expression" dxfId="6" priority="6">
      <formula>LEFT($I41,1)="✗"</formula>
    </cfRule>
  </conditionalFormatting>
  <dataValidations count="6">
    <dataValidation type="whole" showErrorMessage="1" errorTitle="Год" error="Введите календарный год." sqref="D11" xr:uid="{00000000-0002-0000-0100-000000000000}">
      <formula1>1900</formula1>
      <formula2>2200</formula2>
    </dataValidation>
    <dataValidation type="decimal" operator="greaterThan" showErrorMessage="1" errorTitle="Положительное значение" error="Введите значение больше нуля." sqref="D12 D48:D50 D26 D15" xr:uid="{00000000-0002-0000-0100-000001000000}">
      <formula1>0</formula1>
    </dataValidation>
    <dataValidation type="decimal" showErrorMessage="1" errorTitle="Вероятность" error="Введите значение от 0% до 100%." sqref="D13 D47 D35:D36 D27" xr:uid="{00000000-0002-0000-0100-000002000000}">
      <formula1>0</formula1>
      <formula2>1</formula2>
    </dataValidation>
    <dataValidation type="decimal" showErrorMessage="1" errorTitle="Значение" error="Введите значение не меньше нуля." sqref="D14 D42:D46 D30 D25 D16:D20" xr:uid="{00000000-0002-0000-0100-000003000000}">
      <formula1>0</formula1>
      <formula2>1000000000000</formula2>
    </dataValidation>
    <dataValidation type="custom" showErrorMessage="1" errorTitle="Диапазон PERT" error="Мин. должно быть меньше макс., наиболее вероятное — между ними, все — от 0% до 100%." sqref="F29:H29 F41:H41 F34:H34" xr:uid="{00000000-0002-0000-0100-00000D000000}">
      <formula1>AND($F29&lt;=$G29,$G29&lt;=$H29,$F29&lt;$H29,$F29&gt;=0,$H29&lt;=1)</formula1>
    </dataValidation>
    <dataValidation type="custom" showErrorMessage="1" errorTitle="Диапазон PERT" error="Мин. должно быть меньше макс., наиболее вероятное — между ними." sqref="F31:H33" xr:uid="{00000000-0002-0000-0100-00000F000000}">
      <formula1>AND($F31&lt;=$G31,$G31&lt;=$H31,$F31&lt;$H31)</formula1>
    </dataValidation>
  </dataValidations>
  <hyperlinks>
    <hyperlink ref="B4" location="'Описание'!A1" display="◂  Описание" xr:uid="{00000000-0004-0000-0100-000000000000}"/>
    <hyperlink ref="J4" location="'Прогноз'!A1" display="Далее:  Прогноз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K127"/>
  <sheetViews>
    <sheetView showGridLines="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50" customWidth="1"/>
    <col min="3" max="3" width="8" customWidth="1"/>
    <col min="4" max="4" width="10" customWidth="1"/>
    <col min="5" max="5" width="3" customWidth="1"/>
    <col min="6" max="11" width="10" customWidth="1"/>
  </cols>
  <sheetData>
    <row r="1" spans="1:11" ht="6" customHeight="1" x14ac:dyDescent="0.45"/>
    <row r="2" spans="1:11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3" t="s">
        <v>1</v>
      </c>
    </row>
    <row r="3" spans="1:11" ht="20" customHeight="1" x14ac:dyDescent="0.45">
      <c r="A3" s="1"/>
      <c r="B3" s="4" t="s">
        <v>175</v>
      </c>
      <c r="C3" s="1"/>
      <c r="D3" s="1"/>
      <c r="E3" s="1"/>
      <c r="F3" s="1"/>
      <c r="G3" s="1"/>
      <c r="H3" s="1"/>
      <c r="I3" s="1"/>
      <c r="J3" s="1"/>
      <c r="K3" s="1"/>
    </row>
    <row r="4" spans="1:11" ht="20" customHeight="1" x14ac:dyDescent="0.45">
      <c r="A4" s="5"/>
      <c r="B4" s="22" t="s">
        <v>176</v>
      </c>
      <c r="C4" s="5"/>
      <c r="D4" s="5"/>
      <c r="E4" s="5"/>
      <c r="F4" s="5"/>
      <c r="G4" s="5"/>
      <c r="H4" s="5"/>
      <c r="I4" s="5"/>
      <c r="J4" s="5"/>
      <c r="K4" s="6" t="s">
        <v>177</v>
      </c>
    </row>
    <row r="5" spans="1:11" ht="8" customHeight="1" x14ac:dyDescent="0.45"/>
    <row r="6" spans="1:11" ht="16.05" customHeight="1" x14ac:dyDescent="0.45">
      <c r="B6" s="42" t="s">
        <v>178</v>
      </c>
      <c r="C6" s="43"/>
      <c r="D6" s="44"/>
      <c r="E6" s="45"/>
      <c r="F6" s="46">
        <v>0</v>
      </c>
      <c r="G6" s="46">
        <f>F6+1</f>
        <v>1</v>
      </c>
      <c r="H6" s="46">
        <f>G6+1</f>
        <v>2</v>
      </c>
      <c r="I6" s="46">
        <f>H6+1</f>
        <v>3</v>
      </c>
      <c r="J6" s="46">
        <f>I6+1</f>
        <v>4</v>
      </c>
      <c r="K6" s="46">
        <f>J6+1</f>
        <v>5</v>
      </c>
    </row>
    <row r="7" spans="1:11" ht="16.05" customHeight="1" x14ac:dyDescent="0.45">
      <c r="B7" s="47" t="s">
        <v>179</v>
      </c>
      <c r="C7" s="5"/>
      <c r="D7" s="5"/>
      <c r="E7" s="5"/>
      <c r="F7" s="48">
        <f t="shared" ref="F7:K7" si="0">ActualYear+F$6</f>
        <v>2026</v>
      </c>
      <c r="G7" s="48">
        <f t="shared" si="0"/>
        <v>2027</v>
      </c>
      <c r="H7" s="48">
        <f t="shared" si="0"/>
        <v>2028</v>
      </c>
      <c r="I7" s="48">
        <f t="shared" si="0"/>
        <v>2029</v>
      </c>
      <c r="J7" s="48">
        <f t="shared" si="0"/>
        <v>2030</v>
      </c>
      <c r="K7" s="48">
        <f t="shared" si="0"/>
        <v>2031</v>
      </c>
    </row>
    <row r="8" spans="1:11" ht="6" customHeight="1" x14ac:dyDescent="0.45"/>
    <row r="9" spans="1:11" ht="22.05" customHeight="1" x14ac:dyDescent="0.5">
      <c r="B9" s="7" t="s">
        <v>180</v>
      </c>
      <c r="C9" s="8"/>
      <c r="D9" s="8"/>
      <c r="E9" s="8"/>
      <c r="F9" s="8"/>
      <c r="G9" s="8"/>
      <c r="H9" s="8"/>
      <c r="I9" s="8"/>
      <c r="J9" s="8"/>
      <c r="K9" s="8"/>
    </row>
    <row r="10" spans="1:11" ht="18" customHeight="1" x14ac:dyDescent="0.45">
      <c r="B10" s="47" t="s">
        <v>181</v>
      </c>
      <c r="C10" s="47" t="s">
        <v>104</v>
      </c>
      <c r="D10" s="49" t="s">
        <v>182</v>
      </c>
      <c r="E10" s="5"/>
      <c r="F10" s="47" t="s">
        <v>183</v>
      </c>
      <c r="G10" s="5"/>
      <c r="H10" s="5"/>
      <c r="I10" s="5"/>
      <c r="J10" s="5"/>
      <c r="K10" s="5"/>
    </row>
    <row r="11" spans="1:11" x14ac:dyDescent="0.45">
      <c r="B11" s="25" t="s">
        <v>184</v>
      </c>
      <c r="C11" s="26"/>
      <c r="D11" s="41">
        <f>LN(1+ExpGrowth)</f>
        <v>3.9220713153281329E-2</v>
      </c>
      <c r="E11" s="28"/>
      <c r="F11" s="26" t="s">
        <v>185</v>
      </c>
      <c r="G11" s="28"/>
      <c r="H11" s="28"/>
      <c r="I11" s="28"/>
      <c r="J11" s="28"/>
      <c r="K11" s="28"/>
    </row>
    <row r="12" spans="1:11" x14ac:dyDescent="0.45">
      <c r="B12" s="25" t="s">
        <v>186</v>
      </c>
      <c r="C12" s="26"/>
      <c r="D12" s="41">
        <f>LN(1+LastGrowth)</f>
        <v>4.8790164169432049E-2</v>
      </c>
      <c r="E12" s="28"/>
      <c r="F12" s="26" t="s">
        <v>187</v>
      </c>
      <c r="G12" s="28"/>
      <c r="H12" s="28"/>
      <c r="I12" s="28"/>
      <c r="J12" s="28"/>
      <c r="K12" s="28"/>
    </row>
    <row r="13" spans="1:11" x14ac:dyDescent="0.45">
      <c r="B13" s="25" t="s">
        <v>188</v>
      </c>
      <c r="C13" s="26"/>
      <c r="D13" s="41">
        <f>GrowthVol/SQRT(1-GrowthA^2)</f>
        <v>8.0829037686547617E-2</v>
      </c>
      <c r="E13" s="28"/>
      <c r="F13" s="26" t="s">
        <v>189</v>
      </c>
      <c r="G13" s="28"/>
      <c r="H13" s="28"/>
      <c r="I13" s="28"/>
      <c r="J13" s="28"/>
      <c r="K13" s="28"/>
    </row>
    <row r="14" spans="1:11" x14ac:dyDescent="0.45">
      <c r="B14" s="25" t="s">
        <v>190</v>
      </c>
      <c r="C14" s="26" t="s">
        <v>112</v>
      </c>
      <c r="D14" s="50">
        <f>Cash0+Rev0*(DSO0+DIO0-DPO0)/365+PPE0-TL0-RCF0</f>
        <v>100.75342465753425</v>
      </c>
      <c r="E14" s="28"/>
      <c r="F14" s="26" t="s">
        <v>191</v>
      </c>
      <c r="G14" s="28"/>
      <c r="H14" s="28"/>
      <c r="I14" s="28"/>
      <c r="J14" s="28"/>
      <c r="K14" s="28"/>
    </row>
    <row r="15" spans="1:11" ht="8" customHeight="1" x14ac:dyDescent="0.45"/>
    <row r="16" spans="1:11" ht="22.05" customHeight="1" x14ac:dyDescent="0.5">
      <c r="B16" s="7" t="s">
        <v>192</v>
      </c>
      <c r="C16" s="8"/>
      <c r="D16" s="8"/>
      <c r="E16" s="8"/>
      <c r="F16" s="8"/>
      <c r="G16" s="8"/>
      <c r="H16" s="8"/>
      <c r="I16" s="8"/>
      <c r="J16" s="8"/>
      <c r="K16" s="8"/>
    </row>
    <row r="17" spans="2:11" ht="18" customHeight="1" x14ac:dyDescent="0.45">
      <c r="B17" s="13" t="s">
        <v>193</v>
      </c>
    </row>
    <row r="18" spans="2:11" x14ac:dyDescent="0.45">
      <c r="B18" s="25" t="s">
        <v>111</v>
      </c>
      <c r="C18" s="26" t="s">
        <v>112</v>
      </c>
      <c r="D18" s="28"/>
      <c r="E18" s="28"/>
      <c r="F18" s="50">
        <f>Rev0</f>
        <v>400</v>
      </c>
      <c r="G18" s="51">
        <f t="array" aca="1" ref="G18:K18" ca="1">_xll.VoseTimeAR1(GrowthMu,GrowthVol,GrowthA,GrowthR0,FALSE,Rev0)</f>
        <v>374.69697014860174</v>
      </c>
      <c r="H18" s="51">
        <f ca="1"/>
        <v>337.71910721905152</v>
      </c>
      <c r="I18" s="51">
        <f ca="1"/>
        <v>307.20395089091221</v>
      </c>
      <c r="J18" s="51">
        <f ca="1"/>
        <v>300.24411931898624</v>
      </c>
      <c r="K18" s="51">
        <f ca="1"/>
        <v>314.71784643630122</v>
      </c>
    </row>
    <row r="19" spans="2:11" x14ac:dyDescent="0.45">
      <c r="B19" s="25" t="s">
        <v>194</v>
      </c>
      <c r="C19" s="26"/>
      <c r="D19" s="28"/>
      <c r="E19" s="28"/>
      <c r="F19" s="34">
        <f>GrowthR0</f>
        <v>4.8790164169432049E-2</v>
      </c>
      <c r="G19" s="34">
        <f ca="1">LN(G18/F18)</f>
        <v>-6.5346927413619568E-2</v>
      </c>
      <c r="H19" s="34">
        <f ca="1">LN(H18/G18)</f>
        <v>-0.10390311345023652</v>
      </c>
      <c r="I19" s="34">
        <f ca="1">LN(I18/H18)</f>
        <v>-9.4702644080289014E-2</v>
      </c>
      <c r="J19" s="34">
        <f ca="1">LN(J18/I18)</f>
        <v>-2.2915987343973515E-2</v>
      </c>
      <c r="K19" s="34">
        <f ca="1">LN(K18/J18)</f>
        <v>4.7080637004836223E-2</v>
      </c>
    </row>
    <row r="20" spans="2:11" x14ac:dyDescent="0.45">
      <c r="B20" s="25" t="s">
        <v>195</v>
      </c>
      <c r="C20" s="26"/>
      <c r="D20" s="28"/>
      <c r="E20" s="28"/>
      <c r="F20" s="34">
        <f>Margin0</f>
        <v>0.15</v>
      </c>
      <c r="G20" s="34">
        <f ca="1">MarginBase+OpLev*(G19-GrowthMu)</f>
        <v>0.12813219468772036</v>
      </c>
      <c r="H20" s="34">
        <f ca="1">MarginBase+OpLev*(H19-GrowthMu)</f>
        <v>0.11656533887673526</v>
      </c>
      <c r="I20" s="34">
        <f ca="1">MarginBase+OpLev*(I19-GrowthMu)</f>
        <v>0.1193254796877195</v>
      </c>
      <c r="J20" s="34">
        <f ca="1">MarginBase+OpLev*(J19-GrowthMu)</f>
        <v>0.14086147670861415</v>
      </c>
      <c r="K20" s="34">
        <f ca="1">MarginBase+OpLev*(K19-GrowthMu)</f>
        <v>0.16186046401325707</v>
      </c>
    </row>
    <row r="21" spans="2:11" x14ac:dyDescent="0.45">
      <c r="B21" s="52" t="s">
        <v>196</v>
      </c>
      <c r="C21" s="26" t="s">
        <v>112</v>
      </c>
      <c r="D21" s="28"/>
      <c r="E21" s="28"/>
      <c r="F21" s="53">
        <f t="shared" ref="F21:K21" si="1">F18*F20</f>
        <v>60</v>
      </c>
      <c r="G21" s="53">
        <f t="shared" ca="1" si="1"/>
        <v>48.010745127979582</v>
      </c>
      <c r="H21" s="53">
        <f t="shared" ca="1" si="1"/>
        <v>39.366342178137231</v>
      </c>
      <c r="I21" s="53">
        <f t="shared" ca="1" si="1"/>
        <v>36.657258802020728</v>
      </c>
      <c r="J21" s="53">
        <f t="shared" ca="1" si="1"/>
        <v>42.292830020349747</v>
      </c>
      <c r="K21" s="53">
        <f t="shared" ca="1" si="1"/>
        <v>50.940376657432701</v>
      </c>
    </row>
    <row r="22" spans="2:11" x14ac:dyDescent="0.45">
      <c r="B22" s="25" t="s">
        <v>151</v>
      </c>
      <c r="C22" s="26" t="s">
        <v>112</v>
      </c>
      <c r="D22" s="28"/>
      <c r="E22" s="28"/>
      <c r="F22" s="50"/>
      <c r="G22" s="50">
        <f>DepRate*F54</f>
        <v>18</v>
      </c>
      <c r="H22" s="50">
        <f ca="1">DepRate*G54</f>
        <v>18.397499328788705</v>
      </c>
      <c r="I22" s="50">
        <f ca="1">DepRate*H54</f>
        <v>18.538383269566882</v>
      </c>
      <c r="J22" s="50">
        <f ca="1">DepRate*I54</f>
        <v>18.486215438147656</v>
      </c>
      <c r="K22" s="50">
        <f ca="1">DepRate*J54</f>
        <v>18.398446805458811</v>
      </c>
    </row>
    <row r="23" spans="2:11" x14ac:dyDescent="0.45">
      <c r="B23" s="25" t="s">
        <v>68</v>
      </c>
      <c r="C23" s="26" t="s">
        <v>112</v>
      </c>
      <c r="D23" s="28"/>
      <c r="E23" s="28"/>
      <c r="F23" s="50"/>
      <c r="G23" s="50">
        <f ca="1">F50*(BaseRate+TLMargin)+F47*(BaseRate+RCFMargin)</f>
        <v>8.9378577698095878</v>
      </c>
      <c r="H23" s="50">
        <f ca="1">G50*(BaseRate+TLMargin)+G47*(BaseRate+RCFMargin)</f>
        <v>8.1786258496488191</v>
      </c>
      <c r="I23" s="50">
        <f ca="1">H50*(BaseRate+TLMargin)+H47*(BaseRate+RCFMargin)</f>
        <v>7.3962181967109206</v>
      </c>
      <c r="J23" s="50">
        <f ca="1">I50*(BaseRate+TLMargin)+I47*(BaseRate+RCFMargin)</f>
        <v>6.6474070588135667</v>
      </c>
      <c r="K23" s="50">
        <f ca="1">J50*(BaseRate+TLMargin)+J47*(BaseRate+RCFMargin)</f>
        <v>5.8183307973664276</v>
      </c>
    </row>
    <row r="24" spans="2:11" x14ac:dyDescent="0.45">
      <c r="B24" s="25" t="s">
        <v>72</v>
      </c>
      <c r="C24" s="26" t="s">
        <v>112</v>
      </c>
      <c r="D24" s="28"/>
      <c r="E24" s="28"/>
      <c r="F24" s="50"/>
      <c r="G24" s="50">
        <f ca="1">TaxRate*MAX(0,G21-G22-G23)</f>
        <v>5.2682218395424982</v>
      </c>
      <c r="H24" s="50">
        <f ca="1">TaxRate*MAX(0,H21-H22-H23)</f>
        <v>3.1975542499249268</v>
      </c>
      <c r="I24" s="50">
        <f ca="1">TaxRate*MAX(0,I21-I22-I23)</f>
        <v>2.6806643339357312</v>
      </c>
      <c r="J24" s="50">
        <f ca="1">TaxRate*MAX(0,J21-J22-J23)</f>
        <v>4.289801880847131</v>
      </c>
      <c r="K24" s="50">
        <f ca="1">TaxRate*MAX(0,K21-K22-K23)</f>
        <v>6.6808997636518654</v>
      </c>
    </row>
    <row r="25" spans="2:11" x14ac:dyDescent="0.45">
      <c r="B25" s="54" t="s">
        <v>197</v>
      </c>
      <c r="C25" s="55" t="s">
        <v>112</v>
      </c>
      <c r="D25" s="56"/>
      <c r="E25" s="56"/>
      <c r="F25" s="57"/>
      <c r="G25" s="57">
        <f ca="1">G21-G22-G23-G24</f>
        <v>15.804665518627495</v>
      </c>
      <c r="H25" s="57">
        <f ca="1">H21-H22-H23-H24</f>
        <v>9.5926627497747798</v>
      </c>
      <c r="I25" s="57">
        <f ca="1">I21-I22-I23-I24</f>
        <v>8.0419930018071941</v>
      </c>
      <c r="J25" s="57">
        <f ca="1">J21-J22-J23-J24</f>
        <v>12.869405642541393</v>
      </c>
      <c r="K25" s="57">
        <f ca="1">K21-K22-K23-K24</f>
        <v>20.042699290955596</v>
      </c>
    </row>
    <row r="26" spans="2:11" ht="8" customHeight="1" x14ac:dyDescent="0.45"/>
    <row r="27" spans="2:11" ht="22.05" customHeight="1" x14ac:dyDescent="0.5">
      <c r="B27" s="7" t="s">
        <v>198</v>
      </c>
      <c r="C27" s="8"/>
      <c r="D27" s="8"/>
      <c r="E27" s="8"/>
      <c r="F27" s="8"/>
      <c r="G27" s="8"/>
      <c r="H27" s="8"/>
      <c r="I27" s="8"/>
      <c r="J27" s="8"/>
      <c r="K27" s="8"/>
    </row>
    <row r="28" spans="2:11" ht="18" customHeight="1" x14ac:dyDescent="0.45">
      <c r="B28" s="13" t="s">
        <v>199</v>
      </c>
    </row>
    <row r="29" spans="2:11" x14ac:dyDescent="0.45">
      <c r="B29" s="25" t="s">
        <v>200</v>
      </c>
      <c r="C29" s="26" t="s">
        <v>112</v>
      </c>
      <c r="D29" s="28"/>
      <c r="E29" s="28"/>
      <c r="F29" s="50">
        <f>Rev0*DSO0/365</f>
        <v>60.273972602739725</v>
      </c>
      <c r="G29" s="50">
        <f ca="1">G18*DSO/365</f>
        <v>56.125073369992627</v>
      </c>
      <c r="H29" s="50">
        <f ca="1">H18*DSO/365</f>
        <v>50.58623682919152</v>
      </c>
      <c r="I29" s="50">
        <f ca="1">I18*DSO/365</f>
        <v>46.015435557074518</v>
      </c>
      <c r="J29" s="50">
        <f ca="1">J18*DSO/365</f>
        <v>44.972936981593058</v>
      </c>
      <c r="K29" s="50">
        <f ca="1">K18*DSO/365</f>
        <v>47.140926213196366</v>
      </c>
    </row>
    <row r="30" spans="2:11" x14ac:dyDescent="0.45">
      <c r="B30" s="25" t="s">
        <v>201</v>
      </c>
      <c r="C30" s="26" t="s">
        <v>112</v>
      </c>
      <c r="D30" s="28"/>
      <c r="E30" s="28"/>
      <c r="F30" s="50">
        <f>Rev0*DIO0/365</f>
        <v>54.794520547945204</v>
      </c>
      <c r="G30" s="50">
        <f ca="1">G18*DIO/365</f>
        <v>50.505263624256031</v>
      </c>
      <c r="H30" s="50">
        <f ca="1">H18*DIO/365</f>
        <v>45.521031393133718</v>
      </c>
      <c r="I30" s="50">
        <f ca="1">I18*DIO/365</f>
        <v>41.40790495318187</v>
      </c>
      <c r="J30" s="50">
        <f ca="1">J18*DIO/365</f>
        <v>40.469791874282045</v>
      </c>
      <c r="K30" s="50">
        <f ca="1">K18*DIO/365</f>
        <v>42.420700106594751</v>
      </c>
    </row>
    <row r="31" spans="2:11" x14ac:dyDescent="0.45">
      <c r="B31" s="25" t="s">
        <v>202</v>
      </c>
      <c r="C31" s="26" t="s">
        <v>112</v>
      </c>
      <c r="D31" s="28"/>
      <c r="E31" s="28"/>
      <c r="F31" s="50">
        <f>Rev0*DPO0/365</f>
        <v>49.315068493150683</v>
      </c>
      <c r="G31" s="50">
        <f ca="1">G18*DPO/365</f>
        <v>48.104175325153761</v>
      </c>
      <c r="H31" s="50">
        <f ca="1">H18*DPO/365</f>
        <v>43.356900211594308</v>
      </c>
      <c r="I31" s="50">
        <f ca="1">I18*DPO/365</f>
        <v>39.439317345895844</v>
      </c>
      <c r="J31" s="50">
        <f ca="1">J18*DPO/365</f>
        <v>38.545803427070489</v>
      </c>
      <c r="K31" s="50">
        <f ca="1">K18*DPO/365</f>
        <v>40.403962852762206</v>
      </c>
    </row>
    <row r="32" spans="2:11" x14ac:dyDescent="0.45">
      <c r="B32" s="52" t="s">
        <v>203</v>
      </c>
      <c r="C32" s="26" t="s">
        <v>112</v>
      </c>
      <c r="D32" s="28"/>
      <c r="E32" s="28"/>
      <c r="F32" s="53">
        <f t="shared" ref="F32:K32" si="2">F29+F30-F31</f>
        <v>65.753424657534254</v>
      </c>
      <c r="G32" s="53">
        <f t="shared" ca="1" si="2"/>
        <v>58.526161669094904</v>
      </c>
      <c r="H32" s="53">
        <f t="shared" ca="1" si="2"/>
        <v>52.750368010730938</v>
      </c>
      <c r="I32" s="53">
        <f t="shared" ca="1" si="2"/>
        <v>47.984023164360551</v>
      </c>
      <c r="J32" s="53">
        <f t="shared" ca="1" si="2"/>
        <v>46.896925428804614</v>
      </c>
      <c r="K32" s="53">
        <f t="shared" ca="1" si="2"/>
        <v>49.157663467028911</v>
      </c>
    </row>
    <row r="33" spans="2:11" x14ac:dyDescent="0.45">
      <c r="B33" s="25" t="s">
        <v>148</v>
      </c>
      <c r="C33" s="26" t="s">
        <v>112</v>
      </c>
      <c r="D33" s="28"/>
      <c r="E33" s="28"/>
      <c r="F33" s="50"/>
      <c r="G33" s="50">
        <f ca="1">G18*CapexPct</f>
        <v>21.97499328788702</v>
      </c>
      <c r="H33" s="50">
        <f ca="1">H18*CapexPct</f>
        <v>19.80633873657051</v>
      </c>
      <c r="I33" s="50">
        <f ca="1">I18*CapexPct</f>
        <v>18.016704955374621</v>
      </c>
      <c r="J33" s="50">
        <f ca="1">J18*CapexPct</f>
        <v>17.608529111259198</v>
      </c>
      <c r="K33" s="50">
        <f ca="1">K18*CapexPct</f>
        <v>18.457375196477248</v>
      </c>
    </row>
    <row r="34" spans="2:11" ht="8" customHeight="1" x14ac:dyDescent="0.45"/>
    <row r="35" spans="2:11" ht="22.05" customHeight="1" x14ac:dyDescent="0.5">
      <c r="B35" s="7" t="s">
        <v>204</v>
      </c>
      <c r="C35" s="8"/>
      <c r="D35" s="8"/>
      <c r="E35" s="8"/>
      <c r="F35" s="8"/>
      <c r="G35" s="8"/>
      <c r="H35" s="8"/>
      <c r="I35" s="8"/>
      <c r="J35" s="8"/>
      <c r="K35" s="8"/>
    </row>
    <row r="36" spans="2:11" ht="18" customHeight="1" x14ac:dyDescent="0.45">
      <c r="B36" s="13" t="s">
        <v>205</v>
      </c>
    </row>
    <row r="37" spans="2:11" x14ac:dyDescent="0.45">
      <c r="B37" s="25" t="s">
        <v>206</v>
      </c>
      <c r="C37" s="26" t="s">
        <v>112</v>
      </c>
      <c r="D37" s="28"/>
      <c r="E37" s="28"/>
      <c r="F37" s="50"/>
      <c r="G37" s="50">
        <f ca="1">G25+G22-(G32-F32)</f>
        <v>41.031928507066844</v>
      </c>
      <c r="H37" s="50">
        <f ca="1">H25+H22-(H32-G32)</f>
        <v>33.765955736927452</v>
      </c>
      <c r="I37" s="50">
        <f ca="1">I25+I22-(I32-H32)</f>
        <v>31.346721117744465</v>
      </c>
      <c r="J37" s="50">
        <f ca="1">J25+J22-(J32-I32)</f>
        <v>32.442718816244984</v>
      </c>
      <c r="K37" s="50">
        <f ca="1">K25+K22-(K32-J32)</f>
        <v>36.18040805819011</v>
      </c>
    </row>
    <row r="38" spans="2:11" x14ac:dyDescent="0.45">
      <c r="B38" s="25" t="s">
        <v>148</v>
      </c>
      <c r="C38" s="26" t="s">
        <v>112</v>
      </c>
      <c r="D38" s="28"/>
      <c r="E38" s="28"/>
      <c r="F38" s="50"/>
      <c r="G38" s="50">
        <f ca="1">-G33</f>
        <v>-21.97499328788702</v>
      </c>
      <c r="H38" s="50">
        <f ca="1">-H33</f>
        <v>-19.80633873657051</v>
      </c>
      <c r="I38" s="50">
        <f ca="1">-I33</f>
        <v>-18.016704955374621</v>
      </c>
      <c r="J38" s="50">
        <f ca="1">-J33</f>
        <v>-17.608529111259198</v>
      </c>
      <c r="K38" s="50">
        <f ca="1">-K33</f>
        <v>-18.457375196477248</v>
      </c>
    </row>
    <row r="39" spans="2:11" x14ac:dyDescent="0.45">
      <c r="B39" s="25" t="s">
        <v>160</v>
      </c>
      <c r="C39" s="26" t="s">
        <v>112</v>
      </c>
      <c r="D39" s="28"/>
      <c r="E39" s="28"/>
      <c r="F39" s="50"/>
      <c r="G39" s="50">
        <f>-MIN(Amort,F50)</f>
        <v>-15</v>
      </c>
      <c r="H39" s="50">
        <f>-MIN(Amort,G50)</f>
        <v>-15</v>
      </c>
      <c r="I39" s="50">
        <f>-MIN(Amort,H50)</f>
        <v>-15</v>
      </c>
      <c r="J39" s="50">
        <f>-MIN(Amort,I50)</f>
        <v>-15</v>
      </c>
      <c r="K39" s="50">
        <f>-MIN(Amort,J50)</f>
        <v>-15</v>
      </c>
    </row>
    <row r="40" spans="2:11" x14ac:dyDescent="0.45">
      <c r="B40" s="25" t="s">
        <v>207</v>
      </c>
      <c r="C40" s="26" t="s">
        <v>112</v>
      </c>
      <c r="D40" s="28"/>
      <c r="E40" s="28"/>
      <c r="F40" s="50"/>
      <c r="G40" s="50">
        <f ca="1">-IF(F62&lt;DivLev*F21,Payout*MAX(0,G25),0)</f>
        <v>-5.5316329315196224</v>
      </c>
      <c r="H40" s="50">
        <f ca="1">-IF(G62&lt;DivLev*G21,Payout*MAX(0,H25),0)</f>
        <v>0</v>
      </c>
      <c r="I40" s="50">
        <f ca="1">-IF(H62&lt;DivLev*H21,Payout*MAX(0,I25),0)</f>
        <v>0</v>
      </c>
      <c r="J40" s="50">
        <f ca="1">-IF(I62&lt;DivLev*I21,Payout*MAX(0,J25),0)</f>
        <v>0</v>
      </c>
      <c r="K40" s="50">
        <f ca="1">-IF(J62&lt;DivLev*J21,Payout*MAX(0,K25),0)</f>
        <v>-7.0149447518344585</v>
      </c>
    </row>
    <row r="41" spans="2:11" x14ac:dyDescent="0.45">
      <c r="B41" s="54" t="s">
        <v>208</v>
      </c>
      <c r="C41" s="55" t="s">
        <v>112</v>
      </c>
      <c r="D41" s="56"/>
      <c r="E41" s="56"/>
      <c r="F41" s="57"/>
      <c r="G41" s="57">
        <f ca="1">G37+G38+G39+G40</f>
        <v>-1.4746977123397986</v>
      </c>
      <c r="H41" s="57">
        <f ca="1">H37+H38+H39+H40</f>
        <v>-1.0403829996430574</v>
      </c>
      <c r="I41" s="57">
        <f ca="1">I37+I38+I39+I40</f>
        <v>-1.6699838376301557</v>
      </c>
      <c r="J41" s="57">
        <f ca="1">J37+J38+J39+J40</f>
        <v>-0.1658102950142144</v>
      </c>
      <c r="K41" s="57">
        <f ca="1">K37+K38+K39+K40</f>
        <v>-4.2919118901215958</v>
      </c>
    </row>
    <row r="42" spans="2:11" ht="8" customHeight="1" x14ac:dyDescent="0.45"/>
    <row r="43" spans="2:11" ht="22.05" customHeight="1" x14ac:dyDescent="0.5">
      <c r="B43" s="7" t="s">
        <v>209</v>
      </c>
      <c r="C43" s="8"/>
      <c r="D43" s="8"/>
      <c r="E43" s="8"/>
      <c r="F43" s="8"/>
      <c r="G43" s="8"/>
      <c r="H43" s="8"/>
      <c r="I43" s="8"/>
      <c r="J43" s="8"/>
      <c r="K43" s="8"/>
    </row>
    <row r="44" spans="2:11" ht="18" customHeight="1" x14ac:dyDescent="0.45">
      <c r="B44" s="13" t="s">
        <v>210</v>
      </c>
    </row>
    <row r="45" spans="2:11" x14ac:dyDescent="0.45">
      <c r="B45" s="25" t="s">
        <v>211</v>
      </c>
      <c r="C45" s="26" t="s">
        <v>112</v>
      </c>
      <c r="D45" s="28"/>
      <c r="E45" s="28"/>
      <c r="F45" s="50"/>
      <c r="G45" s="50">
        <f ca="1">F49+G41-MinCash</f>
        <v>-1.4746977123397986</v>
      </c>
      <c r="H45" s="50">
        <f ca="1">G49+H41-MinCash</f>
        <v>-1.0403829996430574</v>
      </c>
      <c r="I45" s="50">
        <f ca="1">H49+I41-MinCash</f>
        <v>-1.6699838376301575</v>
      </c>
      <c r="J45" s="50">
        <f ca="1">I49+J41-MinCash</f>
        <v>-0.16581029501421618</v>
      </c>
      <c r="K45" s="50">
        <f ca="1">J49+K41-MinCash</f>
        <v>-4.2919118901215967</v>
      </c>
    </row>
    <row r="46" spans="2:11" x14ac:dyDescent="0.45">
      <c r="B46" s="25" t="s">
        <v>212</v>
      </c>
      <c r="C46" s="26" t="s">
        <v>112</v>
      </c>
      <c r="D46" s="28"/>
      <c r="E46" s="28"/>
      <c r="F46" s="50"/>
      <c r="G46" s="50">
        <f ca="1">MAX(0,F47-G45)</f>
        <v>1.4746977123397986</v>
      </c>
      <c r="H46" s="50">
        <f ca="1">MAX(0,G47-H45)</f>
        <v>2.515080711982856</v>
      </c>
      <c r="I46" s="50">
        <f ca="1">MAX(0,H47-I45)</f>
        <v>4.1850645496130134</v>
      </c>
      <c r="J46" s="50">
        <f ca="1">MAX(0,I47-J45)</f>
        <v>4.3508748446272296</v>
      </c>
      <c r="K46" s="50">
        <f ca="1">MAX(0,J47-K45)</f>
        <v>8.6427867347488263</v>
      </c>
    </row>
    <row r="47" spans="2:11" x14ac:dyDescent="0.45">
      <c r="B47" s="52" t="s">
        <v>118</v>
      </c>
      <c r="C47" s="26" t="s">
        <v>112</v>
      </c>
      <c r="D47" s="28"/>
      <c r="E47" s="28"/>
      <c r="F47" s="53">
        <f>RCF0</f>
        <v>0</v>
      </c>
      <c r="G47" s="53">
        <f ca="1">MIN(RCFLimit,G46)</f>
        <v>1.4746977123397986</v>
      </c>
      <c r="H47" s="53">
        <f ca="1">MIN(RCFLimit,H46)</f>
        <v>2.515080711982856</v>
      </c>
      <c r="I47" s="53">
        <f ca="1">MIN(RCFLimit,I46)</f>
        <v>4.1850645496130134</v>
      </c>
      <c r="J47" s="53">
        <f ca="1">MIN(RCFLimit,J46)</f>
        <v>4.3508748446272296</v>
      </c>
      <c r="K47" s="53">
        <f ca="1">MIN(RCFLimit,K46)</f>
        <v>8.6427867347488263</v>
      </c>
    </row>
    <row r="48" spans="2:11" x14ac:dyDescent="0.45">
      <c r="B48" s="25" t="s">
        <v>213</v>
      </c>
      <c r="C48" s="26" t="s">
        <v>112</v>
      </c>
      <c r="D48" s="28"/>
      <c r="E48" s="28"/>
      <c r="F48" s="50"/>
      <c r="G48" s="50">
        <f ca="1">G46-G47</f>
        <v>0</v>
      </c>
      <c r="H48" s="50">
        <f ca="1">H46-H47</f>
        <v>0</v>
      </c>
      <c r="I48" s="50">
        <f ca="1">I46-I47</f>
        <v>0</v>
      </c>
      <c r="J48" s="50">
        <f ca="1">J46-J47</f>
        <v>0</v>
      </c>
      <c r="K48" s="50">
        <f ca="1">K46-K47</f>
        <v>0</v>
      </c>
    </row>
    <row r="49" spans="2:11" x14ac:dyDescent="0.45">
      <c r="B49" s="52" t="s">
        <v>115</v>
      </c>
      <c r="C49" s="26" t="s">
        <v>112</v>
      </c>
      <c r="D49" s="28"/>
      <c r="E49" s="28"/>
      <c r="F49" s="53">
        <f>Cash0</f>
        <v>15</v>
      </c>
      <c r="G49" s="53">
        <f ca="1">F49+G41+G47-F47</f>
        <v>15</v>
      </c>
      <c r="H49" s="53">
        <f ca="1">G49+H41+H47-G47</f>
        <v>14.999999999999998</v>
      </c>
      <c r="I49" s="53">
        <f ca="1">H49+I41+I47-H47</f>
        <v>14.999999999999998</v>
      </c>
      <c r="J49" s="53">
        <f ca="1">I49+J41+J47-I47</f>
        <v>15</v>
      </c>
      <c r="K49" s="53">
        <f ca="1">J49+K41+K47-J47</f>
        <v>14.999999999999998</v>
      </c>
    </row>
    <row r="50" spans="2:11" x14ac:dyDescent="0.45">
      <c r="B50" s="52" t="s">
        <v>117</v>
      </c>
      <c r="C50" s="26" t="s">
        <v>112</v>
      </c>
      <c r="D50" s="28"/>
      <c r="E50" s="28"/>
      <c r="F50" s="53">
        <f>TL0</f>
        <v>160</v>
      </c>
      <c r="G50" s="53">
        <f>F50+G39</f>
        <v>145</v>
      </c>
      <c r="H50" s="53">
        <f>G50+H39</f>
        <v>130</v>
      </c>
      <c r="I50" s="53">
        <f>H50+I39</f>
        <v>115</v>
      </c>
      <c r="J50" s="53">
        <f>I50+J39</f>
        <v>100</v>
      </c>
      <c r="K50" s="53">
        <f>J50+K39</f>
        <v>85</v>
      </c>
    </row>
    <row r="51" spans="2:11" ht="8" customHeight="1" x14ac:dyDescent="0.45"/>
    <row r="52" spans="2:11" ht="22.05" customHeight="1" x14ac:dyDescent="0.5">
      <c r="B52" s="7" t="s">
        <v>214</v>
      </c>
      <c r="C52" s="8"/>
      <c r="D52" s="8"/>
      <c r="E52" s="8"/>
      <c r="F52" s="8"/>
      <c r="G52" s="8"/>
      <c r="H52" s="8"/>
      <c r="I52" s="8"/>
      <c r="J52" s="8"/>
      <c r="K52" s="8"/>
    </row>
    <row r="53" spans="2:11" ht="18" customHeight="1" x14ac:dyDescent="0.45">
      <c r="B53" s="13" t="s">
        <v>215</v>
      </c>
    </row>
    <row r="54" spans="2:11" x14ac:dyDescent="0.45">
      <c r="B54" s="25" t="s">
        <v>216</v>
      </c>
      <c r="C54" s="26" t="s">
        <v>112</v>
      </c>
      <c r="D54" s="28"/>
      <c r="E54" s="28"/>
      <c r="F54" s="50">
        <f>PPE0</f>
        <v>180</v>
      </c>
      <c r="G54" s="50">
        <f ca="1">F54+G33-G22</f>
        <v>183.97499328788703</v>
      </c>
      <c r="H54" s="50">
        <f ca="1">G54+H33-H22</f>
        <v>185.38383269566881</v>
      </c>
      <c r="I54" s="50">
        <f ca="1">H54+I33-I22</f>
        <v>184.86215438147656</v>
      </c>
      <c r="J54" s="50">
        <f ca="1">I54+J33-J22</f>
        <v>183.98446805458809</v>
      </c>
      <c r="K54" s="50">
        <f ca="1">J54+K33-K22</f>
        <v>184.04339644560653</v>
      </c>
    </row>
    <row r="55" spans="2:11" x14ac:dyDescent="0.45">
      <c r="B55" s="52" t="s">
        <v>217</v>
      </c>
      <c r="C55" s="26" t="s">
        <v>112</v>
      </c>
      <c r="D55" s="28"/>
      <c r="E55" s="28"/>
      <c r="F55" s="53">
        <f t="shared" ref="F55:K55" si="3">F49+F29+F30+F54</f>
        <v>310.06849315068496</v>
      </c>
      <c r="G55" s="53">
        <f t="shared" ca="1" si="3"/>
        <v>305.6053302821357</v>
      </c>
      <c r="H55" s="53">
        <f t="shared" ca="1" si="3"/>
        <v>296.49110091799406</v>
      </c>
      <c r="I55" s="53">
        <f t="shared" ca="1" si="3"/>
        <v>287.28549489173292</v>
      </c>
      <c r="J55" s="53">
        <f t="shared" ca="1" si="3"/>
        <v>284.42719691046318</v>
      </c>
      <c r="K55" s="53">
        <f t="shared" ca="1" si="3"/>
        <v>288.60502276539762</v>
      </c>
    </row>
    <row r="56" spans="2:11" x14ac:dyDescent="0.45">
      <c r="B56" s="25" t="s">
        <v>218</v>
      </c>
      <c r="C56" s="26" t="s">
        <v>112</v>
      </c>
      <c r="D56" s="28"/>
      <c r="E56" s="28"/>
      <c r="F56" s="50">
        <f>Equity0</f>
        <v>100.75342465753425</v>
      </c>
      <c r="G56" s="50">
        <f ca="1">F56+G25+G40</f>
        <v>111.02645724464213</v>
      </c>
      <c r="H56" s="50">
        <f ca="1">G56+H25+H40</f>
        <v>120.61911999441691</v>
      </c>
      <c r="I56" s="50">
        <f ca="1">H56+I25+I40</f>
        <v>128.66111299622409</v>
      </c>
      <c r="J56" s="50">
        <f ca="1">I56+J25+J40</f>
        <v>141.53051863876547</v>
      </c>
      <c r="K56" s="50">
        <f ca="1">J56+K25+K40</f>
        <v>154.5582731778866</v>
      </c>
    </row>
    <row r="57" spans="2:11" x14ac:dyDescent="0.45">
      <c r="B57" s="52" t="s">
        <v>219</v>
      </c>
      <c r="C57" s="26" t="s">
        <v>112</v>
      </c>
      <c r="D57" s="28"/>
      <c r="E57" s="28"/>
      <c r="F57" s="53">
        <f t="shared" ref="F57:K57" si="4">F31+F50+F47+F56</f>
        <v>310.06849315068496</v>
      </c>
      <c r="G57" s="53">
        <f t="shared" ca="1" si="4"/>
        <v>305.6053302821357</v>
      </c>
      <c r="H57" s="53">
        <f t="shared" ca="1" si="4"/>
        <v>296.49110091799406</v>
      </c>
      <c r="I57" s="53">
        <f t="shared" ca="1" si="4"/>
        <v>287.28549489173292</v>
      </c>
      <c r="J57" s="53">
        <f t="shared" ca="1" si="4"/>
        <v>284.42719691046318</v>
      </c>
      <c r="K57" s="53">
        <f t="shared" ca="1" si="4"/>
        <v>288.60502276539762</v>
      </c>
    </row>
    <row r="58" spans="2:11" x14ac:dyDescent="0.45">
      <c r="B58" s="25" t="s">
        <v>220</v>
      </c>
      <c r="C58" s="26" t="s">
        <v>112</v>
      </c>
      <c r="D58" s="28"/>
      <c r="E58" s="28"/>
      <c r="F58" s="58">
        <f t="shared" ref="F58:K58" si="5">F55-F57</f>
        <v>0</v>
      </c>
      <c r="G58" s="58">
        <f t="shared" ca="1" si="5"/>
        <v>0</v>
      </c>
      <c r="H58" s="58">
        <f t="shared" ca="1" si="5"/>
        <v>0</v>
      </c>
      <c r="I58" s="58">
        <f t="shared" ca="1" si="5"/>
        <v>0</v>
      </c>
      <c r="J58" s="58">
        <f t="shared" ca="1" si="5"/>
        <v>0</v>
      </c>
      <c r="K58" s="58">
        <f t="shared" ca="1" si="5"/>
        <v>0</v>
      </c>
    </row>
    <row r="59" spans="2:11" ht="8" customHeight="1" x14ac:dyDescent="0.45"/>
    <row r="60" spans="2:11" ht="22.05" customHeight="1" x14ac:dyDescent="0.5">
      <c r="B60" s="7" t="s">
        <v>221</v>
      </c>
      <c r="C60" s="8"/>
      <c r="D60" s="8"/>
      <c r="E60" s="8"/>
      <c r="F60" s="8"/>
      <c r="G60" s="8"/>
      <c r="H60" s="8"/>
      <c r="I60" s="8"/>
      <c r="J60" s="8"/>
      <c r="K60" s="8"/>
    </row>
    <row r="61" spans="2:11" ht="18" customHeight="1" x14ac:dyDescent="0.45">
      <c r="B61" s="13" t="s">
        <v>222</v>
      </c>
    </row>
    <row r="62" spans="2:11" x14ac:dyDescent="0.45">
      <c r="B62" s="25" t="s">
        <v>223</v>
      </c>
      <c r="C62" s="26" t="s">
        <v>112</v>
      </c>
      <c r="D62" s="28"/>
      <c r="E62" s="28"/>
      <c r="F62" s="50">
        <f t="shared" ref="F62:K62" si="6">F50+F47-F49</f>
        <v>145</v>
      </c>
      <c r="G62" s="50">
        <f t="shared" ca="1" si="6"/>
        <v>131.4746977123398</v>
      </c>
      <c r="H62" s="50">
        <f t="shared" ca="1" si="6"/>
        <v>117.51508071198285</v>
      </c>
      <c r="I62" s="50">
        <f t="shared" ca="1" si="6"/>
        <v>104.18506454961302</v>
      </c>
      <c r="J62" s="50">
        <f t="shared" ca="1" si="6"/>
        <v>89.350874844627228</v>
      </c>
      <c r="K62" s="50">
        <f t="shared" ca="1" si="6"/>
        <v>78.642786734748825</v>
      </c>
    </row>
    <row r="63" spans="2:11" x14ac:dyDescent="0.45">
      <c r="B63" s="25" t="s">
        <v>224</v>
      </c>
      <c r="C63" s="26" t="s">
        <v>225</v>
      </c>
      <c r="D63" s="28"/>
      <c r="E63" s="28"/>
      <c r="F63" s="59">
        <f>F62/F21</f>
        <v>2.4166666666666665</v>
      </c>
      <c r="G63" s="60" cm="1">
        <f t="array" aca="1" ref="G63" ca="1">_xll.VoseOutput("Долговая нагрузка, год 1","×")+G62/G21</f>
        <v>2.7384431831223406</v>
      </c>
      <c r="H63" s="60" cm="1">
        <f t="array" aca="1" ref="H63" ca="1">_xll.VoseOutput("Долговая нагрузка, год 2","×")+H62/H21</f>
        <v>2.9851663682699696</v>
      </c>
      <c r="I63" s="60" cm="1">
        <f t="array" aca="1" ref="I63" ca="1">_xll.VoseOutput("Долговая нагрузка, год 3","×")+I62/I21</f>
        <v>2.8421400823312468</v>
      </c>
      <c r="J63" s="60" cm="1">
        <f t="array" aca="1" ref="J63" ca="1">_xll.VoseOutput("Долговая нагрузка, год 4","×")+J62/J21</f>
        <v>2.1126719304817128</v>
      </c>
      <c r="K63" s="60" cm="1">
        <f t="array" aca="1" ref="K63" ca="1">_xll.VoseOutput("Долговая нагрузка, год 5","×")+K62/K21</f>
        <v>1.5438202835367938</v>
      </c>
    </row>
    <row r="64" spans="2:11" x14ac:dyDescent="0.45">
      <c r="B64" s="25" t="s">
        <v>226</v>
      </c>
      <c r="C64" s="26" t="s">
        <v>225</v>
      </c>
      <c r="D64" s="28"/>
      <c r="E64" s="28"/>
      <c r="F64" s="61"/>
      <c r="G64" s="61">
        <f ca="1">IF(G23&gt;0,G21/G23,"–")</f>
        <v>5.3716165958861977</v>
      </c>
      <c r="H64" s="61">
        <f ca="1">IF(H23&gt;0,H21/H23,"–")</f>
        <v>4.8133198537047122</v>
      </c>
      <c r="I64" s="61">
        <f ca="1">IF(I23&gt;0,I21/I23,"–")</f>
        <v>4.9562165186422051</v>
      </c>
      <c r="J64" s="61">
        <f ca="1">IF(J23&gt;0,J21/J23,"–")</f>
        <v>6.3623048274552634</v>
      </c>
      <c r="K64" s="61">
        <f ca="1">IF(K23&gt;0,K21/K23,"–")</f>
        <v>8.7551530553213013</v>
      </c>
    </row>
    <row r="65" spans="2:11" x14ac:dyDescent="0.45">
      <c r="B65" s="25" t="s">
        <v>227</v>
      </c>
      <c r="C65" s="26" t="s">
        <v>228</v>
      </c>
      <c r="D65" s="28"/>
      <c r="E65" s="28"/>
      <c r="F65" s="62"/>
      <c r="G65" s="62" cm="1">
        <f t="array" aca="1" ref="G65" ca="1">_xll.VoseOutput("Нарушение по нагрузке, год 1","1 = да")+IF(G62&gt;LevMax*G21,1,0)</f>
        <v>0</v>
      </c>
      <c r="H65" s="62" cm="1">
        <f t="array" aca="1" ref="H65" ca="1">_xll.VoseOutput("Нарушение по нагрузке, год 2","1 = да")+IF(H62&gt;LevMax*H21,1,0)</f>
        <v>0</v>
      </c>
      <c r="I65" s="62" cm="1">
        <f t="array" aca="1" ref="I65" ca="1">_xll.VoseOutput("Нарушение по нагрузке, год 3","1 = да")+IF(I62&gt;LevMax*I21,1,0)</f>
        <v>0</v>
      </c>
      <c r="J65" s="62" cm="1">
        <f t="array" aca="1" ref="J65" ca="1">_xll.VoseOutput("Нарушение по нагрузке, год 4","1 = да")+IF(J62&gt;LevMax*J21,1,0)</f>
        <v>0</v>
      </c>
      <c r="K65" s="62" cm="1">
        <f t="array" aca="1" ref="K65" ca="1">_xll.VoseOutput("Нарушение по нагрузке, год 5","1 = да")+IF(K62&gt;LevMax*K21,1,0)</f>
        <v>0</v>
      </c>
    </row>
    <row r="66" spans="2:11" x14ac:dyDescent="0.45">
      <c r="B66" s="25" t="s">
        <v>229</v>
      </c>
      <c r="C66" s="26" t="s">
        <v>228</v>
      </c>
      <c r="D66" s="28"/>
      <c r="E66" s="28"/>
      <c r="F66" s="62"/>
      <c r="G66" s="62" cm="1">
        <f t="array" aca="1" ref="G66" ca="1">_xll.VoseOutput("Нарушение по покрытию процентов, год 1","1 = да")+IF(G21&lt;ICMin*G23,1,0)</f>
        <v>0</v>
      </c>
      <c r="H66" s="62" cm="1">
        <f t="array" aca="1" ref="H66" ca="1">_xll.VoseOutput("Нарушение по покрытию процентов, год 2","1 = да")+IF(H21&lt;ICMin*H23,1,0)</f>
        <v>0</v>
      </c>
      <c r="I66" s="62" cm="1">
        <f t="array" aca="1" ref="I66" ca="1">_xll.VoseOutput("Нарушение по покрытию процентов, год 3","1 = да")+IF(I21&lt;ICMin*I23,1,0)</f>
        <v>0</v>
      </c>
      <c r="J66" s="62" cm="1">
        <f t="array" aca="1" ref="J66" ca="1">_xll.VoseOutput("Нарушение по покрытию процентов, год 4","1 = да")+IF(J21&lt;ICMin*J23,1,0)</f>
        <v>0</v>
      </c>
      <c r="K66" s="62" cm="1">
        <f t="array" aca="1" ref="K66" ca="1">_xll.VoseOutput("Нарушение по покрытию процентов, год 5","1 = да")+IF(K21&lt;ICMin*K23,1,0)</f>
        <v>0</v>
      </c>
    </row>
    <row r="67" spans="2:11" x14ac:dyDescent="0.45">
      <c r="B67" s="25" t="s">
        <v>230</v>
      </c>
      <c r="C67" s="26" t="s">
        <v>228</v>
      </c>
      <c r="D67" s="28"/>
      <c r="E67" s="28"/>
      <c r="F67" s="62"/>
      <c r="G67" s="62" cm="1">
        <f t="array" aca="1" ref="G67" ca="1">_xll.VoseOutput("Нехватка ликвидности, год 1","1 = да")+IF(G48&gt;0.001,1,0)</f>
        <v>0</v>
      </c>
      <c r="H67" s="62" cm="1">
        <f t="array" aca="1" ref="H67" ca="1">_xll.VoseOutput("Нехватка ликвидности, год 2","1 = да")+IF(H48&gt;0.001,1,0)</f>
        <v>0</v>
      </c>
      <c r="I67" s="62" cm="1">
        <f t="array" aca="1" ref="I67" ca="1">_xll.VoseOutput("Нехватка ликвидности, год 3","1 = да")+IF(I48&gt;0.001,1,0)</f>
        <v>0</v>
      </c>
      <c r="J67" s="62" cm="1">
        <f t="array" aca="1" ref="J67" ca="1">_xll.VoseOutput("Нехватка ликвидности, год 4","1 = да")+IF(J48&gt;0.001,1,0)</f>
        <v>0</v>
      </c>
      <c r="K67" s="62" cm="1">
        <f t="array" aca="1" ref="K67" ca="1">_xll.VoseOutput("Нехватка ликвидности, год 5","1 = да")+IF(K48&gt;0.001,1,0)</f>
        <v>0</v>
      </c>
    </row>
    <row r="68" spans="2:11" ht="8" customHeight="1" x14ac:dyDescent="0.45"/>
    <row r="69" spans="2:11" ht="22.05" customHeight="1" x14ac:dyDescent="0.5">
      <c r="B69" s="7" t="s">
        <v>231</v>
      </c>
      <c r="C69" s="8"/>
      <c r="D69" s="8"/>
      <c r="E69" s="8"/>
      <c r="F69" s="8"/>
      <c r="G69" s="8"/>
      <c r="H69" s="8"/>
      <c r="I69" s="8"/>
      <c r="J69" s="8"/>
      <c r="K69" s="8"/>
    </row>
    <row r="70" spans="2:11" ht="18" customHeight="1" x14ac:dyDescent="0.45">
      <c r="B70" s="13" t="s">
        <v>232</v>
      </c>
    </row>
    <row r="71" spans="2:11" ht="18" customHeight="1" x14ac:dyDescent="0.45">
      <c r="B71" s="47" t="s">
        <v>233</v>
      </c>
      <c r="C71" s="47" t="s">
        <v>104</v>
      </c>
      <c r="D71" s="49" t="s">
        <v>182</v>
      </c>
      <c r="E71" s="5"/>
      <c r="F71" s="47" t="s">
        <v>234</v>
      </c>
      <c r="G71" s="5"/>
      <c r="H71" s="5"/>
      <c r="I71" s="5"/>
      <c r="J71" s="5"/>
      <c r="K71" s="5"/>
    </row>
    <row r="72" spans="2:11" x14ac:dyDescent="0.45">
      <c r="B72" s="25" t="s">
        <v>235</v>
      </c>
      <c r="C72" s="26" t="s">
        <v>228</v>
      </c>
      <c r="D72" s="62" cm="1">
        <f t="array" aca="1" ref="D72" ca="1">_xll.VoseOutput("Нарушение ковенанта за 5 лет","1 = да")+IF(SUM(G65:K65)+SUM(G66:K66)&gt;0,1,0)</f>
        <v>0</v>
      </c>
      <c r="E72" s="28"/>
      <c r="F72" s="26"/>
      <c r="G72" s="28"/>
      <c r="H72" s="28"/>
      <c r="I72" s="28"/>
      <c r="J72" s="28"/>
      <c r="K72" s="28"/>
    </row>
    <row r="73" spans="2:11" x14ac:dyDescent="0.45">
      <c r="B73" s="25" t="s">
        <v>236</v>
      </c>
      <c r="C73" s="26" t="s">
        <v>228</v>
      </c>
      <c r="D73" s="62" cm="1">
        <f t="array" aca="1" ref="D73" ca="1">_xll.VoseOutput("Нехватка ликвидности за 5 лет","1 = да")+IF(SUM(G67:K67)&gt;0,1,0)</f>
        <v>0</v>
      </c>
      <c r="E73" s="28"/>
      <c r="F73" s="26"/>
      <c r="G73" s="28"/>
      <c r="H73" s="28"/>
      <c r="I73" s="28"/>
      <c r="J73" s="28"/>
      <c r="K73" s="28"/>
    </row>
    <row r="74" spans="2:11" x14ac:dyDescent="0.45">
      <c r="B74" s="25" t="s">
        <v>237</v>
      </c>
      <c r="C74" s="26" t="s">
        <v>225</v>
      </c>
      <c r="D74" s="60" cm="1">
        <f t="array" aca="1" ref="D74" ca="1">_xll.VoseOutput("Пиковая долговая нагрузка","×")+MAX(G63:K63)</f>
        <v>2.9851663682699696</v>
      </c>
      <c r="E74" s="28"/>
      <c r="F74" s="26" t="s">
        <v>238</v>
      </c>
      <c r="G74" s="28"/>
      <c r="H74" s="28"/>
      <c r="I74" s="28"/>
      <c r="J74" s="28"/>
      <c r="K74" s="28"/>
    </row>
    <row r="75" spans="2:11" x14ac:dyDescent="0.45">
      <c r="B75" s="25" t="s">
        <v>239</v>
      </c>
      <c r="C75" s="26" t="s">
        <v>112</v>
      </c>
      <c r="D75" s="63" cm="1">
        <f t="array" aca="1" ref="D75" ca="1">_xll.VoseOutput("Пиковая выборка по возобновляемой линии","млн долл.")+MAX(G47:K47)</f>
        <v>8.6427867347488263</v>
      </c>
      <c r="E75" s="28"/>
      <c r="F75" s="26"/>
      <c r="G75" s="28"/>
      <c r="H75" s="28"/>
      <c r="I75" s="28"/>
      <c r="J75" s="28"/>
      <c r="K75" s="28"/>
    </row>
    <row r="76" spans="2:11" x14ac:dyDescent="0.45">
      <c r="B76" s="25" t="s">
        <v>240</v>
      </c>
      <c r="C76" s="26" t="s">
        <v>130</v>
      </c>
      <c r="D76" s="34" cm="1">
        <f t="array" aca="1" ref="D76" ca="1">_xll.VoseInput("Рост выручки","в год")+AVERAGE(G19:K19)</f>
        <v>-4.7957607056656484E-2</v>
      </c>
      <c r="E76" s="28"/>
      <c r="F76" s="26" t="s">
        <v>241</v>
      </c>
      <c r="G76" s="28"/>
      <c r="H76" s="28"/>
      <c r="I76" s="28"/>
      <c r="J76" s="28"/>
      <c r="K76" s="28"/>
    </row>
    <row r="77" spans="2:11" ht="8" customHeight="1" x14ac:dyDescent="0.45"/>
    <row r="78" spans="2:11" ht="22.05" customHeight="1" x14ac:dyDescent="0.5">
      <c r="B78" s="7" t="s">
        <v>242</v>
      </c>
      <c r="C78" s="8"/>
      <c r="D78" s="8"/>
      <c r="E78" s="8"/>
      <c r="F78" s="8"/>
      <c r="G78" s="8"/>
      <c r="H78" s="8"/>
      <c r="I78" s="8"/>
      <c r="J78" s="8"/>
      <c r="K78" s="8"/>
    </row>
    <row r="79" spans="2:11" ht="18" customHeight="1" x14ac:dyDescent="0.45">
      <c r="B79" s="13" t="s">
        <v>243</v>
      </c>
    </row>
    <row r="80" spans="2:11" x14ac:dyDescent="0.45">
      <c r="B80" s="25" t="s">
        <v>244</v>
      </c>
      <c r="C80" s="28"/>
      <c r="D80" s="64" t="str">
        <f ca="1">IF(SUMPRODUCT(ABS(F58:K58))&lt;0.001,"ОК","ПРОВЕРИТЬ")</f>
        <v>ОК</v>
      </c>
      <c r="E80" s="28"/>
      <c r="F80" s="28"/>
      <c r="G80" s="28"/>
      <c r="H80" s="28"/>
      <c r="I80" s="28"/>
      <c r="J80" s="28"/>
      <c r="K80" s="28"/>
    </row>
    <row r="81" spans="2:11" x14ac:dyDescent="0.45">
      <c r="B81" s="25" t="s">
        <v>245</v>
      </c>
      <c r="C81" s="28"/>
      <c r="D81" s="64" t="str">
        <f>IF(COUNTIF(InputMeans,"✗*")=0,"ОК","ПРОВЕРИТЬ")</f>
        <v>ОК</v>
      </c>
      <c r="E81" s="28"/>
      <c r="F81" s="28"/>
      <c r="G81" s="28"/>
      <c r="H81" s="28"/>
      <c r="I81" s="28"/>
      <c r="J81" s="28"/>
      <c r="K81" s="28"/>
    </row>
    <row r="82" spans="2:11" x14ac:dyDescent="0.45">
      <c r="B82" s="25" t="s">
        <v>246</v>
      </c>
      <c r="C82" s="28"/>
      <c r="D82" s="64" t="str">
        <f>IF(AND(F21&gt;0,Equity0&gt;0),"ОК","ПРОВЕРИТЬ")</f>
        <v>ОК</v>
      </c>
      <c r="E82" s="28"/>
      <c r="F82" s="28"/>
      <c r="G82" s="28"/>
      <c r="H82" s="28"/>
      <c r="I82" s="28"/>
      <c r="J82" s="28"/>
      <c r="K82" s="28"/>
    </row>
    <row r="83" spans="2:11" ht="14" customHeight="1" x14ac:dyDescent="0.45"/>
    <row r="84" spans="2:11" ht="22.05" customHeight="1" x14ac:dyDescent="0.5">
      <c r="B84" s="7" t="s">
        <v>247</v>
      </c>
      <c r="C84" s="8"/>
      <c r="D84" s="8"/>
      <c r="E84" s="8"/>
      <c r="F84" s="8"/>
      <c r="G84" s="8"/>
      <c r="H84" s="8"/>
      <c r="I84" s="8"/>
      <c r="J84" s="8"/>
      <c r="K84" s="8"/>
    </row>
    <row r="85" spans="2:11" ht="18" customHeight="1" x14ac:dyDescent="0.45">
      <c r="B85" s="13" t="s">
        <v>248</v>
      </c>
    </row>
    <row r="86" spans="2:11" x14ac:dyDescent="0.45">
      <c r="B86" s="65" t="s">
        <v>249</v>
      </c>
    </row>
    <row r="87" spans="2:11" x14ac:dyDescent="0.45">
      <c r="B87" s="25" t="s">
        <v>111</v>
      </c>
      <c r="C87" s="26" t="s">
        <v>112</v>
      </c>
      <c r="D87" s="28"/>
      <c r="E87" s="28"/>
      <c r="F87" s="50">
        <f>Rev0</f>
        <v>400</v>
      </c>
      <c r="G87" s="50">
        <f>F87*(1+ExpGrowth)</f>
        <v>416</v>
      </c>
      <c r="H87" s="50">
        <f>G87*(1+ExpGrowth)</f>
        <v>432.64</v>
      </c>
      <c r="I87" s="50">
        <f>H87*(1+ExpGrowth)</f>
        <v>449.94560000000001</v>
      </c>
      <c r="J87" s="50">
        <f>I87*(1+ExpGrowth)</f>
        <v>467.94342400000005</v>
      </c>
      <c r="K87" s="50">
        <f>J87*(1+ExpGrowth)</f>
        <v>486.66116096000007</v>
      </c>
    </row>
    <row r="88" spans="2:11" x14ac:dyDescent="0.45">
      <c r="B88" s="25" t="s">
        <v>194</v>
      </c>
      <c r="C88" s="26"/>
      <c r="D88" s="28"/>
      <c r="E88" s="28"/>
      <c r="F88" s="34">
        <f>GrowthR0</f>
        <v>4.8790164169432049E-2</v>
      </c>
      <c r="G88" s="34">
        <f>LN(G87/F87)</f>
        <v>3.9220713153281329E-2</v>
      </c>
      <c r="H88" s="34">
        <f>LN(H87/G87)</f>
        <v>3.9220713153281329E-2</v>
      </c>
      <c r="I88" s="34">
        <f>LN(I87/H87)</f>
        <v>3.9220713153281329E-2</v>
      </c>
      <c r="J88" s="34">
        <f>LN(J87/I87)</f>
        <v>3.9220713153281329E-2</v>
      </c>
      <c r="K88" s="34">
        <f>LN(K87/J87)</f>
        <v>3.9220713153281329E-2</v>
      </c>
    </row>
    <row r="89" spans="2:11" x14ac:dyDescent="0.45">
      <c r="B89" s="25" t="s">
        <v>195</v>
      </c>
      <c r="C89" s="26"/>
      <c r="D89" s="28"/>
      <c r="E89" s="28"/>
      <c r="F89" s="34">
        <f>Margin0</f>
        <v>0.15</v>
      </c>
      <c r="G89" s="34">
        <f>MarginBase_ML+OpLev*(G88-GrowthMu)</f>
        <v>0.15</v>
      </c>
      <c r="H89" s="34">
        <f>MarginBase_ML+OpLev*(H88-GrowthMu)</f>
        <v>0.15</v>
      </c>
      <c r="I89" s="34">
        <f>MarginBase_ML+OpLev*(I88-GrowthMu)</f>
        <v>0.15</v>
      </c>
      <c r="J89" s="34">
        <f>MarginBase_ML+OpLev*(J88-GrowthMu)</f>
        <v>0.15</v>
      </c>
      <c r="K89" s="34">
        <f>MarginBase_ML+OpLev*(K88-GrowthMu)</f>
        <v>0.15</v>
      </c>
    </row>
    <row r="90" spans="2:11" x14ac:dyDescent="0.45">
      <c r="B90" s="52" t="s">
        <v>196</v>
      </c>
      <c r="C90" s="26" t="s">
        <v>112</v>
      </c>
      <c r="D90" s="28"/>
      <c r="E90" s="28"/>
      <c r="F90" s="53">
        <f t="shared" ref="F90:K90" si="7">F87*F89</f>
        <v>60</v>
      </c>
      <c r="G90" s="53">
        <f t="shared" si="7"/>
        <v>62.4</v>
      </c>
      <c r="H90" s="53">
        <f t="shared" si="7"/>
        <v>64.896000000000001</v>
      </c>
      <c r="I90" s="53">
        <f t="shared" si="7"/>
        <v>67.491839999999996</v>
      </c>
      <c r="J90" s="53">
        <f t="shared" si="7"/>
        <v>70.191513600000008</v>
      </c>
      <c r="K90" s="53">
        <f t="shared" si="7"/>
        <v>72.999174144000008</v>
      </c>
    </row>
    <row r="91" spans="2:11" x14ac:dyDescent="0.45">
      <c r="B91" s="25" t="s">
        <v>151</v>
      </c>
      <c r="C91" s="26" t="s">
        <v>112</v>
      </c>
      <c r="D91" s="28"/>
      <c r="E91" s="28"/>
      <c r="F91" s="50"/>
      <c r="G91" s="50">
        <f>DepRate*F115</f>
        <v>18</v>
      </c>
      <c r="H91" s="50">
        <f>DepRate*G115</f>
        <v>18.28</v>
      </c>
      <c r="I91" s="50">
        <f>DepRate*H115</f>
        <v>18.615200000000002</v>
      </c>
      <c r="J91" s="50">
        <f>DepRate*I115</f>
        <v>19.003408000000004</v>
      </c>
      <c r="K91" s="50">
        <f>DepRate*J115</f>
        <v>19.442784320000001</v>
      </c>
    </row>
    <row r="92" spans="2:11" x14ac:dyDescent="0.45">
      <c r="B92" s="25" t="s">
        <v>68</v>
      </c>
      <c r="C92" s="26" t="s">
        <v>112</v>
      </c>
      <c r="D92" s="28"/>
      <c r="E92" s="28"/>
      <c r="F92" s="50"/>
      <c r="G92" s="50">
        <f>F113*(BaseRate_ML+TLMargin)+F110*(BaseRate_ML+RCFMargin)</f>
        <v>9.6000000000000014</v>
      </c>
      <c r="H92" s="50">
        <f>G113*(BaseRate_ML+TLMargin)+G110*(BaseRate_ML+RCFMargin)</f>
        <v>8.8992453767123312</v>
      </c>
      <c r="I92" s="50">
        <f>H113*(BaseRate_ML+TLMargin)+H110*(BaseRate_ML+RCFMargin)</f>
        <v>8.1545197904591191</v>
      </c>
      <c r="J92" s="50">
        <f>I113*(BaseRate_ML+TLMargin)+I110*(BaseRate_ML+RCFMargin)</f>
        <v>7.362320937787481</v>
      </c>
      <c r="K92" s="50">
        <f>J113*(BaseRate_ML+TLMargin)+J110*(BaseRate_ML+RCFMargin)</f>
        <v>6.5190872141049745</v>
      </c>
    </row>
    <row r="93" spans="2:11" x14ac:dyDescent="0.45">
      <c r="B93" s="25" t="s">
        <v>72</v>
      </c>
      <c r="C93" s="26" t="s">
        <v>112</v>
      </c>
      <c r="D93" s="28"/>
      <c r="E93" s="28"/>
      <c r="F93" s="50"/>
      <c r="G93" s="50">
        <f>TaxRate*MAX(0,G90-G91-G92)</f>
        <v>8.6999999999999993</v>
      </c>
      <c r="H93" s="50">
        <f>TaxRate*MAX(0,H90-H91-H92)</f>
        <v>9.4291886558219176</v>
      </c>
      <c r="I93" s="50">
        <f>TaxRate*MAX(0,I90-I91-I92)</f>
        <v>10.180530052385219</v>
      </c>
      <c r="J93" s="50">
        <f>TaxRate*MAX(0,J90-J91-J92)</f>
        <v>10.95644616555313</v>
      </c>
      <c r="K93" s="50">
        <f>TaxRate*MAX(0,K90-K91-K92)</f>
        <v>11.759325652473759</v>
      </c>
    </row>
    <row r="94" spans="2:11" x14ac:dyDescent="0.45">
      <c r="B94" s="54" t="s">
        <v>197</v>
      </c>
      <c r="C94" s="55" t="s">
        <v>112</v>
      </c>
      <c r="D94" s="56"/>
      <c r="E94" s="56"/>
      <c r="F94" s="57"/>
      <c r="G94" s="57">
        <f>G90-G91-G92-G93</f>
        <v>26.099999999999998</v>
      </c>
      <c r="H94" s="57">
        <f>H90-H91-H92-H93</f>
        <v>28.287565967465753</v>
      </c>
      <c r="I94" s="57">
        <f>I90-I91-I92-I93</f>
        <v>30.541590157155657</v>
      </c>
      <c r="J94" s="57">
        <f>J90-J91-J92-J93</f>
        <v>32.869338496659388</v>
      </c>
      <c r="K94" s="57">
        <f>K90-K91-K92-K93</f>
        <v>35.277976957421274</v>
      </c>
    </row>
    <row r="95" spans="2:11" x14ac:dyDescent="0.45">
      <c r="B95" s="65" t="s">
        <v>250</v>
      </c>
    </row>
    <row r="96" spans="2:11" x14ac:dyDescent="0.45">
      <c r="B96" s="25" t="s">
        <v>200</v>
      </c>
      <c r="C96" s="26" t="s">
        <v>112</v>
      </c>
      <c r="D96" s="28"/>
      <c r="E96" s="28"/>
      <c r="F96" s="50">
        <f>Rev0*DSO0/365</f>
        <v>60.273972602739725</v>
      </c>
      <c r="G96" s="50">
        <f>G87*DSO_ML/365</f>
        <v>62.684931506849317</v>
      </c>
      <c r="H96" s="50">
        <f>H87*DSO_ML/365</f>
        <v>65.192328767123286</v>
      </c>
      <c r="I96" s="50">
        <f>I87*DSO_ML/365</f>
        <v>67.800021917808223</v>
      </c>
      <c r="J96" s="50">
        <f>J87*DSO_ML/365</f>
        <v>70.512022794520547</v>
      </c>
      <c r="K96" s="50">
        <f>K87*DSO_ML/365</f>
        <v>73.332503706301381</v>
      </c>
    </row>
    <row r="97" spans="2:11" x14ac:dyDescent="0.45">
      <c r="B97" s="25" t="s">
        <v>201</v>
      </c>
      <c r="C97" s="26" t="s">
        <v>112</v>
      </c>
      <c r="D97" s="28"/>
      <c r="E97" s="28"/>
      <c r="F97" s="50">
        <f>Rev0*DIO0/365</f>
        <v>54.794520547945204</v>
      </c>
      <c r="G97" s="50">
        <f>G87*DIO_ML/365</f>
        <v>56.986301369863014</v>
      </c>
      <c r="H97" s="50">
        <f>H87*DIO_ML/365</f>
        <v>59.265753424657532</v>
      </c>
      <c r="I97" s="50">
        <f>I87*DIO_ML/365</f>
        <v>61.636383561643832</v>
      </c>
      <c r="J97" s="50">
        <f>J87*DIO_ML/365</f>
        <v>64.101838904109599</v>
      </c>
      <c r="K97" s="50">
        <f>K87*DIO_ML/365</f>
        <v>66.665912460273987</v>
      </c>
    </row>
    <row r="98" spans="2:11" x14ac:dyDescent="0.45">
      <c r="B98" s="25" t="s">
        <v>202</v>
      </c>
      <c r="C98" s="26" t="s">
        <v>112</v>
      </c>
      <c r="D98" s="28"/>
      <c r="E98" s="28"/>
      <c r="F98" s="50">
        <f>Rev0*DPO0/365</f>
        <v>49.315068493150683</v>
      </c>
      <c r="G98" s="50">
        <f>G87*DPO_ML/365</f>
        <v>51.287671232876711</v>
      </c>
      <c r="H98" s="50">
        <f>H87*DPO_ML/365</f>
        <v>53.339178082191779</v>
      </c>
      <c r="I98" s="50">
        <f>I87*DPO_ML/365</f>
        <v>55.472745205479448</v>
      </c>
      <c r="J98" s="50">
        <f>J87*DPO_ML/365</f>
        <v>57.691655013698636</v>
      </c>
      <c r="K98" s="50">
        <f>K87*DPO_ML/365</f>
        <v>59.999321214246585</v>
      </c>
    </row>
    <row r="99" spans="2:11" x14ac:dyDescent="0.45">
      <c r="B99" s="52" t="s">
        <v>203</v>
      </c>
      <c r="C99" s="26" t="s">
        <v>112</v>
      </c>
      <c r="D99" s="28"/>
      <c r="E99" s="28"/>
      <c r="F99" s="53">
        <f t="shared" ref="F99:K99" si="8">F96+F97-F98</f>
        <v>65.753424657534254</v>
      </c>
      <c r="G99" s="53">
        <f t="shared" si="8"/>
        <v>68.383561643835634</v>
      </c>
      <c r="H99" s="53">
        <f t="shared" si="8"/>
        <v>71.118904109589039</v>
      </c>
      <c r="I99" s="53">
        <f t="shared" si="8"/>
        <v>73.963660273972607</v>
      </c>
      <c r="J99" s="53">
        <f t="shared" si="8"/>
        <v>76.922206684931524</v>
      </c>
      <c r="K99" s="53">
        <f t="shared" si="8"/>
        <v>79.99909495232879</v>
      </c>
    </row>
    <row r="100" spans="2:11" x14ac:dyDescent="0.45">
      <c r="B100" s="25" t="s">
        <v>148</v>
      </c>
      <c r="C100" s="26" t="s">
        <v>112</v>
      </c>
      <c r="D100" s="28"/>
      <c r="E100" s="28"/>
      <c r="F100" s="50"/>
      <c r="G100" s="50">
        <f>G87*CapexPct_ML</f>
        <v>20.8</v>
      </c>
      <c r="H100" s="50">
        <f>H87*CapexPct_ML</f>
        <v>21.632000000000001</v>
      </c>
      <c r="I100" s="50">
        <f>I87*CapexPct_ML</f>
        <v>22.497280000000003</v>
      </c>
      <c r="J100" s="50">
        <f>J87*CapexPct_ML</f>
        <v>23.397171200000003</v>
      </c>
      <c r="K100" s="50">
        <f>K87*CapexPct_ML</f>
        <v>24.333058048000005</v>
      </c>
    </row>
    <row r="101" spans="2:11" x14ac:dyDescent="0.45">
      <c r="B101" s="65" t="s">
        <v>251</v>
      </c>
    </row>
    <row r="102" spans="2:11" x14ac:dyDescent="0.45">
      <c r="B102" s="25" t="s">
        <v>206</v>
      </c>
      <c r="C102" s="26" t="s">
        <v>112</v>
      </c>
      <c r="D102" s="28"/>
      <c r="E102" s="28"/>
      <c r="F102" s="50"/>
      <c r="G102" s="50">
        <f>G94+G91-(G99-F99)</f>
        <v>41.469863013698614</v>
      </c>
      <c r="H102" s="50">
        <f>H94+H91-(H99-G99)</f>
        <v>43.832223501712349</v>
      </c>
      <c r="I102" s="50">
        <f>I94+I91-(I99-H99)</f>
        <v>46.312033992772086</v>
      </c>
      <c r="J102" s="50">
        <f>J94+J91-(J99-I99)</f>
        <v>48.914200085700472</v>
      </c>
      <c r="K102" s="50">
        <f>K94+K91-(K99-J99)</f>
        <v>51.643873010024009</v>
      </c>
    </row>
    <row r="103" spans="2:11" x14ac:dyDescent="0.45">
      <c r="B103" s="25" t="s">
        <v>148</v>
      </c>
      <c r="C103" s="26" t="s">
        <v>112</v>
      </c>
      <c r="D103" s="28"/>
      <c r="E103" s="28"/>
      <c r="F103" s="50"/>
      <c r="G103" s="50">
        <f>-G100</f>
        <v>-20.8</v>
      </c>
      <c r="H103" s="50">
        <f>-H100</f>
        <v>-21.632000000000001</v>
      </c>
      <c r="I103" s="50">
        <f>-I100</f>
        <v>-22.497280000000003</v>
      </c>
      <c r="J103" s="50">
        <f>-J100</f>
        <v>-23.397171200000003</v>
      </c>
      <c r="K103" s="50">
        <f>-K100</f>
        <v>-24.333058048000005</v>
      </c>
    </row>
    <row r="104" spans="2:11" x14ac:dyDescent="0.45">
      <c r="B104" s="25" t="s">
        <v>160</v>
      </c>
      <c r="C104" s="26" t="s">
        <v>112</v>
      </c>
      <c r="D104" s="28"/>
      <c r="E104" s="28"/>
      <c r="F104" s="50"/>
      <c r="G104" s="50">
        <f>-MIN(Amort,F113)</f>
        <v>-15</v>
      </c>
      <c r="H104" s="50">
        <f>-MIN(Amort,G113)</f>
        <v>-15</v>
      </c>
      <c r="I104" s="50">
        <f>-MIN(Amort,H113)</f>
        <v>-15</v>
      </c>
      <c r="J104" s="50">
        <f>-MIN(Amort,I113)</f>
        <v>-15</v>
      </c>
      <c r="K104" s="50">
        <f>-MIN(Amort,J113)</f>
        <v>-15</v>
      </c>
    </row>
    <row r="105" spans="2:11" x14ac:dyDescent="0.45">
      <c r="B105" s="25" t="s">
        <v>207</v>
      </c>
      <c r="C105" s="26" t="s">
        <v>112</v>
      </c>
      <c r="D105" s="28"/>
      <c r="E105" s="28"/>
      <c r="F105" s="50"/>
      <c r="G105" s="50">
        <f>-IF(F121&lt;DivLev*F90,Payout*MAX(0,G94),0)</f>
        <v>-9.134999999999998</v>
      </c>
      <c r="H105" s="50">
        <f>-IF(G121&lt;DivLev*G90,Payout*MAX(0,H94),0)</f>
        <v>-9.9006480886130124</v>
      </c>
      <c r="I105" s="50">
        <f>-IF(H121&lt;DivLev*H90,Payout*MAX(0,I94),0)</f>
        <v>-10.689556555004479</v>
      </c>
      <c r="J105" s="50">
        <f>-IF(I121&lt;DivLev*I90,Payout*MAX(0,J94),0)</f>
        <v>-11.504268473830786</v>
      </c>
      <c r="K105" s="50">
        <f>-IF(J121&lt;DivLev*J90,Payout*MAX(0,K94),0)</f>
        <v>-12.347291935097445</v>
      </c>
    </row>
    <row r="106" spans="2:11" x14ac:dyDescent="0.45">
      <c r="B106" s="54" t="s">
        <v>208</v>
      </c>
      <c r="C106" s="55" t="s">
        <v>112</v>
      </c>
      <c r="D106" s="56"/>
      <c r="E106" s="56"/>
      <c r="F106" s="57"/>
      <c r="G106" s="57">
        <f>G102+G103+G104+G105</f>
        <v>-3.4651369863013848</v>
      </c>
      <c r="H106" s="57">
        <f>H102+H103+H104+H105</f>
        <v>-2.7004245869006649</v>
      </c>
      <c r="I106" s="57">
        <f>I102+I103+I104+I105</f>
        <v>-1.8748025622323965</v>
      </c>
      <c r="J106" s="57">
        <f>J102+J103+J104+J105</f>
        <v>-0.98723958813031665</v>
      </c>
      <c r="K106" s="57">
        <f>K102+K103+K104+K105</f>
        <v>-3.6476973073440888E-2</v>
      </c>
    </row>
    <row r="107" spans="2:11" x14ac:dyDescent="0.45">
      <c r="B107" s="65" t="s">
        <v>252</v>
      </c>
    </row>
    <row r="108" spans="2:11" x14ac:dyDescent="0.45">
      <c r="B108" s="25" t="s">
        <v>211</v>
      </c>
      <c r="C108" s="26" t="s">
        <v>112</v>
      </c>
      <c r="D108" s="28"/>
      <c r="E108" s="28"/>
      <c r="F108" s="50"/>
      <c r="G108" s="50">
        <f>F112+G106-MinCash</f>
        <v>-3.4651369863013848</v>
      </c>
      <c r="H108" s="50">
        <f>G112+H106-MinCash</f>
        <v>-2.7004245869006649</v>
      </c>
      <c r="I108" s="50">
        <f>H112+I106-MinCash</f>
        <v>-1.8748025622323965</v>
      </c>
      <c r="J108" s="50">
        <f>I112+J106-MinCash</f>
        <v>-0.98723958813031842</v>
      </c>
      <c r="K108" s="50">
        <f>J112+K106-MinCash</f>
        <v>-3.6476973073442664E-2</v>
      </c>
    </row>
    <row r="109" spans="2:11" x14ac:dyDescent="0.45">
      <c r="B109" s="25" t="s">
        <v>212</v>
      </c>
      <c r="C109" s="26" t="s">
        <v>112</v>
      </c>
      <c r="D109" s="28"/>
      <c r="E109" s="28"/>
      <c r="F109" s="50"/>
      <c r="G109" s="50">
        <f>MAX(0,F110-G108)</f>
        <v>3.4651369863013848</v>
      </c>
      <c r="H109" s="50">
        <f>MAX(0,G110-H108)</f>
        <v>6.1655615732020497</v>
      </c>
      <c r="I109" s="50">
        <f>MAX(0,H110-I108)</f>
        <v>8.0403641354344462</v>
      </c>
      <c r="J109" s="50">
        <f>MAX(0,I110-J108)</f>
        <v>9.0276037235647646</v>
      </c>
      <c r="K109" s="50">
        <f>MAX(0,J110-K108)</f>
        <v>9.0640806966382073</v>
      </c>
    </row>
    <row r="110" spans="2:11" x14ac:dyDescent="0.45">
      <c r="B110" s="52" t="s">
        <v>118</v>
      </c>
      <c r="C110" s="26" t="s">
        <v>112</v>
      </c>
      <c r="D110" s="28"/>
      <c r="E110" s="28"/>
      <c r="F110" s="53">
        <f>RCF0</f>
        <v>0</v>
      </c>
      <c r="G110" s="53">
        <f>MIN(RCFLimit,G109)</f>
        <v>3.4651369863013848</v>
      </c>
      <c r="H110" s="53">
        <f>MIN(RCFLimit,H109)</f>
        <v>6.1655615732020497</v>
      </c>
      <c r="I110" s="53">
        <f>MIN(RCFLimit,I109)</f>
        <v>8.0403641354344462</v>
      </c>
      <c r="J110" s="53">
        <f>MIN(RCFLimit,J109)</f>
        <v>9.0276037235647646</v>
      </c>
      <c r="K110" s="53">
        <f>MIN(RCFLimit,K109)</f>
        <v>9.0640806966382073</v>
      </c>
    </row>
    <row r="111" spans="2:11" x14ac:dyDescent="0.45">
      <c r="B111" s="25" t="s">
        <v>213</v>
      </c>
      <c r="C111" s="26" t="s">
        <v>112</v>
      </c>
      <c r="D111" s="28"/>
      <c r="E111" s="28"/>
      <c r="F111" s="50"/>
      <c r="G111" s="50">
        <f>G109-G110</f>
        <v>0</v>
      </c>
      <c r="H111" s="50">
        <f>H109-H110</f>
        <v>0</v>
      </c>
      <c r="I111" s="50">
        <f>I109-I110</f>
        <v>0</v>
      </c>
      <c r="J111" s="50">
        <f>J109-J110</f>
        <v>0</v>
      </c>
      <c r="K111" s="50">
        <f>K109-K110</f>
        <v>0</v>
      </c>
    </row>
    <row r="112" spans="2:11" x14ac:dyDescent="0.45">
      <c r="B112" s="52" t="s">
        <v>115</v>
      </c>
      <c r="C112" s="26" t="s">
        <v>112</v>
      </c>
      <c r="D112" s="28"/>
      <c r="E112" s="28"/>
      <c r="F112" s="53">
        <f>Cash0</f>
        <v>15</v>
      </c>
      <c r="G112" s="53">
        <f>F112+G106+G110-F110</f>
        <v>15</v>
      </c>
      <c r="H112" s="53">
        <f>G112+H106+H110-G110</f>
        <v>15</v>
      </c>
      <c r="I112" s="53">
        <f>H112+I106+I110-H110</f>
        <v>14.999999999999998</v>
      </c>
      <c r="J112" s="53">
        <f>I112+J106+J110-I110</f>
        <v>14.999999999999998</v>
      </c>
      <c r="K112" s="53">
        <f>J112+K106+K110-J110</f>
        <v>15.000000000000002</v>
      </c>
    </row>
    <row r="113" spans="2:11" x14ac:dyDescent="0.45">
      <c r="B113" s="52" t="s">
        <v>117</v>
      </c>
      <c r="C113" s="26" t="s">
        <v>112</v>
      </c>
      <c r="D113" s="28"/>
      <c r="E113" s="28"/>
      <c r="F113" s="53">
        <f>TL0</f>
        <v>160</v>
      </c>
      <c r="G113" s="53">
        <f>F113+G104</f>
        <v>145</v>
      </c>
      <c r="H113" s="53">
        <f>G113+H104</f>
        <v>130</v>
      </c>
      <c r="I113" s="53">
        <f>H113+I104</f>
        <v>115</v>
      </c>
      <c r="J113" s="53">
        <f>I113+J104</f>
        <v>100</v>
      </c>
      <c r="K113" s="53">
        <f>J113+K104</f>
        <v>85</v>
      </c>
    </row>
    <row r="114" spans="2:11" x14ac:dyDescent="0.45">
      <c r="B114" s="65" t="s">
        <v>253</v>
      </c>
    </row>
    <row r="115" spans="2:11" x14ac:dyDescent="0.45">
      <c r="B115" s="25" t="s">
        <v>216</v>
      </c>
      <c r="C115" s="26" t="s">
        <v>112</v>
      </c>
      <c r="D115" s="28"/>
      <c r="E115" s="28"/>
      <c r="F115" s="50">
        <f>PPE0</f>
        <v>180</v>
      </c>
      <c r="G115" s="50">
        <f>F115+G100-G91</f>
        <v>182.8</v>
      </c>
      <c r="H115" s="50">
        <f>G115+H100-H91</f>
        <v>186.15200000000002</v>
      </c>
      <c r="I115" s="50">
        <f>H115+I100-I91</f>
        <v>190.03408000000002</v>
      </c>
      <c r="J115" s="50">
        <f>I115+J100-J91</f>
        <v>194.42784320000001</v>
      </c>
      <c r="K115" s="50">
        <f>J115+K100-K91</f>
        <v>199.31811692799999</v>
      </c>
    </row>
    <row r="116" spans="2:11" x14ac:dyDescent="0.45">
      <c r="B116" s="52" t="s">
        <v>217</v>
      </c>
      <c r="C116" s="26" t="s">
        <v>112</v>
      </c>
      <c r="D116" s="28"/>
      <c r="E116" s="28"/>
      <c r="F116" s="53">
        <f t="shared" ref="F116:K116" si="9">F112+F96+F97+F115</f>
        <v>310.06849315068496</v>
      </c>
      <c r="G116" s="53">
        <f t="shared" si="9"/>
        <v>317.47123287671235</v>
      </c>
      <c r="H116" s="53">
        <f t="shared" si="9"/>
        <v>325.61008219178086</v>
      </c>
      <c r="I116" s="53">
        <f t="shared" si="9"/>
        <v>334.47048547945207</v>
      </c>
      <c r="J116" s="53">
        <f t="shared" si="9"/>
        <v>344.0417048986302</v>
      </c>
      <c r="K116" s="53">
        <f t="shared" si="9"/>
        <v>354.31653309457533</v>
      </c>
    </row>
    <row r="117" spans="2:11" x14ac:dyDescent="0.45">
      <c r="B117" s="25" t="s">
        <v>218</v>
      </c>
      <c r="C117" s="26" t="s">
        <v>112</v>
      </c>
      <c r="D117" s="28"/>
      <c r="E117" s="28"/>
      <c r="F117" s="50">
        <f>Equity0</f>
        <v>100.75342465753425</v>
      </c>
      <c r="G117" s="50">
        <f>F117+G94+G105</f>
        <v>117.71842465753426</v>
      </c>
      <c r="H117" s="50">
        <f>G117+H94+H105</f>
        <v>136.10534253638698</v>
      </c>
      <c r="I117" s="50">
        <f>H117+I94+I105</f>
        <v>155.95737613853817</v>
      </c>
      <c r="J117" s="50">
        <f>I117+J94+J105</f>
        <v>177.32244616136677</v>
      </c>
      <c r="K117" s="50">
        <f>J117+K94+K105</f>
        <v>200.25313118369061</v>
      </c>
    </row>
    <row r="118" spans="2:11" x14ac:dyDescent="0.45">
      <c r="B118" s="52" t="s">
        <v>219</v>
      </c>
      <c r="C118" s="26" t="s">
        <v>112</v>
      </c>
      <c r="D118" s="28"/>
      <c r="E118" s="28"/>
      <c r="F118" s="53">
        <f t="shared" ref="F118:K118" si="10">F98+F113+F110+F117</f>
        <v>310.06849315068496</v>
      </c>
      <c r="G118" s="53">
        <f t="shared" si="10"/>
        <v>317.47123287671235</v>
      </c>
      <c r="H118" s="53">
        <f t="shared" si="10"/>
        <v>325.6100821917808</v>
      </c>
      <c r="I118" s="53">
        <f t="shared" si="10"/>
        <v>334.47048547945207</v>
      </c>
      <c r="J118" s="53">
        <f t="shared" si="10"/>
        <v>344.0417048986302</v>
      </c>
      <c r="K118" s="53">
        <f t="shared" si="10"/>
        <v>354.31653309457539</v>
      </c>
    </row>
    <row r="119" spans="2:11" x14ac:dyDescent="0.45">
      <c r="B119" s="25" t="s">
        <v>220</v>
      </c>
      <c r="C119" s="26" t="s">
        <v>112</v>
      </c>
      <c r="D119" s="28"/>
      <c r="E119" s="28"/>
      <c r="F119" s="58">
        <f t="shared" ref="F119:K119" si="11">F116-F118</f>
        <v>0</v>
      </c>
      <c r="G119" s="58">
        <f t="shared" si="11"/>
        <v>0</v>
      </c>
      <c r="H119" s="58">
        <f t="shared" si="11"/>
        <v>0</v>
      </c>
      <c r="I119" s="58">
        <f t="shared" si="11"/>
        <v>0</v>
      </c>
      <c r="J119" s="58">
        <f t="shared" si="11"/>
        <v>0</v>
      </c>
      <c r="K119" s="58">
        <f t="shared" si="11"/>
        <v>0</v>
      </c>
    </row>
    <row r="120" spans="2:11" x14ac:dyDescent="0.45">
      <c r="B120" s="65" t="s">
        <v>254</v>
      </c>
    </row>
    <row r="121" spans="2:11" x14ac:dyDescent="0.45">
      <c r="B121" s="25" t="s">
        <v>223</v>
      </c>
      <c r="C121" s="26" t="s">
        <v>112</v>
      </c>
      <c r="D121" s="28"/>
      <c r="E121" s="28"/>
      <c r="F121" s="50">
        <f t="shared" ref="F121:K121" si="12">F113+F110-F112</f>
        <v>145</v>
      </c>
      <c r="G121" s="50">
        <f t="shared" si="12"/>
        <v>133.46513698630139</v>
      </c>
      <c r="H121" s="50">
        <f t="shared" si="12"/>
        <v>121.16556157320204</v>
      </c>
      <c r="I121" s="50">
        <f t="shared" si="12"/>
        <v>108.04036413543444</v>
      </c>
      <c r="J121" s="50">
        <f t="shared" si="12"/>
        <v>94.027603723564766</v>
      </c>
      <c r="K121" s="50">
        <f t="shared" si="12"/>
        <v>79.0640806966382</v>
      </c>
    </row>
    <row r="122" spans="2:11" x14ac:dyDescent="0.45">
      <c r="B122" s="25" t="s">
        <v>224</v>
      </c>
      <c r="C122" s="26" t="s">
        <v>225</v>
      </c>
      <c r="D122" s="28"/>
      <c r="E122" s="28"/>
      <c r="F122" s="61">
        <f t="shared" ref="F122:K122" si="13">F121/F90</f>
        <v>2.4166666666666665</v>
      </c>
      <c r="G122" s="61">
        <f t="shared" si="13"/>
        <v>2.138864374780471</v>
      </c>
      <c r="H122" s="61">
        <f t="shared" si="13"/>
        <v>1.867072879271481</v>
      </c>
      <c r="I122" s="61">
        <f t="shared" si="13"/>
        <v>1.6007915050980155</v>
      </c>
      <c r="J122" s="61">
        <f t="shared" si="13"/>
        <v>1.3395864955897567</v>
      </c>
      <c r="K122" s="61">
        <f t="shared" si="13"/>
        <v>1.083081851592929</v>
      </c>
    </row>
    <row r="123" spans="2:11" x14ac:dyDescent="0.45">
      <c r="B123" s="25" t="s">
        <v>226</v>
      </c>
      <c r="C123" s="26" t="s">
        <v>225</v>
      </c>
      <c r="D123" s="28"/>
      <c r="E123" s="28"/>
      <c r="F123" s="61"/>
      <c r="G123" s="61">
        <f>IF(G92&gt;0,G90/G92,"–")</f>
        <v>6.4999999999999991</v>
      </c>
      <c r="H123" s="61">
        <f>IF(H92&gt;0,H90/H92,"–")</f>
        <v>7.2923037013700904</v>
      </c>
      <c r="I123" s="61">
        <f>IF(I92&gt;0,I90/I92,"–")</f>
        <v>8.2766173526203488</v>
      </c>
      <c r="J123" s="61">
        <f>IF(J92&gt;0,J90/J92,"–")</f>
        <v>9.5338839739705659</v>
      </c>
      <c r="K123" s="61">
        <f>IF(K92&gt;0,K90/K92,"–")</f>
        <v>11.197760015551854</v>
      </c>
    </row>
    <row r="124" spans="2:11" x14ac:dyDescent="0.45">
      <c r="B124" s="25" t="s">
        <v>227</v>
      </c>
      <c r="C124" s="26" t="s">
        <v>228</v>
      </c>
      <c r="D124" s="28"/>
      <c r="E124" s="28"/>
      <c r="F124" s="66"/>
      <c r="G124" s="66">
        <f>IF(G121&gt;LevMax*G90,1,0)</f>
        <v>0</v>
      </c>
      <c r="H124" s="66">
        <f>IF(H121&gt;LevMax*H90,1,0)</f>
        <v>0</v>
      </c>
      <c r="I124" s="66">
        <f>IF(I121&gt;LevMax*I90,1,0)</f>
        <v>0</v>
      </c>
      <c r="J124" s="66">
        <f>IF(J121&gt;LevMax*J90,1,0)</f>
        <v>0</v>
      </c>
      <c r="K124" s="66">
        <f>IF(K121&gt;LevMax*K90,1,0)</f>
        <v>0</v>
      </c>
    </row>
    <row r="125" spans="2:11" x14ac:dyDescent="0.45">
      <c r="B125" s="25" t="s">
        <v>229</v>
      </c>
      <c r="C125" s="26" t="s">
        <v>228</v>
      </c>
      <c r="D125" s="28"/>
      <c r="E125" s="28"/>
      <c r="F125" s="66"/>
      <c r="G125" s="66">
        <f>IF(G90&lt;ICMin*G92,1,0)</f>
        <v>0</v>
      </c>
      <c r="H125" s="66">
        <f>IF(H90&lt;ICMin*H92,1,0)</f>
        <v>0</v>
      </c>
      <c r="I125" s="66">
        <f>IF(I90&lt;ICMin*I92,1,0)</f>
        <v>0</v>
      </c>
      <c r="J125" s="66">
        <f>IF(J90&lt;ICMin*J92,1,0)</f>
        <v>0</v>
      </c>
      <c r="K125" s="66">
        <f>IF(K90&lt;ICMin*K92,1,0)</f>
        <v>0</v>
      </c>
    </row>
    <row r="126" spans="2:11" x14ac:dyDescent="0.45">
      <c r="B126" s="25" t="s">
        <v>230</v>
      </c>
      <c r="C126" s="26" t="s">
        <v>228</v>
      </c>
      <c r="D126" s="28"/>
      <c r="E126" s="28"/>
      <c r="F126" s="66"/>
      <c r="G126" s="66">
        <f>IF(G111&gt;0.001,1,0)</f>
        <v>0</v>
      </c>
      <c r="H126" s="66">
        <f>IF(H111&gt;0.001,1,0)</f>
        <v>0</v>
      </c>
      <c r="I126" s="66">
        <f>IF(I111&gt;0.001,1,0)</f>
        <v>0</v>
      </c>
      <c r="J126" s="66">
        <f>IF(J111&gt;0.001,1,0)</f>
        <v>0</v>
      </c>
      <c r="K126" s="66">
        <f>IF(K111&gt;0.001,1,0)</f>
        <v>0</v>
      </c>
    </row>
    <row r="127" spans="2:11" ht="14" customHeight="1" x14ac:dyDescent="0.45"/>
  </sheetData>
  <conditionalFormatting sqref="D80:D82">
    <cfRule type="expression" dxfId="5" priority="1">
      <formula>D80="CHECK"</formula>
    </cfRule>
  </conditionalFormatting>
  <hyperlinks>
    <hyperlink ref="B4" location="'Исходные данные'!A1" display="◂  Исходные данные" xr:uid="{00000000-0004-0000-0200-000000000000}"/>
    <hyperlink ref="K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68" fitToHeight="0" orientation="landscape" r:id="rId1"/>
  <headerFooter>
    <oddFooter>&amp;L&amp;K3F5876&amp;8&amp;F · &amp;A&amp;R&amp;K3F5876&amp;8Page &amp;P of &amp;N</oddFooter>
  </headerFooter>
  <rowBreaks count="2" manualBreakCount="2">
    <brk id="51" max="16383" man="1"/>
    <brk id="8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36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255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256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67" t="str" cm="1">
        <f t="array" aca="1" ref="B6" ca="1">IF(ISNUMBER(_xll.VoseSimMean(PeakLev)),"✔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68"/>
      <c r="D6" s="68"/>
      <c r="E6" s="68"/>
      <c r="F6" s="68"/>
      <c r="G6" s="68"/>
    </row>
    <row r="7" spans="1:18" x14ac:dyDescent="0.45">
      <c r="B7" s="69" t="str">
        <f ca="1"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257</v>
      </c>
      <c r="C9" s="8"/>
      <c r="D9" s="8"/>
      <c r="E9" s="8"/>
      <c r="F9" s="8"/>
      <c r="G9" s="8"/>
      <c r="I9" s="70" t="s">
        <v>258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259</v>
      </c>
    </row>
    <row r="11" spans="1:18" ht="18" customHeight="1" x14ac:dyDescent="0.45">
      <c r="B11" s="23" t="s">
        <v>260</v>
      </c>
      <c r="C11" s="23" t="s">
        <v>104</v>
      </c>
      <c r="D11" s="24" t="s">
        <v>182</v>
      </c>
      <c r="E11" s="5"/>
      <c r="F11" s="5"/>
      <c r="G11" s="5"/>
    </row>
    <row r="12" spans="1:18" ht="22.05" customHeight="1" x14ac:dyDescent="0.45">
      <c r="B12" s="52" t="s">
        <v>261</v>
      </c>
      <c r="C12" s="26" t="s">
        <v>262</v>
      </c>
      <c r="D12" s="71" cm="1">
        <f t="array" aca="1" ref="D12" ca="1">_xll.VoseSimMean(AnyBreach)</f>
        <v>0.1603</v>
      </c>
      <c r="E12" s="28"/>
      <c r="F12" s="28"/>
      <c r="G12" s="28"/>
    </row>
    <row r="13" spans="1:18" x14ac:dyDescent="0.45">
      <c r="B13" s="52" t="s">
        <v>263</v>
      </c>
      <c r="C13" s="26" t="s">
        <v>262</v>
      </c>
      <c r="D13" s="72" cm="1">
        <f t="array" aca="1" ref="D13" ca="1">_xll.VoseSimMean(AnyShort)</f>
        <v>8.9999999999999998E-4</v>
      </c>
      <c r="E13" s="28"/>
      <c r="F13" s="28"/>
      <c r="G13" s="28"/>
    </row>
    <row r="14" spans="1:18" x14ac:dyDescent="0.45">
      <c r="B14" s="73" t="s">
        <v>264</v>
      </c>
      <c r="C14" s="26" t="s">
        <v>168</v>
      </c>
      <c r="D14" s="61">
        <f>LevMax</f>
        <v>3</v>
      </c>
      <c r="E14" s="28"/>
      <c r="F14" s="28"/>
      <c r="G14" s="28"/>
    </row>
    <row r="15" spans="1:18" x14ac:dyDescent="0.45">
      <c r="B15" s="25" t="s">
        <v>265</v>
      </c>
      <c r="C15" s="26" t="s">
        <v>168</v>
      </c>
      <c r="D15" s="74" cm="1">
        <f t="array" aca="1" ref="D15" ca="1">_xll.VoseSimMean(PeakLev)</f>
        <v>2.4391194426382157</v>
      </c>
      <c r="E15" s="28"/>
      <c r="F15" s="28"/>
      <c r="G15" s="28"/>
    </row>
    <row r="16" spans="1:18" x14ac:dyDescent="0.45">
      <c r="B16" s="25" t="s">
        <v>266</v>
      </c>
      <c r="C16" s="26" t="s">
        <v>168</v>
      </c>
      <c r="D16" s="74" cm="1">
        <f t="array" aca="1" ref="D16" ca="1">_xll.VoseSimPercentile(PeakLev,0.9)</f>
        <v>3.2571391193078707</v>
      </c>
      <c r="E16" s="28"/>
      <c r="F16" s="28"/>
      <c r="G16" s="28"/>
    </row>
    <row r="17" spans="2:18" x14ac:dyDescent="0.45">
      <c r="B17" s="73" t="s">
        <v>267</v>
      </c>
      <c r="C17" s="26" t="s">
        <v>112</v>
      </c>
      <c r="D17" s="50">
        <f>RCFLimit</f>
        <v>60</v>
      </c>
      <c r="E17" s="28"/>
      <c r="F17" s="28"/>
      <c r="G17" s="28"/>
    </row>
    <row r="18" spans="2:18" x14ac:dyDescent="0.45">
      <c r="B18" s="25" t="s">
        <v>268</v>
      </c>
      <c r="C18" s="26" t="s">
        <v>112</v>
      </c>
      <c r="D18" s="75" cm="1">
        <f t="array" aca="1" ref="D18" ca="1">_xll.VoseSimPercentile(PeakRCF,0.9)</f>
        <v>29.985036433602904</v>
      </c>
      <c r="E18" s="28"/>
      <c r="F18" s="28"/>
      <c r="G18" s="28"/>
    </row>
    <row r="19" spans="2:18" ht="8" customHeight="1" x14ac:dyDescent="0.45"/>
    <row r="20" spans="2:18" ht="22.05" customHeight="1" x14ac:dyDescent="0.5">
      <c r="B20" s="7" t="s">
        <v>269</v>
      </c>
      <c r="C20" s="8"/>
      <c r="D20" s="8"/>
      <c r="E20" s="8"/>
      <c r="F20" s="8"/>
      <c r="G20" s="8"/>
    </row>
    <row r="21" spans="2:18" ht="18" customHeight="1" x14ac:dyDescent="0.45">
      <c r="B21" s="13" t="s">
        <v>270</v>
      </c>
    </row>
    <row r="22" spans="2:18" ht="18" customHeight="1" x14ac:dyDescent="0.45">
      <c r="B22" s="76" t="s">
        <v>178</v>
      </c>
      <c r="C22" s="77" t="s">
        <v>61</v>
      </c>
      <c r="D22" s="77" t="s">
        <v>63</v>
      </c>
      <c r="E22" s="77" t="s">
        <v>271</v>
      </c>
      <c r="F22" s="77" t="s">
        <v>272</v>
      </c>
      <c r="G22" s="77" t="s">
        <v>273</v>
      </c>
    </row>
    <row r="23" spans="2:18" x14ac:dyDescent="0.45">
      <c r="B23" s="78"/>
      <c r="C23" s="78" t="s">
        <v>274</v>
      </c>
      <c r="D23" s="78" t="s">
        <v>274</v>
      </c>
      <c r="E23" s="78" t="s">
        <v>275</v>
      </c>
      <c r="F23" s="78" t="s">
        <v>276</v>
      </c>
      <c r="G23" s="78" t="s">
        <v>276</v>
      </c>
    </row>
    <row r="24" spans="2:18" x14ac:dyDescent="0.45">
      <c r="B24" s="79">
        <f>'Прогноз'!G7</f>
        <v>2027</v>
      </c>
      <c r="C24" s="72" cm="1">
        <f t="array" aca="1" ref="C24" ca="1">_xll.VoseSimMean(BL_Y1)</f>
        <v>9.06E-2</v>
      </c>
      <c r="D24" s="72" cm="1">
        <f t="array" aca="1" ref="D24" ca="1">_xll.VoseSimMean(BI_Y1)</f>
        <v>2.9899999999999999E-2</v>
      </c>
      <c r="E24" s="72" cm="1">
        <f t="array" aca="1" ref="E24" ca="1">_xll.VoseSimMean(BS_Y1)</f>
        <v>0</v>
      </c>
      <c r="F24" s="74" cm="1">
        <f t="array" aca="1" ref="F24" ca="1">_xll.VoseSimPercentile(Lev_Y1,0.5)</f>
        <v>2.1869489350594491</v>
      </c>
      <c r="G24" s="74" cm="1">
        <f t="array" aca="1" ref="G24" ca="1">_xll.VoseSimPercentile(Lev_Y1,0.9)</f>
        <v>2.9558627550390488</v>
      </c>
    </row>
    <row r="25" spans="2:18" x14ac:dyDescent="0.45">
      <c r="B25" s="79">
        <f>'Прогноз'!H7</f>
        <v>2028</v>
      </c>
      <c r="C25" s="72" cm="1">
        <f t="array" aca="1" ref="C25" ca="1">_xll.VoseSimMean(BL_Y2)</f>
        <v>6.9699999999999998E-2</v>
      </c>
      <c r="D25" s="72" cm="1">
        <f t="array" aca="1" ref="D25" ca="1">_xll.VoseSimMean(BI_Y2)</f>
        <v>3.9399999999999998E-2</v>
      </c>
      <c r="E25" s="72" cm="1">
        <f t="array" aca="1" ref="E25" ca="1">_xll.VoseSimMean(BS_Y2)</f>
        <v>0</v>
      </c>
      <c r="F25" s="74" cm="1">
        <f t="array" aca="1" ref="F25" ca="1">_xll.VoseSimPercentile(Lev_Y2,0.5)</f>
        <v>1.8932853925051163</v>
      </c>
      <c r="G25" s="74" cm="1">
        <f t="array" aca="1" ref="G25" ca="1">_xll.VoseSimPercentile(Lev_Y2,0.9)</f>
        <v>2.8016306305462733</v>
      </c>
    </row>
    <row r="26" spans="2:18" x14ac:dyDescent="0.45">
      <c r="B26" s="79">
        <f>'Прогноз'!I7</f>
        <v>2029</v>
      </c>
      <c r="C26" s="72" cm="1">
        <f t="array" aca="1" ref="C26" ca="1">_xll.VoseSimMean(BL_Y3)</f>
        <v>4.4600000000000001E-2</v>
      </c>
      <c r="D26" s="72" cm="1">
        <f t="array" aca="1" ref="D26" ca="1">_xll.VoseSimMean(BI_Y3)</f>
        <v>2.8000000000000001E-2</v>
      </c>
      <c r="E26" s="72" cm="1">
        <f t="array" aca="1" ref="E26" ca="1">_xll.VoseSimMean(BS_Y3)</f>
        <v>0</v>
      </c>
      <c r="F26" s="74" cm="1">
        <f t="array" aca="1" ref="F26" ca="1">_xll.VoseSimPercentile(Lev_Y3,0.5)</f>
        <v>1.6334069052039506</v>
      </c>
      <c r="G26" s="74" cm="1">
        <f t="array" aca="1" ref="G26" ca="1">_xll.VoseSimPercentile(Lev_Y3,0.9)</f>
        <v>2.5464725575498943</v>
      </c>
    </row>
    <row r="27" spans="2:18" x14ac:dyDescent="0.45">
      <c r="B27" s="79">
        <f>'Прогноз'!J7</f>
        <v>2030</v>
      </c>
      <c r="C27" s="72" cm="1">
        <f t="array" aca="1" ref="C27" ca="1">_xll.VoseSimMean(BL_Y4)</f>
        <v>2.8799999999999999E-2</v>
      </c>
      <c r="D27" s="72" cm="1">
        <f t="array" aca="1" ref="D27" ca="1">_xll.VoseSimMean(BI_Y4)</f>
        <v>2.2599999999999999E-2</v>
      </c>
      <c r="E27" s="72" cm="1">
        <f t="array" aca="1" ref="E27" ca="1">_xll.VoseSimMean(BS_Y4)</f>
        <v>1E-4</v>
      </c>
      <c r="F27" s="74" cm="1">
        <f t="array" aca="1" ref="F27" ca="1">_xll.VoseSimPercentile(Lev_Y4,0.5)</f>
        <v>1.3813850618250332</v>
      </c>
      <c r="G27" s="74" cm="1">
        <f t="array" aca="1" ref="G27" ca="1">_xll.VoseSimPercentile(Lev_Y4,0.9)</f>
        <v>2.2550674464210778</v>
      </c>
    </row>
    <row r="28" spans="2:18" x14ac:dyDescent="0.45">
      <c r="B28" s="79">
        <f>'Прогноз'!K7</f>
        <v>2031</v>
      </c>
      <c r="C28" s="72" cm="1">
        <f t="array" aca="1" ref="C28" ca="1">_xll.VoseSimMean(BL_Y5)</f>
        <v>1.7299999999999999E-2</v>
      </c>
      <c r="D28" s="72" cm="1">
        <f t="array" aca="1" ref="D28" ca="1">_xll.VoseSimMean(BI_Y5)</f>
        <v>1.54E-2</v>
      </c>
      <c r="E28" s="72" cm="1">
        <f t="array" aca="1" ref="E28" ca="1">_xll.VoseSimMean(BS_Y5)</f>
        <v>8.9999999999999998E-4</v>
      </c>
      <c r="F28" s="74" cm="1">
        <f t="array" aca="1" ref="F28" ca="1">_xll.VoseSimPercentile(Lev_Y5,0.5)</f>
        <v>1.1333794770413927</v>
      </c>
      <c r="G28" s="74" cm="1">
        <f t="array" aca="1" ref="G28" ca="1">_xll.VoseSimPercentile(Lev_Y5,0.9)</f>
        <v>1.9663594733991832</v>
      </c>
    </row>
    <row r="29" spans="2:18" ht="8" customHeight="1" x14ac:dyDescent="0.45"/>
    <row r="30" spans="2:18" x14ac:dyDescent="0.45">
      <c r="I30" s="70" t="s">
        <v>277</v>
      </c>
      <c r="J30" s="8"/>
      <c r="K30" s="8"/>
      <c r="L30" s="8"/>
      <c r="M30" s="8"/>
      <c r="N30" s="8"/>
      <c r="O30" s="8"/>
      <c r="P30" s="8"/>
      <c r="Q30" s="8"/>
      <c r="R30" s="8"/>
    </row>
    <row r="46" spans="2:18" ht="22.05" customHeight="1" x14ac:dyDescent="0.5">
      <c r="B46" s="7" t="s">
        <v>278</v>
      </c>
      <c r="C46" s="8"/>
      <c r="D46" s="8"/>
      <c r="E46" s="8"/>
      <c r="F46" s="8"/>
      <c r="G46" s="8"/>
      <c r="I46" s="70" t="s">
        <v>279</v>
      </c>
      <c r="J46" s="8"/>
      <c r="K46" s="8"/>
      <c r="L46" s="8"/>
      <c r="M46" s="8"/>
      <c r="N46" s="8"/>
      <c r="O46" s="8"/>
      <c r="P46" s="8"/>
      <c r="Q46" s="8"/>
      <c r="R46" s="8"/>
    </row>
    <row r="47" spans="2:18" ht="18" customHeight="1" x14ac:dyDescent="0.45">
      <c r="B47" s="13" t="s">
        <v>280</v>
      </c>
    </row>
    <row r="48" spans="2:18" ht="18" customHeight="1" x14ac:dyDescent="0.45">
      <c r="B48" s="23" t="s">
        <v>281</v>
      </c>
      <c r="C48" s="24" t="s">
        <v>282</v>
      </c>
      <c r="D48" s="24" t="s">
        <v>283</v>
      </c>
      <c r="E48" s="80" t="s">
        <v>284</v>
      </c>
      <c r="F48" s="5"/>
      <c r="G48" s="5"/>
    </row>
    <row r="49" spans="2:7" x14ac:dyDescent="0.45">
      <c r="B49" s="25" t="str">
        <f t="array" aca="1" ref="B49:E55" ca="1">_xll.VoseSimSensitivityMean(AnyBreach,10,1,FALSE)</f>
        <v>Рост выручки</v>
      </c>
      <c r="C49" s="72">
        <f ca="1"/>
        <v>4.0000000000000001E-3</v>
      </c>
      <c r="D49" s="72">
        <f ca="1"/>
        <v>0.67900000000000005</v>
      </c>
      <c r="E49" s="81">
        <f ca="1"/>
        <v>1</v>
      </c>
      <c r="F49" s="28"/>
      <c r="G49" s="28"/>
    </row>
    <row r="50" spans="2:7" x14ac:dyDescent="0.45">
      <c r="B50" s="25" t="str">
        <f ca="1"/>
        <v>Рентабельность по EBITDA</v>
      </c>
      <c r="C50" s="72">
        <f ca="1"/>
        <v>6.0999999999999999E-2</v>
      </c>
      <c r="D50" s="72">
        <f ca="1"/>
        <v>0.313</v>
      </c>
      <c r="E50" s="81">
        <f ca="1"/>
        <v>2</v>
      </c>
      <c r="F50" s="28"/>
      <c r="G50" s="28"/>
    </row>
    <row r="51" spans="2:7" x14ac:dyDescent="0.45">
      <c r="B51" s="25" t="str">
        <f ca="1"/>
        <v>Доля капитальных затрат</v>
      </c>
      <c r="C51" s="72">
        <f ca="1"/>
        <v>0.125</v>
      </c>
      <c r="D51" s="72">
        <f ca="1"/>
        <v>0.221</v>
      </c>
      <c r="E51" s="81">
        <f ca="1"/>
        <v>3</v>
      </c>
      <c r="F51" s="28"/>
      <c r="G51" s="28"/>
    </row>
    <row r="52" spans="2:7" x14ac:dyDescent="0.45">
      <c r="B52" s="25" t="str">
        <f ca="1"/>
        <v>Оборачиваемость запасов, дни</v>
      </c>
      <c r="C52" s="72">
        <f ca="1"/>
        <v>0.13100000000000001</v>
      </c>
      <c r="D52" s="72">
        <f ca="1"/>
        <v>0.21099999999999999</v>
      </c>
      <c r="E52" s="81">
        <f ca="1"/>
        <v>4</v>
      </c>
      <c r="F52" s="28"/>
      <c r="G52" s="28"/>
    </row>
    <row r="53" spans="2:7" x14ac:dyDescent="0.45">
      <c r="B53" s="25" t="str">
        <f ca="1"/>
        <v>Оборачиваемость дебиторской задолженности, дни</v>
      </c>
      <c r="C53" s="72">
        <f ca="1"/>
        <v>0.128</v>
      </c>
      <c r="D53" s="72">
        <f ca="1"/>
        <v>0.20100000000000001</v>
      </c>
      <c r="E53" s="81">
        <f ca="1"/>
        <v>5</v>
      </c>
      <c r="F53" s="28"/>
      <c r="G53" s="28"/>
    </row>
    <row r="54" spans="2:7" x14ac:dyDescent="0.45">
      <c r="B54" s="25" t="str">
        <f ca="1"/>
        <v>Оборачиваемость кредиторской задолженности, дни</v>
      </c>
      <c r="C54" s="72">
        <f ca="1"/>
        <v>0.13500000000000001</v>
      </c>
      <c r="D54" s="72">
        <f ca="1"/>
        <v>0.17699999999999999</v>
      </c>
      <c r="E54" s="81">
        <f ca="1"/>
        <v>6</v>
      </c>
      <c r="F54" s="28"/>
      <c r="G54" s="28"/>
    </row>
    <row r="55" spans="2:7" x14ac:dyDescent="0.45">
      <c r="B55" s="25" t="str">
        <f ca="1"/>
        <v>Базовая ставка</v>
      </c>
      <c r="C55" s="72">
        <f ca="1"/>
        <v>0.14699999999999999</v>
      </c>
      <c r="D55" s="72">
        <f ca="1"/>
        <v>0.17799999999999999</v>
      </c>
      <c r="E55" s="81">
        <f ca="1"/>
        <v>7</v>
      </c>
      <c r="F55" s="28"/>
      <c r="G55" s="28"/>
    </row>
    <row r="60" spans="2:7" ht="22.05" customHeight="1" x14ac:dyDescent="0.5">
      <c r="B60" s="7" t="s">
        <v>285</v>
      </c>
      <c r="C60" s="8"/>
      <c r="D60" s="8"/>
      <c r="E60" s="8"/>
      <c r="F60" s="8"/>
      <c r="G60" s="8"/>
    </row>
    <row r="61" spans="2:7" ht="45" customHeight="1" x14ac:dyDescent="0.45">
      <c r="B61" s="89" t="str">
        <f>"•  "&amp;("План (последний раздел листа «Прогноз» и линия плана на веерной диаграмме) снижает долговую нагрузку с "&amp;TEXT('Прогноз'!F122,"0.0")&amp;" до "&amp;TEXT('Прогноз'!K122,"0.0")&amp;" к "&amp;TEXT('Прогноз'!K7,"0")&amp;"году, но это лишь одна траектория из многих. Веерная диаграмма показывает, насколько может вырасти нагрузка в первые два года, пока большая часть срочного кредита не погашена, а за плохим годом может последовать еще один.")</f>
        <v>•  План (последний раздел листа «Прогноз» и линия плана на веерной диаграмме) снижает долговую нагрузку с 2,4 до 1,1 к 2031 году, но это лишь одна траектория из многих. Веерная диаграмма показывает, насколько может вырасти нагрузка в первые два года, пока большая часть срочного кредита не погашена, а за плохим годом может последовать еще один.</v>
      </c>
      <c r="C61" s="90"/>
      <c r="D61" s="90"/>
      <c r="E61" s="90"/>
      <c r="F61" s="90"/>
      <c r="G61" s="90"/>
    </row>
    <row r="62" spans="2:7" ht="32" customHeight="1" x14ac:dyDescent="0.45">
      <c r="B62" s="89" t="s">
        <v>286</v>
      </c>
      <c r="C62" s="90"/>
      <c r="D62" s="90"/>
      <c r="E62" s="90"/>
      <c r="F62" s="90"/>
      <c r="G62" s="90"/>
    </row>
    <row r="63" spans="2:7" ht="32" customHeight="1" x14ac:dyDescent="0.45">
      <c r="B63" s="89" t="s">
        <v>287</v>
      </c>
      <c r="C63" s="90"/>
      <c r="D63" s="90"/>
      <c r="E63" s="90"/>
      <c r="F63" s="90"/>
      <c r="G63" s="90"/>
    </row>
    <row r="64" spans="2:7" ht="32" customHeight="1" x14ac:dyDescent="0.45">
      <c r="B64" s="89" t="s">
        <v>288</v>
      </c>
      <c r="C64" s="90"/>
      <c r="D64" s="90"/>
      <c r="E64" s="90"/>
      <c r="F64" s="90"/>
      <c r="G64" s="90"/>
    </row>
    <row r="65" spans="2:7" ht="14" customHeight="1" x14ac:dyDescent="0.45"/>
    <row r="66" spans="2:7" ht="14" customHeight="1" x14ac:dyDescent="0.45"/>
    <row r="67" spans="2:7" ht="22.05" customHeight="1" x14ac:dyDescent="0.5">
      <c r="B67" s="7" t="s">
        <v>289</v>
      </c>
      <c r="C67" s="8"/>
      <c r="D67" s="8"/>
      <c r="E67" s="8"/>
      <c r="F67" s="8"/>
      <c r="G67" s="8"/>
    </row>
    <row r="68" spans="2:7" ht="18" customHeight="1" x14ac:dyDescent="0.45">
      <c r="B68" s="13" t="s">
        <v>290</v>
      </c>
    </row>
    <row r="69" spans="2:7" ht="28.05" hidden="1" customHeight="1" outlineLevel="1" x14ac:dyDescent="0.45">
      <c r="B69" s="24" t="s">
        <v>291</v>
      </c>
      <c r="C69" s="24" t="s">
        <v>292</v>
      </c>
      <c r="D69" s="24" t="s">
        <v>293</v>
      </c>
      <c r="E69" s="5"/>
      <c r="F69" s="5"/>
      <c r="G69" s="5"/>
    </row>
    <row r="70" spans="2:7" hidden="1" outlineLevel="1" x14ac:dyDescent="0.45">
      <c r="B70" s="82">
        <v>0.01</v>
      </c>
      <c r="C70" s="82">
        <f t="shared" ref="C70:C101" si="0">1-B70</f>
        <v>0.99</v>
      </c>
      <c r="D70" s="83" cm="1">
        <f t="array" aca="1" ref="D70" ca="1">IF(ISNUMBER(_xll.VoseSimPercentile(PeakLev,$B70)),_xll.VoseSimPercentile(PeakLev,$B70),NA())</f>
        <v>1.3890976020718144</v>
      </c>
    </row>
    <row r="71" spans="2:7" hidden="1" outlineLevel="1" x14ac:dyDescent="0.45">
      <c r="B71" s="82">
        <v>0.03</v>
      </c>
      <c r="C71" s="82">
        <f t="shared" si="0"/>
        <v>0.97</v>
      </c>
      <c r="D71" s="83" cm="1">
        <f t="array" aca="1" ref="D71" ca="1">IF(ISNUMBER(_xll.VoseSimPercentile(PeakLev,$B71)),_xll.VoseSimPercentile(PeakLev,$B71),NA())</f>
        <v>1.517961026379453</v>
      </c>
    </row>
    <row r="72" spans="2:7" hidden="1" outlineLevel="1" x14ac:dyDescent="0.45">
      <c r="B72" s="82">
        <v>0.05</v>
      </c>
      <c r="C72" s="82">
        <f t="shared" si="0"/>
        <v>0.95</v>
      </c>
      <c r="D72" s="83" cm="1">
        <f t="array" aca="1" ref="D72" ca="1">IF(ISNUMBER(_xll.VoseSimPercentile(PeakLev,$B72)),_xll.VoseSimPercentile(PeakLev,$B72),NA())</f>
        <v>1.5910441769192747</v>
      </c>
    </row>
    <row r="73" spans="2:7" hidden="1" outlineLevel="1" x14ac:dyDescent="0.45">
      <c r="B73" s="82">
        <v>7.0000000000000007E-2</v>
      </c>
      <c r="C73" s="82">
        <f t="shared" si="0"/>
        <v>0.92999999999999994</v>
      </c>
      <c r="D73" s="83" cm="1">
        <f t="array" aca="1" ref="D73" ca="1">IF(ISNUMBER(_xll.VoseSimPercentile(PeakLev,$B73)),_xll.VoseSimPercentile(PeakLev,$B73),NA())</f>
        <v>1.648148444767751</v>
      </c>
    </row>
    <row r="74" spans="2:7" hidden="1" outlineLevel="1" x14ac:dyDescent="0.45">
      <c r="B74" s="82">
        <v>0.09</v>
      </c>
      <c r="C74" s="82">
        <f t="shared" si="0"/>
        <v>0.91</v>
      </c>
      <c r="D74" s="83" cm="1">
        <f t="array" aca="1" ref="D74" ca="1">IF(ISNUMBER(_xll.VoseSimPercentile(PeakLev,$B74)),_xll.VoseSimPercentile(PeakLev,$B74),NA())</f>
        <v>1.705645625243893</v>
      </c>
    </row>
    <row r="75" spans="2:7" hidden="1" outlineLevel="1" x14ac:dyDescent="0.45">
      <c r="B75" s="82">
        <v>0.11</v>
      </c>
      <c r="C75" s="82">
        <f t="shared" si="0"/>
        <v>0.89</v>
      </c>
      <c r="D75" s="83" cm="1">
        <f t="array" aca="1" ref="D75" ca="1">IF(ISNUMBER(_xll.VoseSimPercentile(PeakLev,$B75)),_xll.VoseSimPercentile(PeakLev,$B75),NA())</f>
        <v>1.7440748121211302</v>
      </c>
    </row>
    <row r="76" spans="2:7" hidden="1" outlineLevel="1" x14ac:dyDescent="0.45">
      <c r="B76" s="82">
        <v>0.13</v>
      </c>
      <c r="C76" s="82">
        <f t="shared" si="0"/>
        <v>0.87</v>
      </c>
      <c r="D76" s="83" cm="1">
        <f t="array" aca="1" ref="D76" ca="1">IF(ISNUMBER(_xll.VoseSimPercentile(PeakLev,$B76)),_xll.VoseSimPercentile(PeakLev,$B76),NA())</f>
        <v>1.7877712764292573</v>
      </c>
    </row>
    <row r="77" spans="2:7" hidden="1" outlineLevel="1" x14ac:dyDescent="0.45">
      <c r="B77" s="82">
        <v>0.15</v>
      </c>
      <c r="C77" s="82">
        <f t="shared" si="0"/>
        <v>0.85</v>
      </c>
      <c r="D77" s="83" cm="1">
        <f t="array" aca="1" ref="D77" ca="1">IF(ISNUMBER(_xll.VoseSimPercentile(PeakLev,$B77)),_xll.VoseSimPercentile(PeakLev,$B77),NA())</f>
        <v>1.8226531819393217</v>
      </c>
    </row>
    <row r="78" spans="2:7" hidden="1" outlineLevel="1" x14ac:dyDescent="0.45">
      <c r="B78" s="82">
        <v>0.17</v>
      </c>
      <c r="C78" s="82">
        <f t="shared" si="0"/>
        <v>0.83</v>
      </c>
      <c r="D78" s="83" cm="1">
        <f t="array" aca="1" ref="D78" ca="1">IF(ISNUMBER(_xll.VoseSimPercentile(PeakLev,$B78)),_xll.VoseSimPercentile(PeakLev,$B78),NA())</f>
        <v>1.860461745349387</v>
      </c>
    </row>
    <row r="79" spans="2:7" hidden="1" outlineLevel="1" x14ac:dyDescent="0.45">
      <c r="B79" s="82">
        <v>0.19</v>
      </c>
      <c r="C79" s="82">
        <f t="shared" si="0"/>
        <v>0.81</v>
      </c>
      <c r="D79" s="83" cm="1">
        <f t="array" aca="1" ref="D79" ca="1">IF(ISNUMBER(_xll.VoseSimPercentile(PeakLev,$B79)),_xll.VoseSimPercentile(PeakLev,$B79),NA())</f>
        <v>1.8936392803574456</v>
      </c>
    </row>
    <row r="80" spans="2:7" hidden="1" outlineLevel="1" x14ac:dyDescent="0.45">
      <c r="B80" s="82">
        <v>0.21</v>
      </c>
      <c r="C80" s="82">
        <f t="shared" si="0"/>
        <v>0.79</v>
      </c>
      <c r="D80" s="83" cm="1">
        <f t="array" aca="1" ref="D80" ca="1">IF(ISNUMBER(_xll.VoseSimPercentile(PeakLev,$B80)),_xll.VoseSimPercentile(PeakLev,$B80),NA())</f>
        <v>1.922928869235869</v>
      </c>
    </row>
    <row r="81" spans="2:4" hidden="1" outlineLevel="1" x14ac:dyDescent="0.45">
      <c r="B81" s="82">
        <v>0.23</v>
      </c>
      <c r="C81" s="82">
        <f t="shared" si="0"/>
        <v>0.77</v>
      </c>
      <c r="D81" s="83" cm="1">
        <f t="array" aca="1" ref="D81" ca="1">IF(ISNUMBER(_xll.VoseSimPercentile(PeakLev,$B81)),_xll.VoseSimPercentile(PeakLev,$B81),NA())</f>
        <v>1.9495804899433127</v>
      </c>
    </row>
    <row r="82" spans="2:4" hidden="1" outlineLevel="1" x14ac:dyDescent="0.45">
      <c r="B82" s="82">
        <v>0.25</v>
      </c>
      <c r="C82" s="82">
        <f t="shared" si="0"/>
        <v>0.75</v>
      </c>
      <c r="D82" s="83" cm="1">
        <f t="array" aca="1" ref="D82" ca="1">IF(ISNUMBER(_xll.VoseSimPercentile(PeakLev,$B82)),_xll.VoseSimPercentile(PeakLev,$B82),NA())</f>
        <v>1.9777853896986508</v>
      </c>
    </row>
    <row r="83" spans="2:4" hidden="1" outlineLevel="1" x14ac:dyDescent="0.45">
      <c r="B83" s="82">
        <v>0.27</v>
      </c>
      <c r="C83" s="82">
        <f t="shared" si="0"/>
        <v>0.73</v>
      </c>
      <c r="D83" s="83" cm="1">
        <f t="array" aca="1" ref="D83" ca="1">IF(ISNUMBER(_xll.VoseSimPercentile(PeakLev,$B83)),_xll.VoseSimPercentile(PeakLev,$B83),NA())</f>
        <v>2.0030670772822918</v>
      </c>
    </row>
    <row r="84" spans="2:4" hidden="1" outlineLevel="1" x14ac:dyDescent="0.45">
      <c r="B84" s="82">
        <v>0.28999999999999998</v>
      </c>
      <c r="C84" s="82">
        <f t="shared" si="0"/>
        <v>0.71</v>
      </c>
      <c r="D84" s="83" cm="1">
        <f t="array" aca="1" ref="D84" ca="1">IF(ISNUMBER(_xll.VoseSimPercentile(PeakLev,$B84)),_xll.VoseSimPercentile(PeakLev,$B84),NA())</f>
        <v>2.0299720043646161</v>
      </c>
    </row>
    <row r="85" spans="2:4" hidden="1" outlineLevel="1" x14ac:dyDescent="0.45">
      <c r="B85" s="82">
        <v>0.31</v>
      </c>
      <c r="C85" s="82">
        <f t="shared" si="0"/>
        <v>0.69</v>
      </c>
      <c r="D85" s="83" cm="1">
        <f t="array" aca="1" ref="D85" ca="1">IF(ISNUMBER(_xll.VoseSimPercentile(PeakLev,$B85)),_xll.VoseSimPercentile(PeakLev,$B85),NA())</f>
        <v>2.0562647303594503</v>
      </c>
    </row>
    <row r="86" spans="2:4" hidden="1" outlineLevel="1" x14ac:dyDescent="0.45">
      <c r="B86" s="82">
        <v>0.33</v>
      </c>
      <c r="C86" s="82">
        <f t="shared" si="0"/>
        <v>0.66999999999999993</v>
      </c>
      <c r="D86" s="83" cm="1">
        <f t="array" aca="1" ref="D86" ca="1">IF(ISNUMBER(_xll.VoseSimPercentile(PeakLev,$B86)),_xll.VoseSimPercentile(PeakLev,$B86),NA())</f>
        <v>2.0832354929707879</v>
      </c>
    </row>
    <row r="87" spans="2:4" hidden="1" outlineLevel="1" x14ac:dyDescent="0.45">
      <c r="B87" s="82">
        <v>0.35</v>
      </c>
      <c r="C87" s="82">
        <f t="shared" si="0"/>
        <v>0.65</v>
      </c>
      <c r="D87" s="83" cm="1">
        <f t="array" aca="1" ref="D87" ca="1">IF(ISNUMBER(_xll.VoseSimPercentile(PeakLev,$B87)),_xll.VoseSimPercentile(PeakLev,$B87),NA())</f>
        <v>2.1123532474167503</v>
      </c>
    </row>
    <row r="88" spans="2:4" hidden="1" outlineLevel="1" x14ac:dyDescent="0.45">
      <c r="B88" s="82">
        <v>0.37</v>
      </c>
      <c r="C88" s="82">
        <f t="shared" si="0"/>
        <v>0.63</v>
      </c>
      <c r="D88" s="83" cm="1">
        <f t="array" aca="1" ref="D88" ca="1">IF(ISNUMBER(_xll.VoseSimPercentile(PeakLev,$B88)),_xll.VoseSimPercentile(PeakLev,$B88),NA())</f>
        <v>2.1377983597552395</v>
      </c>
    </row>
    <row r="89" spans="2:4" hidden="1" outlineLevel="1" x14ac:dyDescent="0.45">
      <c r="B89" s="82">
        <v>0.39</v>
      </c>
      <c r="C89" s="82">
        <f t="shared" si="0"/>
        <v>0.61</v>
      </c>
      <c r="D89" s="83" cm="1">
        <f t="array" aca="1" ref="D89" ca="1">IF(ISNUMBER(_xll.VoseSimPercentile(PeakLev,$B89)),_xll.VoseSimPercentile(PeakLev,$B89),NA())</f>
        <v>2.1659592724436219</v>
      </c>
    </row>
    <row r="90" spans="2:4" hidden="1" outlineLevel="1" x14ac:dyDescent="0.45">
      <c r="B90" s="82">
        <v>0.41</v>
      </c>
      <c r="C90" s="82">
        <f t="shared" si="0"/>
        <v>0.59000000000000008</v>
      </c>
      <c r="D90" s="83" cm="1">
        <f t="array" aca="1" ref="D90" ca="1">IF(ISNUMBER(_xll.VoseSimPercentile(PeakLev,$B90)),_xll.VoseSimPercentile(PeakLev,$B90),NA())</f>
        <v>2.1911470891884033</v>
      </c>
    </row>
    <row r="91" spans="2:4" hidden="1" outlineLevel="1" x14ac:dyDescent="0.45">
      <c r="B91" s="82">
        <v>0.43</v>
      </c>
      <c r="C91" s="82">
        <f t="shared" si="0"/>
        <v>0.57000000000000006</v>
      </c>
      <c r="D91" s="83" cm="1">
        <f t="array" aca="1" ref="D91" ca="1">IF(ISNUMBER(_xll.VoseSimPercentile(PeakLev,$B91)),_xll.VoseSimPercentile(PeakLev,$B91),NA())</f>
        <v>2.2203257160676504</v>
      </c>
    </row>
    <row r="92" spans="2:4" hidden="1" outlineLevel="1" x14ac:dyDescent="0.45">
      <c r="B92" s="82">
        <v>0.45</v>
      </c>
      <c r="C92" s="82">
        <f t="shared" si="0"/>
        <v>0.55000000000000004</v>
      </c>
      <c r="D92" s="83" cm="1">
        <f t="array" aca="1" ref="D92" ca="1">IF(ISNUMBER(_xll.VoseSimPercentile(PeakLev,$B92)),_xll.VoseSimPercentile(PeakLev,$B92),NA())</f>
        <v>2.2446058497213337</v>
      </c>
    </row>
    <row r="93" spans="2:4" hidden="1" outlineLevel="1" x14ac:dyDescent="0.45">
      <c r="B93" s="82">
        <v>0.47</v>
      </c>
      <c r="C93" s="82">
        <f t="shared" si="0"/>
        <v>0.53</v>
      </c>
      <c r="D93" s="83" cm="1">
        <f t="array" aca="1" ref="D93" ca="1">IF(ISNUMBER(_xll.VoseSimPercentile(PeakLev,$B93)),_xll.VoseSimPercentile(PeakLev,$B93),NA())</f>
        <v>2.2736117443114736</v>
      </c>
    </row>
    <row r="94" spans="2:4" hidden="1" outlineLevel="1" x14ac:dyDescent="0.45">
      <c r="B94" s="82">
        <v>0.49</v>
      </c>
      <c r="C94" s="82">
        <f t="shared" si="0"/>
        <v>0.51</v>
      </c>
      <c r="D94" s="83" cm="1">
        <f t="array" aca="1" ref="D94" ca="1">IF(ISNUMBER(_xll.VoseSimPercentile(PeakLev,$B94)),_xll.VoseSimPercentile(PeakLev,$B94),NA())</f>
        <v>2.303356597363166</v>
      </c>
    </row>
    <row r="95" spans="2:4" hidden="1" outlineLevel="1" x14ac:dyDescent="0.45">
      <c r="B95" s="82">
        <v>0.51</v>
      </c>
      <c r="C95" s="82">
        <f t="shared" si="0"/>
        <v>0.49</v>
      </c>
      <c r="D95" s="83" cm="1">
        <f t="array" aca="1" ref="D95" ca="1">IF(ISNUMBER(_xll.VoseSimPercentile(PeakLev,$B95)),_xll.VoseSimPercentile(PeakLev,$B95),NA())</f>
        <v>2.3294371862785992</v>
      </c>
    </row>
    <row r="96" spans="2:4" hidden="1" outlineLevel="1" x14ac:dyDescent="0.45">
      <c r="B96" s="82">
        <v>0.53</v>
      </c>
      <c r="C96" s="82">
        <f t="shared" si="0"/>
        <v>0.47</v>
      </c>
      <c r="D96" s="83" cm="1">
        <f t="array" aca="1" ref="D96" ca="1">IF(ISNUMBER(_xll.VoseSimPercentile(PeakLev,$B96)),_xll.VoseSimPercentile(PeakLev,$B96),NA())</f>
        <v>2.3619802096308753</v>
      </c>
    </row>
    <row r="97" spans="2:4" hidden="1" outlineLevel="1" x14ac:dyDescent="0.45">
      <c r="B97" s="82">
        <v>0.55000000000000004</v>
      </c>
      <c r="C97" s="82">
        <f t="shared" si="0"/>
        <v>0.44999999999999996</v>
      </c>
      <c r="D97" s="83" cm="1">
        <f t="array" aca="1" ref="D97" ca="1">IF(ISNUMBER(_xll.VoseSimPercentile(PeakLev,$B97)),_xll.VoseSimPercentile(PeakLev,$B97),NA())</f>
        <v>2.3900106625948587</v>
      </c>
    </row>
    <row r="98" spans="2:4" hidden="1" outlineLevel="1" x14ac:dyDescent="0.45">
      <c r="B98" s="82">
        <v>0.56999999999999995</v>
      </c>
      <c r="C98" s="82">
        <f t="shared" si="0"/>
        <v>0.43000000000000005</v>
      </c>
      <c r="D98" s="83" cm="1">
        <f t="array" aca="1" ref="D98" ca="1">IF(ISNUMBER(_xll.VoseSimPercentile(PeakLev,$B98)),_xll.VoseSimPercentile(PeakLev,$B98),NA())</f>
        <v>2.41846500227674</v>
      </c>
    </row>
    <row r="99" spans="2:4" hidden="1" outlineLevel="1" x14ac:dyDescent="0.45">
      <c r="B99" s="82">
        <v>0.59</v>
      </c>
      <c r="C99" s="82">
        <f t="shared" si="0"/>
        <v>0.41000000000000003</v>
      </c>
      <c r="D99" s="83" cm="1">
        <f t="array" aca="1" ref="D99" ca="1">IF(ISNUMBER(_xll.VoseSimPercentile(PeakLev,$B99)),_xll.VoseSimPercentile(PeakLev,$B99),NA())</f>
        <v>2.4495060185826079</v>
      </c>
    </row>
    <row r="100" spans="2:4" hidden="1" outlineLevel="1" x14ac:dyDescent="0.45">
      <c r="B100" s="82">
        <v>0.61</v>
      </c>
      <c r="C100" s="82">
        <f t="shared" si="0"/>
        <v>0.39</v>
      </c>
      <c r="D100" s="83" cm="1">
        <f t="array" aca="1" ref="D100" ca="1">IF(ISNUMBER(_xll.VoseSimPercentile(PeakLev,$B100)),_xll.VoseSimPercentile(PeakLev,$B100),NA())</f>
        <v>2.4830375803284523</v>
      </c>
    </row>
    <row r="101" spans="2:4" hidden="1" outlineLevel="1" x14ac:dyDescent="0.45">
      <c r="B101" s="82">
        <v>0.63</v>
      </c>
      <c r="C101" s="82">
        <f t="shared" si="0"/>
        <v>0.37</v>
      </c>
      <c r="D101" s="83" cm="1">
        <f t="array" aca="1" ref="D101" ca="1">IF(ISNUMBER(_xll.VoseSimPercentile(PeakLev,$B101)),_xll.VoseSimPercentile(PeakLev,$B101),NA())</f>
        <v>2.5168355458843052</v>
      </c>
    </row>
    <row r="102" spans="2:4" hidden="1" outlineLevel="1" x14ac:dyDescent="0.45">
      <c r="B102" s="82">
        <v>0.65</v>
      </c>
      <c r="C102" s="82">
        <f t="shared" ref="C102:C133" si="1">1-B102</f>
        <v>0.35</v>
      </c>
      <c r="D102" s="83" cm="1">
        <f t="array" aca="1" ref="D102" ca="1">IF(ISNUMBER(_xll.VoseSimPercentile(PeakLev,$B102)),_xll.VoseSimPercentile(PeakLev,$B102),NA())</f>
        <v>2.5509956714398641</v>
      </c>
    </row>
    <row r="103" spans="2:4" hidden="1" outlineLevel="1" x14ac:dyDescent="0.45">
      <c r="B103" s="82">
        <v>0.67</v>
      </c>
      <c r="C103" s="82">
        <f t="shared" si="1"/>
        <v>0.32999999999999996</v>
      </c>
      <c r="D103" s="83" cm="1">
        <f t="array" aca="1" ref="D103" ca="1">IF(ISNUMBER(_xll.VoseSimPercentile(PeakLev,$B103)),_xll.VoseSimPercentile(PeakLev,$B103),NA())</f>
        <v>2.5852033061215796</v>
      </c>
    </row>
    <row r="104" spans="2:4" hidden="1" outlineLevel="1" x14ac:dyDescent="0.45">
      <c r="B104" s="82">
        <v>0.69</v>
      </c>
      <c r="C104" s="82">
        <f t="shared" si="1"/>
        <v>0.31000000000000005</v>
      </c>
      <c r="D104" s="83" cm="1">
        <f t="array" aca="1" ref="D104" ca="1">IF(ISNUMBER(_xll.VoseSimPercentile(PeakLev,$B104)),_xll.VoseSimPercentile(PeakLev,$B104),NA())</f>
        <v>2.6238674265264534</v>
      </c>
    </row>
    <row r="105" spans="2:4" hidden="1" outlineLevel="1" x14ac:dyDescent="0.45">
      <c r="B105" s="82">
        <v>0.71</v>
      </c>
      <c r="C105" s="82">
        <f t="shared" si="1"/>
        <v>0.29000000000000004</v>
      </c>
      <c r="D105" s="83" cm="1">
        <f t="array" aca="1" ref="D105" ca="1">IF(ISNUMBER(_xll.VoseSimPercentile(PeakLev,$B105)),_xll.VoseSimPercentile(PeakLev,$B105),NA())</f>
        <v>2.6580946699715335</v>
      </c>
    </row>
    <row r="106" spans="2:4" hidden="1" outlineLevel="1" x14ac:dyDescent="0.45">
      <c r="B106" s="82">
        <v>0.73</v>
      </c>
      <c r="C106" s="82">
        <f t="shared" si="1"/>
        <v>0.27</v>
      </c>
      <c r="D106" s="83" cm="1">
        <f t="array" aca="1" ref="D106" ca="1">IF(ISNUMBER(_xll.VoseSimPercentile(PeakLev,$B106)),_xll.VoseSimPercentile(PeakLev,$B106),NA())</f>
        <v>2.6991629929127279</v>
      </c>
    </row>
    <row r="107" spans="2:4" hidden="1" outlineLevel="1" x14ac:dyDescent="0.45">
      <c r="B107" s="82">
        <v>0.75</v>
      </c>
      <c r="C107" s="82">
        <f t="shared" si="1"/>
        <v>0.25</v>
      </c>
      <c r="D107" s="83" cm="1">
        <f t="array" aca="1" ref="D107" ca="1">IF(ISNUMBER(_xll.VoseSimPercentile(PeakLev,$B107)),_xll.VoseSimPercentile(PeakLev,$B107),NA())</f>
        <v>2.7366156067719687</v>
      </c>
    </row>
    <row r="108" spans="2:4" hidden="1" outlineLevel="1" x14ac:dyDescent="0.45">
      <c r="B108" s="82">
        <v>0.77</v>
      </c>
      <c r="C108" s="82">
        <f t="shared" si="1"/>
        <v>0.22999999999999998</v>
      </c>
      <c r="D108" s="83" cm="1">
        <f t="array" aca="1" ref="D108" ca="1">IF(ISNUMBER(_xll.VoseSimPercentile(PeakLev,$B108)),_xll.VoseSimPercentile(PeakLev,$B108),NA())</f>
        <v>2.7888690506272718</v>
      </c>
    </row>
    <row r="109" spans="2:4" hidden="1" outlineLevel="1" x14ac:dyDescent="0.45">
      <c r="B109" s="82">
        <v>0.79</v>
      </c>
      <c r="C109" s="82">
        <f t="shared" si="1"/>
        <v>0.20999999999999996</v>
      </c>
      <c r="D109" s="83" cm="1">
        <f t="array" aca="1" ref="D109" ca="1">IF(ISNUMBER(_xll.VoseSimPercentile(PeakLev,$B109)),_xll.VoseSimPercentile(PeakLev,$B109),NA())</f>
        <v>2.8425524217358151</v>
      </c>
    </row>
    <row r="110" spans="2:4" hidden="1" outlineLevel="1" x14ac:dyDescent="0.45">
      <c r="B110" s="82">
        <v>0.81</v>
      </c>
      <c r="C110" s="82">
        <f t="shared" si="1"/>
        <v>0.18999999999999995</v>
      </c>
      <c r="D110" s="83" cm="1">
        <f t="array" aca="1" ref="D110" ca="1">IF(ISNUMBER(_xll.VoseSimPercentile(PeakLev,$B110)),_xll.VoseSimPercentile(PeakLev,$B110),NA())</f>
        <v>2.8976243680102276</v>
      </c>
    </row>
    <row r="111" spans="2:4" hidden="1" outlineLevel="1" x14ac:dyDescent="0.45">
      <c r="B111" s="82">
        <v>0.83</v>
      </c>
      <c r="C111" s="82">
        <f t="shared" si="1"/>
        <v>0.17000000000000004</v>
      </c>
      <c r="D111" s="83" cm="1">
        <f t="array" aca="1" ref="D111" ca="1">IF(ISNUMBER(_xll.VoseSimPercentile(PeakLev,$B111)),_xll.VoseSimPercentile(PeakLev,$B111),NA())</f>
        <v>2.9611490538912317</v>
      </c>
    </row>
    <row r="112" spans="2:4" hidden="1" outlineLevel="1" x14ac:dyDescent="0.45">
      <c r="B112" s="82">
        <v>0.85</v>
      </c>
      <c r="C112" s="82">
        <f t="shared" si="1"/>
        <v>0.15000000000000002</v>
      </c>
      <c r="D112" s="83" cm="1">
        <f t="array" aca="1" ref="D112" ca="1">IF(ISNUMBER(_xll.VoseSimPercentile(PeakLev,$B112)),_xll.VoseSimPercentile(PeakLev,$B112),NA())</f>
        <v>3.0245862345673111</v>
      </c>
    </row>
    <row r="113" spans="2:7" hidden="1" outlineLevel="1" x14ac:dyDescent="0.45">
      <c r="B113" s="82">
        <v>0.87</v>
      </c>
      <c r="C113" s="82">
        <f t="shared" si="1"/>
        <v>0.13</v>
      </c>
      <c r="D113" s="83" cm="1">
        <f t="array" aca="1" ref="D113" ca="1">IF(ISNUMBER(_xll.VoseSimPercentile(PeakLev,$B113)),_xll.VoseSimPercentile(PeakLev,$B113),NA())</f>
        <v>3.1007576199123044</v>
      </c>
    </row>
    <row r="114" spans="2:7" hidden="1" outlineLevel="1" x14ac:dyDescent="0.45">
      <c r="B114" s="82">
        <v>0.89</v>
      </c>
      <c r="C114" s="82">
        <f t="shared" si="1"/>
        <v>0.10999999999999999</v>
      </c>
      <c r="D114" s="83" cm="1">
        <f t="array" aca="1" ref="D114" ca="1">IF(ISNUMBER(_xll.VoseSimPercentile(PeakLev,$B114)),_xll.VoseSimPercentile(PeakLev,$B114),NA())</f>
        <v>3.193546392490354</v>
      </c>
    </row>
    <row r="115" spans="2:7" hidden="1" outlineLevel="1" x14ac:dyDescent="0.45">
      <c r="B115" s="82">
        <v>0.91</v>
      </c>
      <c r="C115" s="82">
        <f t="shared" si="1"/>
        <v>8.9999999999999969E-2</v>
      </c>
      <c r="D115" s="83" cm="1">
        <f t="array" aca="1" ref="D115" ca="1">IF(ISNUMBER(_xll.VoseSimPercentile(PeakLev,$B115)),_xll.VoseSimPercentile(PeakLev,$B115),NA())</f>
        <v>3.3259107364214513</v>
      </c>
    </row>
    <row r="116" spans="2:7" hidden="1" outlineLevel="1" x14ac:dyDescent="0.45">
      <c r="B116" s="82">
        <v>0.93</v>
      </c>
      <c r="C116" s="82">
        <f t="shared" si="1"/>
        <v>6.9999999999999951E-2</v>
      </c>
      <c r="D116" s="83" cm="1">
        <f t="array" aca="1" ref="D116" ca="1">IF(ISNUMBER(_xll.VoseSimPercentile(PeakLev,$B116)),_xll.VoseSimPercentile(PeakLev,$B116),NA())</f>
        <v>3.4832171480419665</v>
      </c>
    </row>
    <row r="117" spans="2:7" hidden="1" outlineLevel="1" x14ac:dyDescent="0.45">
      <c r="B117" s="82">
        <v>0.95</v>
      </c>
      <c r="C117" s="82">
        <f t="shared" si="1"/>
        <v>5.0000000000000044E-2</v>
      </c>
      <c r="D117" s="83" cm="1">
        <f t="array" aca="1" ref="D117" ca="1">IF(ISNUMBER(_xll.VoseSimPercentile(PeakLev,$B117)),_xll.VoseSimPercentile(PeakLev,$B117),NA())</f>
        <v>3.6961386443069579</v>
      </c>
    </row>
    <row r="118" spans="2:7" hidden="1" outlineLevel="1" x14ac:dyDescent="0.45">
      <c r="B118" s="82">
        <v>0.97</v>
      </c>
      <c r="C118" s="82">
        <f t="shared" si="1"/>
        <v>3.0000000000000027E-2</v>
      </c>
      <c r="D118" s="83" cm="1">
        <f t="array" aca="1" ref="D118" ca="1">IF(ISNUMBER(_xll.VoseSimPercentile(PeakLev,$B118)),_xll.VoseSimPercentile(PeakLev,$B118),NA())</f>
        <v>4.0099392100057711</v>
      </c>
    </row>
    <row r="119" spans="2:7" hidden="1" outlineLevel="1" x14ac:dyDescent="0.45">
      <c r="B119" s="82">
        <v>0.99</v>
      </c>
      <c r="C119" s="82">
        <f t="shared" si="1"/>
        <v>1.0000000000000009E-2</v>
      </c>
      <c r="D119" s="83" cm="1">
        <f t="array" aca="1" ref="D119" ca="1">IF(ISNUMBER(_xll.VoseSimPercentile(PeakLev,$B119)),_xll.VoseSimPercentile(PeakLev,$B119),NA())</f>
        <v>4.8545928651497166</v>
      </c>
    </row>
    <row r="120" spans="2:7" hidden="1" outlineLevel="1" x14ac:dyDescent="0.45"/>
    <row r="121" spans="2:7" hidden="1" outlineLevel="1" x14ac:dyDescent="0.45">
      <c r="B121" s="84" t="s">
        <v>294</v>
      </c>
      <c r="D121" s="85" cm="1">
        <f t="array" aca="1" ref="D121" ca="1">_xll.VoseSimMean(AnyBreach)</f>
        <v>0.1603</v>
      </c>
    </row>
    <row r="122" spans="2:7" ht="18" hidden="1" customHeight="1" outlineLevel="1" x14ac:dyDescent="0.45">
      <c r="B122" s="23" t="s">
        <v>295</v>
      </c>
      <c r="C122" s="5"/>
      <c r="D122" s="5"/>
      <c r="E122" s="5"/>
      <c r="F122" s="24" t="s">
        <v>296</v>
      </c>
      <c r="G122" s="24" t="s">
        <v>297</v>
      </c>
    </row>
    <row r="123" spans="2:7" hidden="1" outlineLevel="1" x14ac:dyDescent="0.45">
      <c r="B123" s="86" t="str">
        <f t="shared" ref="B123:B129" ca="1" si="2">B49</f>
        <v>Рост выручки</v>
      </c>
      <c r="F123" s="87">
        <f t="shared" ref="F123:F129" ca="1" si="3">IFERROR(D49-$D$121,NA())</f>
        <v>0.51870000000000005</v>
      </c>
      <c r="G123" s="87">
        <f t="shared" ref="G123:G129" ca="1" si="4">IFERROR(C49-$D$121,NA())</f>
        <v>-0.15629999999999999</v>
      </c>
    </row>
    <row r="124" spans="2:7" hidden="1" outlineLevel="1" x14ac:dyDescent="0.45">
      <c r="B124" s="86" t="str">
        <f t="shared" ca="1" si="2"/>
        <v>Рентабельность по EBITDA</v>
      </c>
      <c r="F124" s="87">
        <f t="shared" ca="1" si="3"/>
        <v>0.1527</v>
      </c>
      <c r="G124" s="87">
        <f t="shared" ca="1" si="4"/>
        <v>-9.9299999999999999E-2</v>
      </c>
    </row>
    <row r="125" spans="2:7" hidden="1" outlineLevel="1" x14ac:dyDescent="0.45">
      <c r="B125" s="86" t="str">
        <f t="shared" ca="1" si="2"/>
        <v>Доля капитальных затрат</v>
      </c>
      <c r="F125" s="87">
        <f t="shared" ca="1" si="3"/>
        <v>6.0700000000000004E-2</v>
      </c>
      <c r="G125" s="87">
        <f t="shared" ca="1" si="4"/>
        <v>-3.5299999999999998E-2</v>
      </c>
    </row>
    <row r="126" spans="2:7" hidden="1" outlineLevel="1" x14ac:dyDescent="0.45">
      <c r="B126" s="86" t="str">
        <f t="shared" ca="1" si="2"/>
        <v>Оборачиваемость запасов, дни</v>
      </c>
      <c r="F126" s="87">
        <f t="shared" ca="1" si="3"/>
        <v>5.0699999999999995E-2</v>
      </c>
      <c r="G126" s="87">
        <f t="shared" ca="1" si="4"/>
        <v>-2.9299999999999993E-2</v>
      </c>
    </row>
    <row r="127" spans="2:7" hidden="1" outlineLevel="1" x14ac:dyDescent="0.45">
      <c r="B127" s="86" t="str">
        <f t="shared" ca="1" si="2"/>
        <v>Оборачиваемость дебиторской задолженности, дни</v>
      </c>
      <c r="F127" s="87">
        <f t="shared" ca="1" si="3"/>
        <v>4.0700000000000014E-2</v>
      </c>
      <c r="G127" s="87">
        <f t="shared" ca="1" si="4"/>
        <v>-3.2299999999999995E-2</v>
      </c>
    </row>
    <row r="128" spans="2:7" hidden="1" outlineLevel="1" x14ac:dyDescent="0.45">
      <c r="B128" s="86" t="str">
        <f t="shared" ca="1" si="2"/>
        <v>Оборачиваемость кредиторской задолженности, дни</v>
      </c>
      <c r="F128" s="87">
        <f t="shared" ca="1" si="3"/>
        <v>1.6699999999999993E-2</v>
      </c>
      <c r="G128" s="87">
        <f t="shared" ca="1" si="4"/>
        <v>-2.5299999999999989E-2</v>
      </c>
    </row>
    <row r="129" spans="2:8" hidden="1" outlineLevel="1" x14ac:dyDescent="0.45">
      <c r="B129" s="86" t="str">
        <f t="shared" ca="1" si="2"/>
        <v>Базовая ставка</v>
      </c>
      <c r="F129" s="87">
        <f t="shared" ca="1" si="3"/>
        <v>1.7699999999999994E-2</v>
      </c>
      <c r="G129" s="87">
        <f t="shared" ca="1" si="4"/>
        <v>-1.3300000000000006E-2</v>
      </c>
    </row>
    <row r="130" spans="2:8" hidden="1" outlineLevel="1" x14ac:dyDescent="0.45"/>
    <row r="131" spans="2:8" ht="28.05" hidden="1" customHeight="1" outlineLevel="1" x14ac:dyDescent="0.45">
      <c r="B131" s="23" t="s">
        <v>298</v>
      </c>
      <c r="C131" s="24" t="s">
        <v>299</v>
      </c>
      <c r="D131" s="24" t="s">
        <v>272</v>
      </c>
      <c r="E131" s="24" t="s">
        <v>300</v>
      </c>
      <c r="F131" s="24" t="s">
        <v>128</v>
      </c>
      <c r="G131" s="24" t="s">
        <v>76</v>
      </c>
      <c r="H131" s="24" t="s">
        <v>301</v>
      </c>
    </row>
    <row r="132" spans="2:8" hidden="1" outlineLevel="1" x14ac:dyDescent="0.45">
      <c r="B132" s="88">
        <f>'Прогноз'!G7</f>
        <v>2027</v>
      </c>
      <c r="C132" s="83" cm="1">
        <f t="array" aca="1" ref="C132" ca="1">IF(ISNUMBER(_xll.VoseSimPercentile('Прогноз'!G63,0.1)),_xll.VoseSimPercentile('Прогноз'!G63,0.1),NA())</f>
        <v>1.6632367299583539</v>
      </c>
      <c r="D132" s="83" cm="1">
        <f t="array" aca="1" ref="D132" ca="1">IF(ISNUMBER(_xll.VoseSimPercentile('Прогноз'!G63,0.5)),_xll.VoseSimPercentile('Прогноз'!G63,0.5),NA())</f>
        <v>2.1869489350594491</v>
      </c>
      <c r="E132" s="83" cm="1">
        <f t="array" aca="1" ref="E132" ca="1">IF(ISNUMBER(_xll.VoseSimPercentile('Прогноз'!G63,0.9)),_xll.VoseSimPercentile('Прогноз'!G63,0.9),NA())</f>
        <v>2.9558627550390488</v>
      </c>
      <c r="F132" s="83" cm="1">
        <f t="array" aca="1" ref="F132" ca="1">IF(ISNUMBER(_xll.VoseSimMean('Прогноз'!G63)),_xll.VoseSimMean('Прогноз'!G63),NA())</f>
        <v>2.2674447471950856</v>
      </c>
      <c r="G132" s="83">
        <f>'Прогноз'!G122</f>
        <v>2.138864374780471</v>
      </c>
      <c r="H132" s="83">
        <f>LevMax</f>
        <v>3</v>
      </c>
    </row>
    <row r="133" spans="2:8" hidden="1" outlineLevel="1" x14ac:dyDescent="0.45">
      <c r="B133" s="88">
        <f>'Прогноз'!H7</f>
        <v>2028</v>
      </c>
      <c r="C133" s="83" cm="1">
        <f t="array" aca="1" ref="C133" ca="1">IF(ISNUMBER(_xll.VoseSimPercentile('Прогноз'!H63,0.1)),_xll.VoseSimPercentile('Прогноз'!H63,0.1),NA())</f>
        <v>1.3403050703634185</v>
      </c>
      <c r="D133" s="83" cm="1">
        <f t="array" aca="1" ref="D133" ca="1">IF(ISNUMBER(_xll.VoseSimPercentile('Прогноз'!H63,0.5)),_xll.VoseSimPercentile('Прогноз'!H63,0.5),NA())</f>
        <v>1.8932853925051163</v>
      </c>
      <c r="E133" s="83" cm="1">
        <f t="array" aca="1" ref="E133" ca="1">IF(ISNUMBER(_xll.VoseSimPercentile('Прогноз'!H63,0.9)),_xll.VoseSimPercentile('Прогноз'!H63,0.9),NA())</f>
        <v>2.8016306305462733</v>
      </c>
      <c r="F133" s="83" cm="1">
        <f t="array" aca="1" ref="F133" ca="1">IF(ISNUMBER(_xll.VoseSimMean('Прогноз'!H63)),_xll.VoseSimMean('Прогноз'!H63),NA())</f>
        <v>2.0093582537471826</v>
      </c>
      <c r="G133" s="83">
        <f>'Прогноз'!H122</f>
        <v>1.867072879271481</v>
      </c>
      <c r="H133" s="83">
        <f>LevMax</f>
        <v>3</v>
      </c>
    </row>
    <row r="134" spans="2:8" hidden="1" outlineLevel="1" x14ac:dyDescent="0.45">
      <c r="B134" s="88">
        <f>'Прогноз'!I7</f>
        <v>2029</v>
      </c>
      <c r="C134" s="83" cm="1">
        <f t="array" aca="1" ref="C134" ca="1">IF(ISNUMBER(_xll.VoseSimPercentile('Прогноз'!I63,0.1)),_xll.VoseSimPercentile('Прогноз'!I63,0.1),NA())</f>
        <v>1.0743000580521564</v>
      </c>
      <c r="D134" s="83" cm="1">
        <f t="array" aca="1" ref="D134" ca="1">IF(ISNUMBER(_xll.VoseSimPercentile('Прогноз'!I63,0.5)),_xll.VoseSimPercentile('Прогноз'!I63,0.5),NA())</f>
        <v>1.6334069052039506</v>
      </c>
      <c r="E134" s="83" cm="1">
        <f t="array" aca="1" ref="E134" ca="1">IF(ISNUMBER(_xll.VoseSimPercentile('Прогноз'!I63,0.9)),_xll.VoseSimPercentile('Прогноз'!I63,0.9),NA())</f>
        <v>2.5464725575498943</v>
      </c>
      <c r="F134" s="83" cm="1">
        <f t="array" aca="1" ref="F134" ca="1">IF(ISNUMBER(_xll.VoseSimMean('Прогноз'!I63)),_xll.VoseSimMean('Прогноз'!I63),NA())</f>
        <v>1.7491781791075127</v>
      </c>
      <c r="G134" s="83">
        <f>'Прогноз'!I122</f>
        <v>1.6007915050980155</v>
      </c>
      <c r="H134" s="83">
        <f>LevMax</f>
        <v>3</v>
      </c>
    </row>
    <row r="135" spans="2:8" hidden="1" outlineLevel="1" x14ac:dyDescent="0.45">
      <c r="B135" s="88">
        <f>'Прогноз'!J7</f>
        <v>2030</v>
      </c>
      <c r="C135" s="83" cm="1">
        <f t="array" aca="1" ref="C135" ca="1">IF(ISNUMBER(_xll.VoseSimPercentile('Прогноз'!J63,0.1)),_xll.VoseSimPercentile('Прогноз'!J63,0.1),NA())</f>
        <v>0.83798470183072871</v>
      </c>
      <c r="D135" s="83" cm="1">
        <f t="array" aca="1" ref="D135" ca="1">IF(ISNUMBER(_xll.VoseSimPercentile('Прогноз'!J63,0.5)),_xll.VoseSimPercentile('Прогноз'!J63,0.5),NA())</f>
        <v>1.3813850618250332</v>
      </c>
      <c r="E135" s="83" cm="1">
        <f t="array" aca="1" ref="E135" ca="1">IF(ISNUMBER(_xll.VoseSimPercentile('Прогноз'!J63,0.9)),_xll.VoseSimPercentile('Прогноз'!J63,0.9),NA())</f>
        <v>2.2550674464210778</v>
      </c>
      <c r="F135" s="83" cm="1">
        <f t="array" aca="1" ref="F135" ca="1">IF(ISNUMBER(_xll.VoseSimMean('Прогноз'!J63)),_xll.VoseSimMean('Прогноз'!J63),NA())</f>
        <v>1.4953027873919669</v>
      </c>
      <c r="G135" s="83">
        <f>'Прогноз'!J122</f>
        <v>1.3395864955897567</v>
      </c>
      <c r="H135" s="83">
        <f>LevMax</f>
        <v>3</v>
      </c>
    </row>
    <row r="136" spans="2:8" hidden="1" outlineLevel="1" x14ac:dyDescent="0.45">
      <c r="B136" s="88">
        <f>'Прогноз'!K7</f>
        <v>2031</v>
      </c>
      <c r="C136" s="83" cm="1">
        <f t="array" aca="1" ref="C136" ca="1">IF(ISNUMBER(_xll.VoseSimPercentile('Прогноз'!K63,0.1)),_xll.VoseSimPercentile('Прогноз'!K63,0.1),NA())</f>
        <v>0.60740071769258719</v>
      </c>
      <c r="D136" s="83" cm="1">
        <f t="array" aca="1" ref="D136" ca="1">IF(ISNUMBER(_xll.VoseSimPercentile('Прогноз'!K63,0.5)),_xll.VoseSimPercentile('Прогноз'!K63,0.5),NA())</f>
        <v>1.1333794770413927</v>
      </c>
      <c r="E136" s="83" cm="1">
        <f t="array" aca="1" ref="E136" ca="1">IF(ISNUMBER(_xll.VoseSimPercentile('Прогноз'!K63,0.9)),_xll.VoseSimPercentile('Прогноз'!K63,0.9),NA())</f>
        <v>1.9663594733991832</v>
      </c>
      <c r="F136" s="83" cm="1">
        <f t="array" aca="1" ref="F136" ca="1">IF(ISNUMBER(_xll.VoseSimMean('Прогноз'!K63)),_xll.VoseSimMean('Прогноз'!K63),NA())</f>
        <v>1.2426309153188531</v>
      </c>
      <c r="G136" s="83">
        <f>'Прогноз'!K122</f>
        <v>1.083081851592929</v>
      </c>
      <c r="H136" s="83">
        <f>LevMax</f>
        <v>3</v>
      </c>
    </row>
  </sheetData>
  <mergeCells count="4">
    <mergeCell ref="B62:G62"/>
    <mergeCell ref="B64:G64"/>
    <mergeCell ref="B63:G63"/>
    <mergeCell ref="B61:G61"/>
  </mergeCells>
  <conditionalFormatting sqref="B7">
    <cfRule type="expression" dxfId="4" priority="2">
      <formula>LEFT($B$7,1)="✗"</formula>
    </cfRule>
  </conditionalFormatting>
  <conditionalFormatting sqref="B6:G6">
    <cfRule type="expression" dxfId="3" priority="1">
      <formula>LEFT($B$6,1)&lt;&gt;"✔"</formula>
    </cfRule>
  </conditionalFormatting>
  <conditionalFormatting sqref="C132:F136">
    <cfRule type="expression" dxfId="2" priority="5">
      <formula>ISNA(C132)</formula>
    </cfRule>
  </conditionalFormatting>
  <conditionalFormatting sqref="D70:D119">
    <cfRule type="expression" dxfId="1" priority="3">
      <formula>ISNA(D70)</formula>
    </cfRule>
  </conditionalFormatting>
  <conditionalFormatting sqref="F123:G129">
    <cfRule type="expression" dxfId="0" priority="4">
      <formula>ISNA(F123)</formula>
    </cfRule>
  </conditionalFormatting>
  <hyperlinks>
    <hyperlink ref="B4" location="'Прогноз'!A1" display="◂  Прогноз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AB519-C1BF-497C-84BE-909D9D7C6A9C}">
  <dimension ref="A1:B1"/>
  <sheetViews>
    <sheetView workbookViewId="0"/>
  </sheetViews>
  <sheetFormatPr defaultRowHeight="14.25" x14ac:dyDescent="0.45"/>
  <sheetData>
    <row r="1" spans="1:2" x14ac:dyDescent="0.45">
      <c r="A1" s="93" t="s">
        <v>302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0FFFA-7B98-4E92-B5B6-D5D2A88E9EA9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57C55-5A11-461D-8048-F9F61F91C487}">
  <dimension ref="B3:B312"/>
  <sheetViews>
    <sheetView workbookViewId="0"/>
  </sheetViews>
  <sheetFormatPr defaultRowHeight="14.25" x14ac:dyDescent="0.45"/>
  <sheetData>
    <row r="3" spans="2:2" x14ac:dyDescent="0.45">
      <c r="B3">
        <v>297</v>
      </c>
    </row>
    <row r="4" spans="2:2" x14ac:dyDescent="0.45">
      <c r="B4">
        <v>940</v>
      </c>
    </row>
    <row r="5" spans="2:2" x14ac:dyDescent="0.45">
      <c r="B5">
        <v>541</v>
      </c>
    </row>
    <row r="6" spans="2:2" x14ac:dyDescent="0.45">
      <c r="B6">
        <v>153</v>
      </c>
    </row>
    <row r="7" spans="2:2" x14ac:dyDescent="0.45">
      <c r="B7">
        <v>54</v>
      </c>
    </row>
    <row r="8" spans="2:2" x14ac:dyDescent="0.45">
      <c r="B8">
        <v>12</v>
      </c>
    </row>
    <row r="9" spans="2:2" x14ac:dyDescent="0.45">
      <c r="B9">
        <v>1</v>
      </c>
    </row>
    <row r="10" spans="2:2" x14ac:dyDescent="0.45">
      <c r="B10">
        <v>0</v>
      </c>
    </row>
    <row r="11" spans="2:2" x14ac:dyDescent="0.45">
      <c r="B11">
        <v>1</v>
      </c>
    </row>
    <row r="12" spans="2:2" x14ac:dyDescent="0.45">
      <c r="B12">
        <v>1</v>
      </c>
    </row>
    <row r="13" spans="2:2" x14ac:dyDescent="0.45">
      <c r="B13">
        <v>343</v>
      </c>
    </row>
    <row r="14" spans="2:2" x14ac:dyDescent="0.45">
      <c r="B14">
        <v>912</v>
      </c>
    </row>
    <row r="15" spans="2:2" x14ac:dyDescent="0.45">
      <c r="B15">
        <v>500</v>
      </c>
    </row>
    <row r="16" spans="2:2" x14ac:dyDescent="0.45">
      <c r="B16">
        <v>164</v>
      </c>
    </row>
    <row r="17" spans="2:2" x14ac:dyDescent="0.45">
      <c r="B17">
        <v>50</v>
      </c>
    </row>
    <row r="18" spans="2:2" x14ac:dyDescent="0.45">
      <c r="B18">
        <v>23</v>
      </c>
    </row>
    <row r="19" spans="2:2" x14ac:dyDescent="0.45">
      <c r="B19">
        <v>3</v>
      </c>
    </row>
    <row r="20" spans="2:2" x14ac:dyDescent="0.45">
      <c r="B20">
        <v>4</v>
      </c>
    </row>
    <row r="21" spans="2:2" x14ac:dyDescent="0.45">
      <c r="B21">
        <v>0</v>
      </c>
    </row>
    <row r="22" spans="2:2" x14ac:dyDescent="0.45">
      <c r="B22">
        <v>1</v>
      </c>
    </row>
    <row r="23" spans="2:2" x14ac:dyDescent="0.45">
      <c r="B23">
        <v>926</v>
      </c>
    </row>
    <row r="24" spans="2:2" x14ac:dyDescent="0.45">
      <c r="B24">
        <v>881</v>
      </c>
    </row>
    <row r="25" spans="2:2" x14ac:dyDescent="0.45">
      <c r="B25">
        <v>159</v>
      </c>
    </row>
    <row r="26" spans="2:2" x14ac:dyDescent="0.45">
      <c r="B26">
        <v>22</v>
      </c>
    </row>
    <row r="27" spans="2:2" x14ac:dyDescent="0.45">
      <c r="B27">
        <v>8</v>
      </c>
    </row>
    <row r="28" spans="2:2" x14ac:dyDescent="0.45">
      <c r="B28">
        <v>2</v>
      </c>
    </row>
    <row r="29" spans="2:2" x14ac:dyDescent="0.45">
      <c r="B29">
        <v>0</v>
      </c>
    </row>
    <row r="30" spans="2:2" x14ac:dyDescent="0.45">
      <c r="B30">
        <v>1</v>
      </c>
    </row>
    <row r="31" spans="2:2" x14ac:dyDescent="0.45">
      <c r="B31">
        <v>0</v>
      </c>
    </row>
    <row r="32" spans="2:2" x14ac:dyDescent="0.45">
      <c r="B32">
        <v>1</v>
      </c>
    </row>
    <row r="33" spans="2:2" x14ac:dyDescent="0.45">
      <c r="B33">
        <v>393</v>
      </c>
    </row>
    <row r="34" spans="2:2" x14ac:dyDescent="0.45">
      <c r="B34">
        <v>955</v>
      </c>
    </row>
    <row r="35" spans="2:2" x14ac:dyDescent="0.45">
      <c r="B35">
        <v>455</v>
      </c>
    </row>
    <row r="36" spans="2:2" x14ac:dyDescent="0.45">
      <c r="B36">
        <v>139</v>
      </c>
    </row>
    <row r="37" spans="2:2" x14ac:dyDescent="0.45">
      <c r="B37">
        <v>34</v>
      </c>
    </row>
    <row r="38" spans="2:2" x14ac:dyDescent="0.45">
      <c r="B38">
        <v>10</v>
      </c>
    </row>
    <row r="39" spans="2:2" x14ac:dyDescent="0.45">
      <c r="B39">
        <v>8</v>
      </c>
    </row>
    <row r="40" spans="2:2" x14ac:dyDescent="0.45">
      <c r="B40">
        <v>3</v>
      </c>
    </row>
    <row r="41" spans="2:2" x14ac:dyDescent="0.45">
      <c r="B41">
        <v>2</v>
      </c>
    </row>
    <row r="42" spans="2:2" x14ac:dyDescent="0.45">
      <c r="B42">
        <v>1</v>
      </c>
    </row>
    <row r="43" spans="2:2" x14ac:dyDescent="0.45">
      <c r="B43">
        <v>263</v>
      </c>
    </row>
    <row r="44" spans="2:2" x14ac:dyDescent="0.45">
      <c r="B44">
        <v>818</v>
      </c>
    </row>
    <row r="45" spans="2:2" x14ac:dyDescent="0.45">
      <c r="B45">
        <v>584</v>
      </c>
    </row>
    <row r="46" spans="2:2" x14ac:dyDescent="0.45">
      <c r="B46">
        <v>217</v>
      </c>
    </row>
    <row r="47" spans="2:2" x14ac:dyDescent="0.45">
      <c r="B47">
        <v>70</v>
      </c>
    </row>
    <row r="48" spans="2:2" x14ac:dyDescent="0.45">
      <c r="B48">
        <v>21</v>
      </c>
    </row>
    <row r="49" spans="2:2" x14ac:dyDescent="0.45">
      <c r="B49">
        <v>15</v>
      </c>
    </row>
    <row r="50" spans="2:2" x14ac:dyDescent="0.45">
      <c r="B50">
        <v>5</v>
      </c>
    </row>
    <row r="51" spans="2:2" x14ac:dyDescent="0.45">
      <c r="B51">
        <v>4</v>
      </c>
    </row>
    <row r="52" spans="2:2" x14ac:dyDescent="0.45">
      <c r="B52">
        <v>3</v>
      </c>
    </row>
    <row r="53" spans="2:2" x14ac:dyDescent="0.45">
      <c r="B53">
        <v>1808</v>
      </c>
    </row>
    <row r="54" spans="2:2" x14ac:dyDescent="0.45">
      <c r="B54">
        <v>0</v>
      </c>
    </row>
    <row r="55" spans="2:2" x14ac:dyDescent="0.45">
      <c r="B55">
        <v>0</v>
      </c>
    </row>
    <row r="56" spans="2:2" x14ac:dyDescent="0.45">
      <c r="B56">
        <v>0</v>
      </c>
    </row>
    <row r="57" spans="2:2" x14ac:dyDescent="0.45">
      <c r="B57">
        <v>0</v>
      </c>
    </row>
    <row r="58" spans="2:2" x14ac:dyDescent="0.45">
      <c r="B58">
        <v>0</v>
      </c>
    </row>
    <row r="59" spans="2:2" x14ac:dyDescent="0.45">
      <c r="B59">
        <v>0</v>
      </c>
    </row>
    <row r="60" spans="2:2" x14ac:dyDescent="0.45">
      <c r="B60">
        <v>0</v>
      </c>
    </row>
    <row r="61" spans="2:2" x14ac:dyDescent="0.45">
      <c r="B61">
        <v>0</v>
      </c>
    </row>
    <row r="62" spans="2:2" x14ac:dyDescent="0.45">
      <c r="B62">
        <v>192</v>
      </c>
    </row>
    <row r="63" spans="2:2" x14ac:dyDescent="0.45">
      <c r="B63">
        <v>1846</v>
      </c>
    </row>
    <row r="64" spans="2:2" x14ac:dyDescent="0.45">
      <c r="B64">
        <v>0</v>
      </c>
    </row>
    <row r="65" spans="2:2" x14ac:dyDescent="0.45">
      <c r="B65">
        <v>0</v>
      </c>
    </row>
    <row r="66" spans="2:2" x14ac:dyDescent="0.45">
      <c r="B66">
        <v>0</v>
      </c>
    </row>
    <row r="67" spans="2:2" x14ac:dyDescent="0.45">
      <c r="B67">
        <v>0</v>
      </c>
    </row>
    <row r="68" spans="2:2" x14ac:dyDescent="0.45">
      <c r="B68">
        <v>0</v>
      </c>
    </row>
    <row r="69" spans="2:2" x14ac:dyDescent="0.45">
      <c r="B69">
        <v>0</v>
      </c>
    </row>
    <row r="70" spans="2:2" x14ac:dyDescent="0.45">
      <c r="B70">
        <v>0</v>
      </c>
    </row>
    <row r="71" spans="2:2" x14ac:dyDescent="0.45">
      <c r="B71">
        <v>0</v>
      </c>
    </row>
    <row r="72" spans="2:2" x14ac:dyDescent="0.45">
      <c r="B72">
        <v>154</v>
      </c>
    </row>
    <row r="73" spans="2:2" x14ac:dyDescent="0.45">
      <c r="B73">
        <v>1897</v>
      </c>
    </row>
    <row r="74" spans="2:2" x14ac:dyDescent="0.45">
      <c r="B74">
        <v>0</v>
      </c>
    </row>
    <row r="75" spans="2:2" x14ac:dyDescent="0.45">
      <c r="B75">
        <v>0</v>
      </c>
    </row>
    <row r="76" spans="2:2" x14ac:dyDescent="0.45">
      <c r="B76">
        <v>0</v>
      </c>
    </row>
    <row r="77" spans="2:2" x14ac:dyDescent="0.45">
      <c r="B77">
        <v>0</v>
      </c>
    </row>
    <row r="78" spans="2:2" x14ac:dyDescent="0.45">
      <c r="B78">
        <v>0</v>
      </c>
    </row>
    <row r="79" spans="2:2" x14ac:dyDescent="0.45">
      <c r="B79">
        <v>0</v>
      </c>
    </row>
    <row r="80" spans="2:2" x14ac:dyDescent="0.45">
      <c r="B80">
        <v>0</v>
      </c>
    </row>
    <row r="81" spans="2:2" x14ac:dyDescent="0.45">
      <c r="B81">
        <v>0</v>
      </c>
    </row>
    <row r="82" spans="2:2" x14ac:dyDescent="0.45">
      <c r="B82">
        <v>103</v>
      </c>
    </row>
    <row r="83" spans="2:2" x14ac:dyDescent="0.45">
      <c r="B83">
        <v>1945</v>
      </c>
    </row>
    <row r="84" spans="2:2" x14ac:dyDescent="0.45">
      <c r="B84">
        <v>0</v>
      </c>
    </row>
    <row r="85" spans="2:2" x14ac:dyDescent="0.45">
      <c r="B85">
        <v>0</v>
      </c>
    </row>
    <row r="86" spans="2:2" x14ac:dyDescent="0.45">
      <c r="B86">
        <v>0</v>
      </c>
    </row>
    <row r="87" spans="2:2" x14ac:dyDescent="0.45">
      <c r="B87">
        <v>0</v>
      </c>
    </row>
    <row r="88" spans="2:2" x14ac:dyDescent="0.45">
      <c r="B88">
        <v>0</v>
      </c>
    </row>
    <row r="89" spans="2:2" x14ac:dyDescent="0.45">
      <c r="B89">
        <v>0</v>
      </c>
    </row>
    <row r="90" spans="2:2" x14ac:dyDescent="0.45">
      <c r="B90">
        <v>0</v>
      </c>
    </row>
    <row r="91" spans="2:2" x14ac:dyDescent="0.45">
      <c r="B91">
        <v>0</v>
      </c>
    </row>
    <row r="92" spans="2:2" x14ac:dyDescent="0.45">
      <c r="B92">
        <v>55</v>
      </c>
    </row>
    <row r="93" spans="2:2" x14ac:dyDescent="0.45">
      <c r="B93">
        <v>1967</v>
      </c>
    </row>
    <row r="94" spans="2:2" x14ac:dyDescent="0.45">
      <c r="B94">
        <v>0</v>
      </c>
    </row>
    <row r="95" spans="2:2" x14ac:dyDescent="0.45">
      <c r="B95">
        <v>0</v>
      </c>
    </row>
    <row r="96" spans="2:2" x14ac:dyDescent="0.45">
      <c r="B96">
        <v>0</v>
      </c>
    </row>
    <row r="97" spans="2:2" x14ac:dyDescent="0.45">
      <c r="B97">
        <v>0</v>
      </c>
    </row>
    <row r="98" spans="2:2" x14ac:dyDescent="0.45">
      <c r="B98">
        <v>0</v>
      </c>
    </row>
    <row r="99" spans="2:2" x14ac:dyDescent="0.45">
      <c r="B99">
        <v>0</v>
      </c>
    </row>
    <row r="100" spans="2:2" x14ac:dyDescent="0.45">
      <c r="B100">
        <v>0</v>
      </c>
    </row>
    <row r="101" spans="2:2" x14ac:dyDescent="0.45">
      <c r="B101">
        <v>0</v>
      </c>
    </row>
    <row r="102" spans="2:2" x14ac:dyDescent="0.45">
      <c r="B102">
        <v>33</v>
      </c>
    </row>
    <row r="103" spans="2:2" x14ac:dyDescent="0.45">
      <c r="B103">
        <v>1935</v>
      </c>
    </row>
    <row r="104" spans="2:2" x14ac:dyDescent="0.45">
      <c r="B104">
        <v>0</v>
      </c>
    </row>
    <row r="105" spans="2:2" x14ac:dyDescent="0.45">
      <c r="B105">
        <v>0</v>
      </c>
    </row>
    <row r="106" spans="2:2" x14ac:dyDescent="0.45">
      <c r="B106">
        <v>0</v>
      </c>
    </row>
    <row r="107" spans="2:2" x14ac:dyDescent="0.45">
      <c r="B107">
        <v>0</v>
      </c>
    </row>
    <row r="108" spans="2:2" x14ac:dyDescent="0.45">
      <c r="B108">
        <v>0</v>
      </c>
    </row>
    <row r="109" spans="2:2" x14ac:dyDescent="0.45">
      <c r="B109">
        <v>0</v>
      </c>
    </row>
    <row r="110" spans="2:2" x14ac:dyDescent="0.45">
      <c r="B110">
        <v>0</v>
      </c>
    </row>
    <row r="111" spans="2:2" x14ac:dyDescent="0.45">
      <c r="B111">
        <v>0</v>
      </c>
    </row>
    <row r="112" spans="2:2" x14ac:dyDescent="0.45">
      <c r="B112">
        <v>65</v>
      </c>
    </row>
    <row r="113" spans="2:2" x14ac:dyDescent="0.45">
      <c r="B113">
        <v>1903</v>
      </c>
    </row>
    <row r="114" spans="2:2" x14ac:dyDescent="0.45">
      <c r="B114">
        <v>0</v>
      </c>
    </row>
    <row r="115" spans="2:2" x14ac:dyDescent="0.45">
      <c r="B115">
        <v>0</v>
      </c>
    </row>
    <row r="116" spans="2:2" x14ac:dyDescent="0.45">
      <c r="B116">
        <v>0</v>
      </c>
    </row>
    <row r="117" spans="2:2" x14ac:dyDescent="0.45">
      <c r="B117">
        <v>0</v>
      </c>
    </row>
    <row r="118" spans="2:2" x14ac:dyDescent="0.45">
      <c r="B118">
        <v>0</v>
      </c>
    </row>
    <row r="119" spans="2:2" x14ac:dyDescent="0.45">
      <c r="B119">
        <v>0</v>
      </c>
    </row>
    <row r="120" spans="2:2" x14ac:dyDescent="0.45">
      <c r="B120">
        <v>0</v>
      </c>
    </row>
    <row r="121" spans="2:2" x14ac:dyDescent="0.45">
      <c r="B121">
        <v>0</v>
      </c>
    </row>
    <row r="122" spans="2:2" x14ac:dyDescent="0.45">
      <c r="B122">
        <v>97</v>
      </c>
    </row>
    <row r="123" spans="2:2" x14ac:dyDescent="0.45">
      <c r="B123">
        <v>1931</v>
      </c>
    </row>
    <row r="124" spans="2:2" x14ac:dyDescent="0.45">
      <c r="B124">
        <v>0</v>
      </c>
    </row>
    <row r="125" spans="2:2" x14ac:dyDescent="0.45">
      <c r="B125">
        <v>0</v>
      </c>
    </row>
    <row r="126" spans="2:2" x14ac:dyDescent="0.45">
      <c r="B126">
        <v>0</v>
      </c>
    </row>
    <row r="127" spans="2:2" x14ac:dyDescent="0.45">
      <c r="B127">
        <v>0</v>
      </c>
    </row>
    <row r="128" spans="2:2" x14ac:dyDescent="0.45">
      <c r="B128">
        <v>0</v>
      </c>
    </row>
    <row r="129" spans="2:2" x14ac:dyDescent="0.45">
      <c r="B129">
        <v>0</v>
      </c>
    </row>
    <row r="130" spans="2:2" x14ac:dyDescent="0.45">
      <c r="B130">
        <v>0</v>
      </c>
    </row>
    <row r="131" spans="2:2" x14ac:dyDescent="0.45">
      <c r="B131">
        <v>0</v>
      </c>
    </row>
    <row r="132" spans="2:2" x14ac:dyDescent="0.45">
      <c r="B132">
        <v>69</v>
      </c>
    </row>
    <row r="133" spans="2:2" x14ac:dyDescent="0.45">
      <c r="B133">
        <v>1957</v>
      </c>
    </row>
    <row r="134" spans="2:2" x14ac:dyDescent="0.45">
      <c r="B134">
        <v>0</v>
      </c>
    </row>
    <row r="135" spans="2:2" x14ac:dyDescent="0.45">
      <c r="B135">
        <v>0</v>
      </c>
    </row>
    <row r="136" spans="2:2" x14ac:dyDescent="0.45">
      <c r="B136">
        <v>0</v>
      </c>
    </row>
    <row r="137" spans="2:2" x14ac:dyDescent="0.45">
      <c r="B137">
        <v>0</v>
      </c>
    </row>
    <row r="138" spans="2:2" x14ac:dyDescent="0.45">
      <c r="B138">
        <v>0</v>
      </c>
    </row>
    <row r="139" spans="2:2" x14ac:dyDescent="0.45">
      <c r="B139">
        <v>0</v>
      </c>
    </row>
    <row r="140" spans="2:2" x14ac:dyDescent="0.45">
      <c r="B140">
        <v>0</v>
      </c>
    </row>
    <row r="141" spans="2:2" x14ac:dyDescent="0.45">
      <c r="B141">
        <v>0</v>
      </c>
    </row>
    <row r="142" spans="2:2" x14ac:dyDescent="0.45">
      <c r="B142">
        <v>43</v>
      </c>
    </row>
    <row r="143" spans="2:2" x14ac:dyDescent="0.45">
      <c r="B143">
        <v>1966</v>
      </c>
    </row>
    <row r="144" spans="2:2" x14ac:dyDescent="0.45">
      <c r="B144">
        <v>0</v>
      </c>
    </row>
    <row r="145" spans="2:2" x14ac:dyDescent="0.45">
      <c r="B145">
        <v>0</v>
      </c>
    </row>
    <row r="146" spans="2:2" x14ac:dyDescent="0.45">
      <c r="B146">
        <v>0</v>
      </c>
    </row>
    <row r="147" spans="2:2" x14ac:dyDescent="0.45">
      <c r="B147">
        <v>0</v>
      </c>
    </row>
    <row r="148" spans="2:2" x14ac:dyDescent="0.45">
      <c r="B148">
        <v>0</v>
      </c>
    </row>
    <row r="149" spans="2:2" x14ac:dyDescent="0.45">
      <c r="B149">
        <v>0</v>
      </c>
    </row>
    <row r="150" spans="2:2" x14ac:dyDescent="0.45">
      <c r="B150">
        <v>0</v>
      </c>
    </row>
    <row r="151" spans="2:2" x14ac:dyDescent="0.45">
      <c r="B151">
        <v>0</v>
      </c>
    </row>
    <row r="152" spans="2:2" x14ac:dyDescent="0.45">
      <c r="B152">
        <v>34</v>
      </c>
    </row>
    <row r="153" spans="2:2" x14ac:dyDescent="0.45">
      <c r="B153">
        <v>0</v>
      </c>
    </row>
    <row r="154" spans="2:2" x14ac:dyDescent="0.45">
      <c r="B154">
        <v>0</v>
      </c>
    </row>
    <row r="155" spans="2:2" x14ac:dyDescent="0.45">
      <c r="B155">
        <v>0</v>
      </c>
    </row>
    <row r="156" spans="2:2" x14ac:dyDescent="0.45">
      <c r="B156">
        <v>0</v>
      </c>
    </row>
    <row r="157" spans="2:2" x14ac:dyDescent="0.45">
      <c r="B157">
        <v>0</v>
      </c>
    </row>
    <row r="158" spans="2:2" x14ac:dyDescent="0.45">
      <c r="B158">
        <v>2000</v>
      </c>
    </row>
    <row r="159" spans="2:2" x14ac:dyDescent="0.45">
      <c r="B159">
        <v>0</v>
      </c>
    </row>
    <row r="160" spans="2:2" x14ac:dyDescent="0.45">
      <c r="B160">
        <v>0</v>
      </c>
    </row>
    <row r="161" spans="2:2" x14ac:dyDescent="0.45">
      <c r="B161">
        <v>0</v>
      </c>
    </row>
    <row r="162" spans="2:2" x14ac:dyDescent="0.45">
      <c r="B162">
        <v>0</v>
      </c>
    </row>
    <row r="163" spans="2:2" x14ac:dyDescent="0.45">
      <c r="B163">
        <v>0</v>
      </c>
    </row>
    <row r="164" spans="2:2" x14ac:dyDescent="0.45">
      <c r="B164">
        <v>0</v>
      </c>
    </row>
    <row r="165" spans="2:2" x14ac:dyDescent="0.45">
      <c r="B165">
        <v>0</v>
      </c>
    </row>
    <row r="166" spans="2:2" x14ac:dyDescent="0.45">
      <c r="B166">
        <v>0</v>
      </c>
    </row>
    <row r="167" spans="2:2" x14ac:dyDescent="0.45">
      <c r="B167">
        <v>0</v>
      </c>
    </row>
    <row r="168" spans="2:2" x14ac:dyDescent="0.45">
      <c r="B168">
        <v>2000</v>
      </c>
    </row>
    <row r="169" spans="2:2" x14ac:dyDescent="0.45">
      <c r="B169">
        <v>0</v>
      </c>
    </row>
    <row r="170" spans="2:2" x14ac:dyDescent="0.45">
      <c r="B170">
        <v>0</v>
      </c>
    </row>
    <row r="171" spans="2:2" x14ac:dyDescent="0.45">
      <c r="B171">
        <v>0</v>
      </c>
    </row>
    <row r="172" spans="2:2" x14ac:dyDescent="0.45">
      <c r="B172">
        <v>0</v>
      </c>
    </row>
    <row r="173" spans="2:2" x14ac:dyDescent="0.45">
      <c r="B173">
        <v>0</v>
      </c>
    </row>
    <row r="174" spans="2:2" x14ac:dyDescent="0.45">
      <c r="B174">
        <v>0</v>
      </c>
    </row>
    <row r="175" spans="2:2" x14ac:dyDescent="0.45">
      <c r="B175">
        <v>0</v>
      </c>
    </row>
    <row r="176" spans="2:2" x14ac:dyDescent="0.45">
      <c r="B176">
        <v>0</v>
      </c>
    </row>
    <row r="177" spans="2:2" x14ac:dyDescent="0.45">
      <c r="B177">
        <v>0</v>
      </c>
    </row>
    <row r="178" spans="2:2" x14ac:dyDescent="0.45">
      <c r="B178">
        <v>2000</v>
      </c>
    </row>
    <row r="179" spans="2:2" x14ac:dyDescent="0.45">
      <c r="B179">
        <v>0</v>
      </c>
    </row>
    <row r="180" spans="2:2" x14ac:dyDescent="0.45">
      <c r="B180">
        <v>0</v>
      </c>
    </row>
    <row r="181" spans="2:2" x14ac:dyDescent="0.45">
      <c r="B181">
        <v>0</v>
      </c>
    </row>
    <row r="182" spans="2:2" x14ac:dyDescent="0.45">
      <c r="B182">
        <v>0</v>
      </c>
    </row>
    <row r="183" spans="2:2" x14ac:dyDescent="0.45">
      <c r="B183">
        <v>0</v>
      </c>
    </row>
    <row r="184" spans="2:2" x14ac:dyDescent="0.45">
      <c r="B184">
        <v>0</v>
      </c>
    </row>
    <row r="185" spans="2:2" x14ac:dyDescent="0.45">
      <c r="B185">
        <v>0</v>
      </c>
    </row>
    <row r="186" spans="2:2" x14ac:dyDescent="0.45">
      <c r="B186">
        <v>0</v>
      </c>
    </row>
    <row r="187" spans="2:2" x14ac:dyDescent="0.45">
      <c r="B187">
        <v>0</v>
      </c>
    </row>
    <row r="188" spans="2:2" x14ac:dyDescent="0.45">
      <c r="B188">
        <v>2000</v>
      </c>
    </row>
    <row r="189" spans="2:2" x14ac:dyDescent="0.45">
      <c r="B189">
        <v>0</v>
      </c>
    </row>
    <row r="190" spans="2:2" x14ac:dyDescent="0.45">
      <c r="B190">
        <v>0</v>
      </c>
    </row>
    <row r="191" spans="2:2" x14ac:dyDescent="0.45">
      <c r="B191">
        <v>0</v>
      </c>
    </row>
    <row r="192" spans="2:2" x14ac:dyDescent="0.45">
      <c r="B192">
        <v>0</v>
      </c>
    </row>
    <row r="193" spans="2:2" x14ac:dyDescent="0.45">
      <c r="B193">
        <v>1997</v>
      </c>
    </row>
    <row r="194" spans="2:2" x14ac:dyDescent="0.45">
      <c r="B194">
        <v>0</v>
      </c>
    </row>
    <row r="195" spans="2:2" x14ac:dyDescent="0.45">
      <c r="B195">
        <v>0</v>
      </c>
    </row>
    <row r="196" spans="2:2" x14ac:dyDescent="0.45">
      <c r="B196">
        <v>0</v>
      </c>
    </row>
    <row r="197" spans="2:2" x14ac:dyDescent="0.45">
      <c r="B197">
        <v>0</v>
      </c>
    </row>
    <row r="198" spans="2:2" x14ac:dyDescent="0.45">
      <c r="B198">
        <v>0</v>
      </c>
    </row>
    <row r="199" spans="2:2" x14ac:dyDescent="0.45">
      <c r="B199">
        <v>0</v>
      </c>
    </row>
    <row r="200" spans="2:2" x14ac:dyDescent="0.45">
      <c r="B200">
        <v>0</v>
      </c>
    </row>
    <row r="201" spans="2:2" x14ac:dyDescent="0.45">
      <c r="B201">
        <v>0</v>
      </c>
    </row>
    <row r="202" spans="2:2" x14ac:dyDescent="0.45">
      <c r="B202">
        <v>3</v>
      </c>
    </row>
    <row r="203" spans="2:2" x14ac:dyDescent="0.45">
      <c r="B203">
        <v>1657</v>
      </c>
    </row>
    <row r="204" spans="2:2" x14ac:dyDescent="0.45">
      <c r="B204">
        <v>0</v>
      </c>
    </row>
    <row r="205" spans="2:2" x14ac:dyDescent="0.45">
      <c r="B205">
        <v>0</v>
      </c>
    </row>
    <row r="206" spans="2:2" x14ac:dyDescent="0.45">
      <c r="B206">
        <v>0</v>
      </c>
    </row>
    <row r="207" spans="2:2" x14ac:dyDescent="0.45">
      <c r="B207">
        <v>0</v>
      </c>
    </row>
    <row r="208" spans="2:2" x14ac:dyDescent="0.45">
      <c r="B208">
        <v>0</v>
      </c>
    </row>
    <row r="209" spans="2:2" x14ac:dyDescent="0.45">
      <c r="B209">
        <v>0</v>
      </c>
    </row>
    <row r="210" spans="2:2" x14ac:dyDescent="0.45">
      <c r="B210">
        <v>0</v>
      </c>
    </row>
    <row r="211" spans="2:2" x14ac:dyDescent="0.45">
      <c r="B211">
        <v>0</v>
      </c>
    </row>
    <row r="212" spans="2:2" x14ac:dyDescent="0.45">
      <c r="B212">
        <v>343</v>
      </c>
    </row>
    <row r="213" spans="2:2" x14ac:dyDescent="0.45">
      <c r="B213">
        <v>1997</v>
      </c>
    </row>
    <row r="214" spans="2:2" x14ac:dyDescent="0.45">
      <c r="B214">
        <v>0</v>
      </c>
    </row>
    <row r="215" spans="2:2" x14ac:dyDescent="0.45">
      <c r="B215">
        <v>0</v>
      </c>
    </row>
    <row r="216" spans="2:2" x14ac:dyDescent="0.45">
      <c r="B216">
        <v>0</v>
      </c>
    </row>
    <row r="217" spans="2:2" x14ac:dyDescent="0.45">
      <c r="B217">
        <v>0</v>
      </c>
    </row>
    <row r="218" spans="2:2" x14ac:dyDescent="0.45">
      <c r="B218">
        <v>0</v>
      </c>
    </row>
    <row r="219" spans="2:2" x14ac:dyDescent="0.45">
      <c r="B219">
        <v>0</v>
      </c>
    </row>
    <row r="220" spans="2:2" x14ac:dyDescent="0.45">
      <c r="B220">
        <v>0</v>
      </c>
    </row>
    <row r="221" spans="2:2" x14ac:dyDescent="0.45">
      <c r="B221">
        <v>0</v>
      </c>
    </row>
    <row r="222" spans="2:2" x14ac:dyDescent="0.45">
      <c r="B222">
        <v>3</v>
      </c>
    </row>
    <row r="223" spans="2:2" x14ac:dyDescent="0.45">
      <c r="B223">
        <v>752</v>
      </c>
    </row>
    <row r="224" spans="2:2" x14ac:dyDescent="0.45">
      <c r="B224">
        <v>988</v>
      </c>
    </row>
    <row r="225" spans="2:2" x14ac:dyDescent="0.45">
      <c r="B225">
        <v>201</v>
      </c>
    </row>
    <row r="226" spans="2:2" x14ac:dyDescent="0.45">
      <c r="B226">
        <v>41</v>
      </c>
    </row>
    <row r="227" spans="2:2" x14ac:dyDescent="0.45">
      <c r="B227">
        <v>11</v>
      </c>
    </row>
    <row r="228" spans="2:2" x14ac:dyDescent="0.45">
      <c r="B228">
        <v>4</v>
      </c>
    </row>
    <row r="229" spans="2:2" x14ac:dyDescent="0.45">
      <c r="B229">
        <v>1</v>
      </c>
    </row>
    <row r="230" spans="2:2" x14ac:dyDescent="0.45">
      <c r="B230">
        <v>1</v>
      </c>
    </row>
    <row r="231" spans="2:2" x14ac:dyDescent="0.45">
      <c r="B231">
        <v>0</v>
      </c>
    </row>
    <row r="232" spans="2:2" x14ac:dyDescent="0.45">
      <c r="B232">
        <v>1</v>
      </c>
    </row>
    <row r="233" spans="2:2" x14ac:dyDescent="0.45">
      <c r="B233">
        <v>497</v>
      </c>
    </row>
    <row r="234" spans="2:2" x14ac:dyDescent="0.45">
      <c r="B234">
        <v>434</v>
      </c>
    </row>
    <row r="235" spans="2:2" x14ac:dyDescent="0.45">
      <c r="B235">
        <v>421</v>
      </c>
    </row>
    <row r="236" spans="2:2" x14ac:dyDescent="0.45">
      <c r="B236">
        <v>263</v>
      </c>
    </row>
    <row r="237" spans="2:2" x14ac:dyDescent="0.45">
      <c r="B237">
        <v>183</v>
      </c>
    </row>
    <row r="238" spans="2:2" x14ac:dyDescent="0.45">
      <c r="B238">
        <v>104</v>
      </c>
    </row>
    <row r="239" spans="2:2" x14ac:dyDescent="0.45">
      <c r="B239">
        <v>61</v>
      </c>
    </row>
    <row r="240" spans="2:2" x14ac:dyDescent="0.45">
      <c r="B240">
        <v>20</v>
      </c>
    </row>
    <row r="241" spans="2:2" x14ac:dyDescent="0.45">
      <c r="B241">
        <v>7</v>
      </c>
    </row>
    <row r="242" spans="2:2" x14ac:dyDescent="0.45">
      <c r="B242">
        <v>10</v>
      </c>
    </row>
    <row r="243" spans="2:2" x14ac:dyDescent="0.45">
      <c r="B243">
        <v>10</v>
      </c>
    </row>
    <row r="244" spans="2:2" x14ac:dyDescent="0.45">
      <c r="B244">
        <v>29</v>
      </c>
    </row>
    <row r="245" spans="2:2" x14ac:dyDescent="0.45">
      <c r="B245">
        <v>104</v>
      </c>
    </row>
    <row r="246" spans="2:2" x14ac:dyDescent="0.45">
      <c r="B246">
        <v>241</v>
      </c>
    </row>
    <row r="247" spans="2:2" x14ac:dyDescent="0.45">
      <c r="B247">
        <v>397</v>
      </c>
    </row>
    <row r="248" spans="2:2" x14ac:dyDescent="0.45">
      <c r="B248">
        <v>473</v>
      </c>
    </row>
    <row r="249" spans="2:2" x14ac:dyDescent="0.45">
      <c r="B249">
        <v>390</v>
      </c>
    </row>
    <row r="250" spans="2:2" x14ac:dyDescent="0.45">
      <c r="B250">
        <v>236</v>
      </c>
    </row>
    <row r="251" spans="2:2" x14ac:dyDescent="0.45">
      <c r="B251">
        <v>89</v>
      </c>
    </row>
    <row r="252" spans="2:2" x14ac:dyDescent="0.45">
      <c r="B252">
        <v>31</v>
      </c>
    </row>
    <row r="253" spans="2:2" x14ac:dyDescent="0.45">
      <c r="B253">
        <v>20</v>
      </c>
    </row>
    <row r="254" spans="2:2" x14ac:dyDescent="0.45">
      <c r="B254">
        <v>65</v>
      </c>
    </row>
    <row r="255" spans="2:2" x14ac:dyDescent="0.45">
      <c r="B255">
        <v>146</v>
      </c>
    </row>
    <row r="256" spans="2:2" x14ac:dyDescent="0.45">
      <c r="B256">
        <v>229</v>
      </c>
    </row>
    <row r="257" spans="2:2" x14ac:dyDescent="0.45">
      <c r="B257">
        <v>293</v>
      </c>
    </row>
    <row r="258" spans="2:2" x14ac:dyDescent="0.45">
      <c r="B258">
        <v>360</v>
      </c>
    </row>
    <row r="259" spans="2:2" x14ac:dyDescent="0.45">
      <c r="B259">
        <v>358</v>
      </c>
    </row>
    <row r="260" spans="2:2" x14ac:dyDescent="0.45">
      <c r="B260">
        <v>263</v>
      </c>
    </row>
    <row r="261" spans="2:2" x14ac:dyDescent="0.45">
      <c r="B261">
        <v>203</v>
      </c>
    </row>
    <row r="262" spans="2:2" x14ac:dyDescent="0.45">
      <c r="B262">
        <v>63</v>
      </c>
    </row>
    <row r="263" spans="2:2" x14ac:dyDescent="0.45">
      <c r="B263">
        <v>107</v>
      </c>
    </row>
    <row r="264" spans="2:2" x14ac:dyDescent="0.45">
      <c r="B264">
        <v>229</v>
      </c>
    </row>
    <row r="265" spans="2:2" x14ac:dyDescent="0.45">
      <c r="B265">
        <v>331</v>
      </c>
    </row>
    <row r="266" spans="2:2" x14ac:dyDescent="0.45">
      <c r="B266">
        <v>349</v>
      </c>
    </row>
    <row r="267" spans="2:2" x14ac:dyDescent="0.45">
      <c r="B267">
        <v>363</v>
      </c>
    </row>
    <row r="268" spans="2:2" x14ac:dyDescent="0.45">
      <c r="B268">
        <v>269</v>
      </c>
    </row>
    <row r="269" spans="2:2" x14ac:dyDescent="0.45">
      <c r="B269">
        <v>192</v>
      </c>
    </row>
    <row r="270" spans="2:2" x14ac:dyDescent="0.45">
      <c r="B270">
        <v>112</v>
      </c>
    </row>
    <row r="271" spans="2:2" x14ac:dyDescent="0.45">
      <c r="B271">
        <v>36</v>
      </c>
    </row>
    <row r="272" spans="2:2" x14ac:dyDescent="0.45">
      <c r="B272">
        <v>12</v>
      </c>
    </row>
    <row r="273" spans="2:2" x14ac:dyDescent="0.45">
      <c r="B273">
        <v>102</v>
      </c>
    </row>
    <row r="274" spans="2:2" x14ac:dyDescent="0.45">
      <c r="B274">
        <v>211</v>
      </c>
    </row>
    <row r="275" spans="2:2" x14ac:dyDescent="0.45">
      <c r="B275">
        <v>308</v>
      </c>
    </row>
    <row r="276" spans="2:2" x14ac:dyDescent="0.45">
      <c r="B276">
        <v>366</v>
      </c>
    </row>
    <row r="277" spans="2:2" x14ac:dyDescent="0.45">
      <c r="B277">
        <v>331</v>
      </c>
    </row>
    <row r="278" spans="2:2" x14ac:dyDescent="0.45">
      <c r="B278">
        <v>296</v>
      </c>
    </row>
    <row r="279" spans="2:2" x14ac:dyDescent="0.45">
      <c r="B279">
        <v>194</v>
      </c>
    </row>
    <row r="280" spans="2:2" x14ac:dyDescent="0.45">
      <c r="B280">
        <v>118</v>
      </c>
    </row>
    <row r="281" spans="2:2" x14ac:dyDescent="0.45">
      <c r="B281">
        <v>60</v>
      </c>
    </row>
    <row r="282" spans="2:2" x14ac:dyDescent="0.45">
      <c r="B282">
        <v>14</v>
      </c>
    </row>
    <row r="283" spans="2:2" x14ac:dyDescent="0.45">
      <c r="B283">
        <v>12</v>
      </c>
    </row>
    <row r="284" spans="2:2" x14ac:dyDescent="0.45">
      <c r="B284">
        <v>43</v>
      </c>
    </row>
    <row r="285" spans="2:2" x14ac:dyDescent="0.45">
      <c r="B285">
        <v>93</v>
      </c>
    </row>
    <row r="286" spans="2:2" x14ac:dyDescent="0.45">
      <c r="B286">
        <v>164</v>
      </c>
    </row>
    <row r="287" spans="2:2" x14ac:dyDescent="0.45">
      <c r="B287">
        <v>260</v>
      </c>
    </row>
    <row r="288" spans="2:2" x14ac:dyDescent="0.45">
      <c r="B288">
        <v>318</v>
      </c>
    </row>
    <row r="289" spans="2:2" x14ac:dyDescent="0.45">
      <c r="B289">
        <v>367</v>
      </c>
    </row>
    <row r="290" spans="2:2" x14ac:dyDescent="0.45">
      <c r="B290">
        <v>350</v>
      </c>
    </row>
    <row r="291" spans="2:2" x14ac:dyDescent="0.45">
      <c r="B291">
        <v>260</v>
      </c>
    </row>
    <row r="292" spans="2:2" x14ac:dyDescent="0.45">
      <c r="B292">
        <v>133</v>
      </c>
    </row>
    <row r="293" spans="2:2" x14ac:dyDescent="0.45">
      <c r="B293">
        <v>49</v>
      </c>
    </row>
    <row r="294" spans="2:2" x14ac:dyDescent="0.45">
      <c r="B294">
        <v>150</v>
      </c>
    </row>
    <row r="295" spans="2:2" x14ac:dyDescent="0.45">
      <c r="B295">
        <v>304</v>
      </c>
    </row>
    <row r="296" spans="2:2" x14ac:dyDescent="0.45">
      <c r="B296">
        <v>369</v>
      </c>
    </row>
    <row r="297" spans="2:2" x14ac:dyDescent="0.45">
      <c r="B297">
        <v>359</v>
      </c>
    </row>
    <row r="298" spans="2:2" x14ac:dyDescent="0.45">
      <c r="B298">
        <v>311</v>
      </c>
    </row>
    <row r="299" spans="2:2" x14ac:dyDescent="0.45">
      <c r="B299">
        <v>242</v>
      </c>
    </row>
    <row r="300" spans="2:2" x14ac:dyDescent="0.45">
      <c r="B300">
        <v>137</v>
      </c>
    </row>
    <row r="301" spans="2:2" x14ac:dyDescent="0.45">
      <c r="B301">
        <v>63</v>
      </c>
    </row>
    <row r="302" spans="2:2" x14ac:dyDescent="0.45">
      <c r="B302">
        <v>16</v>
      </c>
    </row>
    <row r="303" spans="2:2" x14ac:dyDescent="0.45">
      <c r="B303">
        <v>61</v>
      </c>
    </row>
    <row r="304" spans="2:2" x14ac:dyDescent="0.45">
      <c r="B304">
        <v>176</v>
      </c>
    </row>
    <row r="305" spans="2:2" x14ac:dyDescent="0.45">
      <c r="B305">
        <v>282</v>
      </c>
    </row>
    <row r="306" spans="2:2" x14ac:dyDescent="0.45">
      <c r="B306">
        <v>377</v>
      </c>
    </row>
    <row r="307" spans="2:2" x14ac:dyDescent="0.45">
      <c r="B307">
        <v>366</v>
      </c>
    </row>
    <row r="308" spans="2:2" x14ac:dyDescent="0.45">
      <c r="B308">
        <v>303</v>
      </c>
    </row>
    <row r="309" spans="2:2" x14ac:dyDescent="0.45">
      <c r="B309">
        <v>237</v>
      </c>
    </row>
    <row r="310" spans="2:2" x14ac:dyDescent="0.45">
      <c r="B310">
        <v>133</v>
      </c>
    </row>
    <row r="311" spans="2:2" x14ac:dyDescent="0.45">
      <c r="B311">
        <v>53</v>
      </c>
    </row>
    <row r="312" spans="2:2" x14ac:dyDescent="0.45">
      <c r="B312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884">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BOADoAMwANAAoAVABZAFAARQA6ADIADQAKAE4ATQA6AEgAaQBzAHQAbwBnAHIAYQBtADMADQAKAFMASQBNAEkARAA6ADAADQAKAFMARQBMAFMAOgAwAA0ACgBDAFUAUgBTAEUATAA6ADAADQAKADwATwBQAFQASQBPAE4AUwA+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</mr:Charts>
</mr:ModelRisk>
</file>

<file path=customXml/itemProps1.xml><?xml version="1.0" encoding="utf-8"?>
<ds:datastoreItem xmlns:ds="http://schemas.openxmlformats.org/officeDocument/2006/customXml" ds:itemID="{FE37D396-01AD-42D5-9963-4014893C7135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91</vt:i4>
      </vt:variant>
    </vt:vector>
  </HeadingPairs>
  <TitlesOfParts>
    <vt:vector size="98" baseType="lpstr">
      <vt:lpstr>Описание</vt:lpstr>
      <vt:lpstr>Исходные данные</vt:lpstr>
      <vt:lpstr>Прогноз</vt:lpstr>
      <vt:lpstr>Результаты</vt:lpstr>
      <vt:lpstr>ModelRiskDSN</vt:lpstr>
      <vt:lpstr>ModelRiskSYS1</vt:lpstr>
      <vt:lpstr>ModelRiskCharts</vt:lpstr>
      <vt:lpstr>ActualYear</vt:lpstr>
      <vt:lpstr>Amort</vt:lpstr>
      <vt:lpstr>AnyBreach</vt:lpstr>
      <vt:lpstr>AnyShort</vt:lpstr>
      <vt:lpstr>AvgGrowth</vt:lpstr>
      <vt:lpstr>BaseRate</vt:lpstr>
      <vt:lpstr>BaseRate_Hi</vt:lpstr>
      <vt:lpstr>BaseRate_Lo</vt:lpstr>
      <vt:lpstr>BaseRate_Mean</vt:lpstr>
      <vt:lpstr>BaseRate_ML</vt:lpstr>
      <vt:lpstr>BI_Y1</vt:lpstr>
      <vt:lpstr>BI_Y2</vt:lpstr>
      <vt:lpstr>BI_Y3</vt:lpstr>
      <vt:lpstr>BI_Y4</vt:lpstr>
      <vt:lpstr>BI_Y5</vt:lpstr>
      <vt:lpstr>BL_Y1</vt:lpstr>
      <vt:lpstr>BL_Y2</vt:lpstr>
      <vt:lpstr>BL_Y3</vt:lpstr>
      <vt:lpstr>BL_Y4</vt:lpstr>
      <vt:lpstr>BL_Y5</vt:lpstr>
      <vt:lpstr>BS_Y1</vt:lpstr>
      <vt:lpstr>BS_Y2</vt:lpstr>
      <vt:lpstr>BS_Y3</vt:lpstr>
      <vt:lpstr>BS_Y4</vt:lpstr>
      <vt:lpstr>BS_Y5</vt:lpstr>
      <vt:lpstr>CapexPct</vt:lpstr>
      <vt:lpstr>CapexPct_Hi</vt:lpstr>
      <vt:lpstr>CapexPct_Lo</vt:lpstr>
      <vt:lpstr>CapexPct_Mean</vt:lpstr>
      <vt:lpstr>CapexPct_ML</vt:lpstr>
      <vt:lpstr>Cash0</vt:lpstr>
      <vt:lpstr>Checks</vt:lpstr>
      <vt:lpstr>DepRate</vt:lpstr>
      <vt:lpstr>DIO</vt:lpstr>
      <vt:lpstr>DIO_Hi</vt:lpstr>
      <vt:lpstr>DIO_Lo</vt:lpstr>
      <vt:lpstr>DIO_Mean</vt:lpstr>
      <vt:lpstr>DIO_ML</vt:lpstr>
      <vt:lpstr>DIO0</vt:lpstr>
      <vt:lpstr>DivLev</vt:lpstr>
      <vt:lpstr>DPO</vt:lpstr>
      <vt:lpstr>DPO_Hi</vt:lpstr>
      <vt:lpstr>DPO_Lo</vt:lpstr>
      <vt:lpstr>DPO_Mean</vt:lpstr>
      <vt:lpstr>DPO_ML</vt:lpstr>
      <vt:lpstr>DPO0</vt:lpstr>
      <vt:lpstr>DSO</vt:lpstr>
      <vt:lpstr>DSO_Hi</vt:lpstr>
      <vt:lpstr>DSO_Lo</vt:lpstr>
      <vt:lpstr>DSO_Mean</vt:lpstr>
      <vt:lpstr>DSO_ML</vt:lpstr>
      <vt:lpstr>DSO0</vt:lpstr>
      <vt:lpstr>Equity0</vt:lpstr>
      <vt:lpstr>ExpGrowth</vt:lpstr>
      <vt:lpstr>GrowthA</vt:lpstr>
      <vt:lpstr>GrowthMu</vt:lpstr>
      <vt:lpstr>GrowthR0</vt:lpstr>
      <vt:lpstr>GrowthSD</vt:lpstr>
      <vt:lpstr>GrowthVol</vt:lpstr>
      <vt:lpstr>ICMin</vt:lpstr>
      <vt:lpstr>InputMeans</vt:lpstr>
      <vt:lpstr>LastGrowth</vt:lpstr>
      <vt:lpstr>Lev_Y1</vt:lpstr>
      <vt:lpstr>Lev_Y2</vt:lpstr>
      <vt:lpstr>Lev_Y3</vt:lpstr>
      <vt:lpstr>Lev_Y4</vt:lpstr>
      <vt:lpstr>Lev_Y5</vt:lpstr>
      <vt:lpstr>LevMax</vt:lpstr>
      <vt:lpstr>Margin0</vt:lpstr>
      <vt:lpstr>MarginBase</vt:lpstr>
      <vt:lpstr>MarginBase_Hi</vt:lpstr>
      <vt:lpstr>MarginBase_Lo</vt:lpstr>
      <vt:lpstr>MarginBase_Mean</vt:lpstr>
      <vt:lpstr>MarginBase_ML</vt:lpstr>
      <vt:lpstr>MinCash</vt:lpstr>
      <vt:lpstr>OpLev</vt:lpstr>
      <vt:lpstr>Payout</vt:lpstr>
      <vt:lpstr>PeakLev</vt:lpstr>
      <vt:lpstr>PeakRCF</vt:lpstr>
      <vt:lpstr>PPE0</vt:lpstr>
      <vt:lpstr>Results!Print_Area</vt:lpstr>
      <vt:lpstr>Forecast!Print_Titles</vt:lpstr>
      <vt:lpstr>Inputs!Print_Titles</vt:lpstr>
      <vt:lpstr>Results!Print_Titles</vt:lpstr>
      <vt:lpstr>RCF0</vt:lpstr>
      <vt:lpstr>RCFLimit</vt:lpstr>
      <vt:lpstr>RCFMargin</vt:lpstr>
      <vt:lpstr>Rev0</vt:lpstr>
      <vt:lpstr>TaxRate</vt:lpstr>
      <vt:lpstr>TL0</vt:lpstr>
      <vt:lpstr>TLMargin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CF-03 Финансовый прогноз по трем формам и риск финансирования</dc:title>
  <dc:subject>Отраслевые примеры моделей МоделРиск — Корпоративные финансы</dc:subject>
  <dc:creator>ООО «Стратегия Риска»</dc:creator>
  <cp:keywords>МоделРиск; Монте-Карло; корпоративные финансы</cp:keywords>
  <dc:description>Пятилетние отчет о прибылях и убытках, баланс и денежный поток с возобновляемой линией и ковенантами: вероятность нарушения.</dc:description>
  <cp:lastModifiedBy>ООО «Стратегия Риска»</cp:lastModifiedBy>
  <cp:lastPrinted>2026-10-05T12:13:48Z</cp:lastPrinted>
  <dcterms:created xsi:type="dcterms:W3CDTF">2026-10-05T12:10:06Z</dcterms:created>
  <dcterms:modified xsi:type="dcterms:W3CDTF">2026-10-05T12:13:50Z</dcterms:modified>
</cp:coreProperties>
</file>