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E1763EF0-FAE3-4D2B-8FB3-A87D982EC19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Прогноз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Acceptance">'Исходные данные'!$D$12</definedName>
    <definedName name="Acceptance_Hi">'Исходные данные'!$H$12</definedName>
    <definedName name="Acceptance_Lo">'Исходные данные'!$F$12</definedName>
    <definedName name="Acceptance_Mean">'Исходные данные'!$I$12</definedName>
    <definedName name="Acceptance_ML">'Исходные данные'!$G$12</definedName>
    <definedName name="AdoptRate">'Исходные данные'!$D$31:$D$38</definedName>
    <definedName name="Checks">'Прогноз'!$D$53:$D$55</definedName>
    <definedName name="Confidence">'Исходные данные'!$D$25</definedName>
    <definedName name="ConsHi">'Исходные данные'!$H$31:$H$38</definedName>
    <definedName name="ConsLevel">'Прогноз'!$D$49</definedName>
    <definedName name="ConsLo">'Исходные данные'!$F$31:$F$38</definedName>
    <definedName name="ConsML">'Исходные данные'!$G$31:$G$38</definedName>
    <definedName name="CorrYears">'Исходные данные'!$D$20</definedName>
    <definedName name="FirstYear">'Исходные данные'!$D$13</definedName>
    <definedName name="FirstYearUse">'Исходные данные'!$D$19</definedName>
    <definedName name="Hospitals">'Исходные данные'!$D$11</definedName>
    <definedName name="InputMeans">'Исходные данные'!$I$12:$I$18</definedName>
    <definedName name="Installed8">'Прогноз'!$D$46</definedName>
    <definedName name="LifeCons">'Прогноз'!$D$47</definedName>
    <definedName name="LifeCons0">'Прогноз'!$D$48</definedName>
    <definedName name="MeetsPlan">'Прогноз'!$D$45</definedName>
    <definedName name="Plan_Total">'Прогноз'!$D$44</definedName>
    <definedName name="Plan_Y1">'Прогноз'!$F$34</definedName>
    <definedName name="Plan_Y2">'Прогноз'!$G$34</definedName>
    <definedName name="Plan_Y3">'Прогноз'!$H$34</definedName>
    <definedName name="Plan_Y4">'Прогноз'!$I$34</definedName>
    <definedName name="Plan_Y5">'Прогноз'!$J$34</definedName>
    <definedName name="Plan_Y6">'Прогноз'!$K$34</definedName>
    <definedName name="Plan_Y7">'Прогноз'!$L$34</definedName>
    <definedName name="Plan_Y8">'Прогноз'!$M$34</definedName>
    <definedName name="Price">'Исходные данные'!$D$18</definedName>
    <definedName name="Price_Hi">'Исходные данные'!$H$18</definedName>
    <definedName name="Price_Lo">'Исходные данные'!$F$18</definedName>
    <definedName name="Price_Mean">'Исходные данные'!$I$18</definedName>
    <definedName name="Price_ML">'Исходные данные'!$G$18</definedName>
    <definedName name="_xlnm.Print_Area" localSheetId="3">'Результаты'!$A$1:$R$71</definedName>
    <definedName name="_xlnm.Print_Titles" localSheetId="2">'Прогноз'!$6:$7,'Прогноз'!$A:$D</definedName>
    <definedName name="_xlnm.Print_Titles" localSheetId="1">'Исходные данные'!$1:$4</definedName>
    <definedName name="_xlnm.Print_Titles" localSheetId="3">'Результаты'!$1:$4</definedName>
    <definedName name="Rev_Total">'Прогноз'!$D$43</definedName>
    <definedName name="Rev_Y1">'Прогноз'!$F$24</definedName>
    <definedName name="Rev_Y2">'Прогноз'!$G$24</definedName>
    <definedName name="Rev_Y3">'Прогноз'!$H$24</definedName>
    <definedName name="Rev_Y4">'Прогноз'!$I$24</definedName>
    <definedName name="Rev_Y5">'Прогноз'!$J$24</definedName>
    <definedName name="Rev_Y6">'Прогноз'!$K$24</definedName>
    <definedName name="Rev_Y7">'Прогноз'!$L$24</definedName>
    <definedName name="Rev_Y8">'Прогноз'!$M$24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3" l="1" a="1"/>
  <c r="F28" i="3" s="1"/>
  <c r="F29" i="3" s="1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B15" i="4"/>
  <c r="D53" i="3"/>
  <c r="F7" i="3"/>
  <c r="B22" i="4" s="1"/>
  <c r="B136" i="4"/>
  <c r="G6" i="3"/>
  <c r="G28" i="3" s="1" a="1"/>
  <c r="G28" i="3" s="1"/>
  <c r="C38" i="2"/>
  <c r="C37" i="2"/>
  <c r="C36" i="2"/>
  <c r="C35" i="2"/>
  <c r="C34" i="2"/>
  <c r="C33" i="2"/>
  <c r="C32" i="2"/>
  <c r="C31" i="2"/>
  <c r="F18" i="3" a="1"/>
  <c r="F38" i="3" a="1"/>
  <c r="I12" i="2" a="1"/>
  <c r="D12" i="2" a="1"/>
  <c r="I18" i="2" a="1"/>
  <c r="D18" i="2" a="1"/>
  <c r="H6" i="3" l="1"/>
  <c r="G7" i="3"/>
  <c r="K38" i="3"/>
  <c r="M38" i="3"/>
  <c r="F38" i="3"/>
  <c r="J38" i="3"/>
  <c r="L38" i="3"/>
  <c r="I38" i="3"/>
  <c r="H38" i="3"/>
  <c r="G38" i="3"/>
  <c r="I18" i="3"/>
  <c r="F18" i="3"/>
  <c r="H18" i="3"/>
  <c r="M18" i="3"/>
  <c r="G18" i="3"/>
  <c r="L18" i="3"/>
  <c r="K18" i="3"/>
  <c r="J18" i="3"/>
  <c r="F30" i="3"/>
  <c r="G29" i="3" s="1"/>
  <c r="G32" i="3" s="1"/>
  <c r="F32" i="3"/>
  <c r="F31" i="3"/>
  <c r="F33" i="3" s="1" a="1"/>
  <c r="F33" i="3" s="1"/>
  <c r="D18" i="2"/>
  <c r="I18" i="2"/>
  <c r="D12" i="2"/>
  <c r="I12" i="2"/>
  <c r="D48" i="3" l="1" a="1"/>
  <c r="D48" i="3" s="1"/>
  <c r="B137" i="4"/>
  <c r="B23" i="4"/>
  <c r="H28" i="3" a="1"/>
  <c r="H28" i="3" s="1"/>
  <c r="H7" i="3"/>
  <c r="I6" i="3"/>
  <c r="F34" i="3"/>
  <c r="D49" i="3" a="1"/>
  <c r="D49" i="3" s="1"/>
  <c r="D47" i="3" a="1"/>
  <c r="D47" i="3" s="1"/>
  <c r="H11" i="3" a="1"/>
  <c r="H11" i="3" s="1"/>
  <c r="F11" i="3" a="1"/>
  <c r="F11" i="3" s="1"/>
  <c r="G11" i="3" a="1"/>
  <c r="G11" i="3" s="1"/>
  <c r="G31" i="3"/>
  <c r="G33" i="3" s="1" a="1"/>
  <c r="G33" i="3" s="1"/>
  <c r="G34" i="3" s="1"/>
  <c r="G30" i="3"/>
  <c r="F92" i="4" a="1"/>
  <c r="F80" i="4" a="1"/>
  <c r="F116" i="4" a="1"/>
  <c r="F95" i="4" a="1"/>
  <c r="F127" i="4" a="1"/>
  <c r="F102" i="4" a="1"/>
  <c r="F105" i="4" a="1"/>
  <c r="F107" i="4" a="1"/>
  <c r="F109" i="4" a="1"/>
  <c r="G47" i="4" a="1"/>
  <c r="F100" i="4" a="1"/>
  <c r="F88" i="4" a="1"/>
  <c r="F120" i="4" a="1"/>
  <c r="F99" i="4" a="1"/>
  <c r="F47" i="4" a="1"/>
  <c r="F106" i="4" a="1"/>
  <c r="F81" i="4" a="1"/>
  <c r="F114" i="4" a="1"/>
  <c r="F101" i="4" a="1"/>
  <c r="F79" i="4" a="1"/>
  <c r="F118" i="4" a="1"/>
  <c r="F117" i="4" a="1"/>
  <c r="F85" i="4" a="1"/>
  <c r="F121" i="4" a="1"/>
  <c r="F96" i="4" a="1"/>
  <c r="F124" i="4" a="1"/>
  <c r="F103" i="4" a="1"/>
  <c r="F78" i="4" a="1"/>
  <c r="F110" i="4" a="1"/>
  <c r="F82" i="4" a="1"/>
  <c r="F113" i="4" a="1"/>
  <c r="F111" i="4" a="1"/>
  <c r="F93" i="4" a="1"/>
  <c r="E47" i="4" a="1"/>
  <c r="F86" i="4" a="1"/>
  <c r="F89" i="4" a="1"/>
  <c r="F83" i="4" a="1"/>
  <c r="F125" i="4" a="1"/>
  <c r="F123" i="4" a="1"/>
  <c r="F91" i="4" a="1"/>
  <c r="F104" i="4" a="1"/>
  <c r="F90" i="4" a="1"/>
  <c r="F97" i="4" a="1"/>
  <c r="F108" i="4" a="1"/>
  <c r="F94" i="4" a="1"/>
  <c r="F122" i="4" a="1"/>
  <c r="F115" i="4" a="1"/>
  <c r="F119" i="4" a="1"/>
  <c r="F112" i="4" a="1"/>
  <c r="F98" i="4" a="1"/>
  <c r="F87" i="4" a="1"/>
  <c r="F126" i="4" a="1"/>
  <c r="F84" i="4" a="1"/>
  <c r="D47" i="4" a="1"/>
  <c r="E103" i="4" a="1"/>
  <c r="E117" i="4" a="1"/>
  <c r="E120" i="4" a="1"/>
  <c r="E96" i="4" a="1"/>
  <c r="E46" i="4" a="1"/>
  <c r="E89" i="4" a="1"/>
  <c r="E87" i="4" a="1"/>
  <c r="E106" i="4" a="1"/>
  <c r="E78" i="4" a="1"/>
  <c r="E121" i="4" a="1"/>
  <c r="E85" i="4" a="1"/>
  <c r="E124" i="4" a="1"/>
  <c r="E110" i="4" a="1"/>
  <c r="E108" i="4" a="1"/>
  <c r="E102" i="4" a="1"/>
  <c r="E127" i="4" a="1"/>
  <c r="F46" i="4" a="1"/>
  <c r="E99" i="4" a="1"/>
  <c r="E126" i="4" a="1"/>
  <c r="E94" i="4" a="1"/>
  <c r="E95" i="4" a="1"/>
  <c r="E113" i="4" a="1"/>
  <c r="E100" i="4" a="1"/>
  <c r="E109" i="4" a="1"/>
  <c r="E123" i="4" a="1"/>
  <c r="E119" i="4" a="1"/>
  <c r="E101" i="4" a="1"/>
  <c r="E122" i="4" a="1"/>
  <c r="E90" i="4" a="1"/>
  <c r="E115" i="4" a="1"/>
  <c r="E83" i="4" a="1"/>
  <c r="E112" i="4" a="1"/>
  <c r="E116" i="4" a="1"/>
  <c r="E92" i="4" a="1"/>
  <c r="E91" i="4" a="1"/>
  <c r="E97" i="4" a="1"/>
  <c r="E118" i="4" a="1"/>
  <c r="E86" i="4" a="1"/>
  <c r="E111" i="4" a="1"/>
  <c r="D46" i="4" a="1"/>
  <c r="E79" i="4" a="1"/>
  <c r="E81" i="4" a="1"/>
  <c r="E88" i="4" a="1"/>
  <c r="E98" i="4" a="1"/>
  <c r="E80" i="4" a="1"/>
  <c r="E105" i="4" a="1"/>
  <c r="G46" i="4" a="1"/>
  <c r="E125" i="4" a="1"/>
  <c r="E93" i="4" a="1"/>
  <c r="E114" i="4" a="1"/>
  <c r="E82" i="4" a="1"/>
  <c r="E107" i="4" a="1"/>
  <c r="E104" i="4" a="1"/>
  <c r="E84" i="4" a="1"/>
  <c r="D47" i="4" l="1"/>
  <c r="F84" i="4"/>
  <c r="F126" i="4"/>
  <c r="F87" i="4"/>
  <c r="F98" i="4"/>
  <c r="F112" i="4"/>
  <c r="F119" i="4"/>
  <c r="F115" i="4"/>
  <c r="F122" i="4"/>
  <c r="F94" i="4"/>
  <c r="F108" i="4"/>
  <c r="F97" i="4"/>
  <c r="F90" i="4"/>
  <c r="F104" i="4"/>
  <c r="F91" i="4"/>
  <c r="F123" i="4"/>
  <c r="F125" i="4"/>
  <c r="F83" i="4"/>
  <c r="F89" i="4"/>
  <c r="F86" i="4"/>
  <c r="E47" i="4"/>
  <c r="F93" i="4"/>
  <c r="F111" i="4"/>
  <c r="F113" i="4"/>
  <c r="F82" i="4"/>
  <c r="F110" i="4"/>
  <c r="F78" i="4"/>
  <c r="F103" i="4"/>
  <c r="F124" i="4"/>
  <c r="F96" i="4"/>
  <c r="F121" i="4"/>
  <c r="F85" i="4"/>
  <c r="F117" i="4"/>
  <c r="F118" i="4"/>
  <c r="F79" i="4"/>
  <c r="F101" i="4"/>
  <c r="F114" i="4"/>
  <c r="F81" i="4"/>
  <c r="F106" i="4"/>
  <c r="F47" i="4"/>
  <c r="F99" i="4"/>
  <c r="F120" i="4"/>
  <c r="F88" i="4"/>
  <c r="F100" i="4"/>
  <c r="G47" i="4"/>
  <c r="F109" i="4"/>
  <c r="F107" i="4"/>
  <c r="F105" i="4"/>
  <c r="F102" i="4"/>
  <c r="F127" i="4"/>
  <c r="F95" i="4"/>
  <c r="F116" i="4"/>
  <c r="F80" i="4"/>
  <c r="F92" i="4"/>
  <c r="C22" i="4"/>
  <c r="G136" i="4"/>
  <c r="I7" i="3"/>
  <c r="I28" i="3" a="1"/>
  <c r="I28" i="3" s="1"/>
  <c r="J6" i="3"/>
  <c r="I11" i="3" a="1"/>
  <c r="I11" i="3" s="1"/>
  <c r="B138" i="4"/>
  <c r="B24" i="4"/>
  <c r="G137" i="4"/>
  <c r="C23" i="4"/>
  <c r="E84" i="4"/>
  <c r="E104" i="4"/>
  <c r="E107" i="4"/>
  <c r="E82" i="4"/>
  <c r="E114" i="4"/>
  <c r="E93" i="4"/>
  <c r="E125" i="4"/>
  <c r="G46" i="4"/>
  <c r="E105" i="4"/>
  <c r="E80" i="4"/>
  <c r="E98" i="4"/>
  <c r="E88" i="4"/>
  <c r="E81" i="4"/>
  <c r="E79" i="4"/>
  <c r="D46" i="4"/>
  <c r="E111" i="4"/>
  <c r="E86" i="4"/>
  <c r="E118" i="4"/>
  <c r="E97" i="4"/>
  <c r="E91" i="4"/>
  <c r="E92" i="4"/>
  <c r="E116" i="4"/>
  <c r="E112" i="4"/>
  <c r="E83" i="4"/>
  <c r="E115" i="4"/>
  <c r="E90" i="4"/>
  <c r="E122" i="4"/>
  <c r="E101" i="4"/>
  <c r="E119" i="4"/>
  <c r="E123" i="4"/>
  <c r="E109" i="4"/>
  <c r="E100" i="4"/>
  <c r="E113" i="4"/>
  <c r="E95" i="4"/>
  <c r="E94" i="4"/>
  <c r="E126" i="4"/>
  <c r="E99" i="4"/>
  <c r="F46" i="4"/>
  <c r="E127" i="4"/>
  <c r="E102" i="4"/>
  <c r="E108" i="4"/>
  <c r="E110" i="4"/>
  <c r="E124" i="4"/>
  <c r="E85" i="4"/>
  <c r="E121" i="4"/>
  <c r="E78" i="4"/>
  <c r="E106" i="4"/>
  <c r="E87" i="4"/>
  <c r="E89" i="4"/>
  <c r="E46" i="4"/>
  <c r="E96" i="4"/>
  <c r="E120" i="4"/>
  <c r="E117" i="4"/>
  <c r="E103" i="4"/>
  <c r="H29" i="3"/>
  <c r="H32" i="3" s="1"/>
  <c r="K6" i="3" l="1"/>
  <c r="J7" i="3"/>
  <c r="J28" i="3" a="1"/>
  <c r="J28" i="3" s="1"/>
  <c r="J11" i="3" a="1"/>
  <c r="J11" i="3" s="1"/>
  <c r="B25" i="4"/>
  <c r="B139" i="4"/>
  <c r="H31" i="3"/>
  <c r="H33" i="3" s="1" a="1"/>
  <c r="H33" i="3" s="1"/>
  <c r="H34" i="3" s="1"/>
  <c r="H30" i="3"/>
  <c r="G138" i="4" l="1"/>
  <c r="C24" i="4"/>
  <c r="B26" i="4"/>
  <c r="B140" i="4"/>
  <c r="L6" i="3"/>
  <c r="K7" i="3"/>
  <c r="K28" i="3" a="1"/>
  <c r="K28" i="3" s="1"/>
  <c r="K11" i="3" a="1"/>
  <c r="K11" i="3" s="1"/>
  <c r="I29" i="3"/>
  <c r="I32" i="3" s="1"/>
  <c r="B141" i="4" l="1"/>
  <c r="B27" i="4"/>
  <c r="L7" i="3"/>
  <c r="M6" i="3"/>
  <c r="L28" i="3" a="1"/>
  <c r="L28" i="3" s="1"/>
  <c r="L11" i="3" a="1"/>
  <c r="L11" i="3" s="1"/>
  <c r="I31" i="3"/>
  <c r="I33" i="3" s="1" a="1"/>
  <c r="I33" i="3" s="1"/>
  <c r="I34" i="3" s="1"/>
  <c r="I30" i="3"/>
  <c r="C25" i="4" l="1"/>
  <c r="G139" i="4"/>
  <c r="B28" i="4"/>
  <c r="B142" i="4"/>
  <c r="M7" i="3"/>
  <c r="M11" i="3" a="1"/>
  <c r="M11" i="3" s="1"/>
  <c r="D54" i="3" s="1"/>
  <c r="M28" i="3" a="1"/>
  <c r="M28" i="3" s="1"/>
  <c r="J30" i="3"/>
  <c r="J29" i="3"/>
  <c r="J32" i="3" s="1"/>
  <c r="B29" i="4" l="1"/>
  <c r="B143" i="4"/>
  <c r="K29" i="3"/>
  <c r="K32" i="3" s="1"/>
  <c r="J31" i="3"/>
  <c r="J33" i="3" s="1" a="1"/>
  <c r="J33" i="3" s="1"/>
  <c r="J34" i="3" s="1"/>
  <c r="C26" i="4" l="1"/>
  <c r="G140" i="4"/>
  <c r="K30" i="3"/>
  <c r="K31" i="3"/>
  <c r="K33" i="3" s="1" a="1"/>
  <c r="K33" i="3" s="1"/>
  <c r="K34" i="3" s="1"/>
  <c r="C27" i="4" l="1"/>
  <c r="G141" i="4"/>
  <c r="L29" i="3"/>
  <c r="L32" i="3" s="1"/>
  <c r="L30" i="3" l="1"/>
  <c r="L31" i="3"/>
  <c r="L33" i="3" s="1" a="1"/>
  <c r="L33" i="3" s="1"/>
  <c r="L34" i="3" s="1"/>
  <c r="C28" i="4" l="1"/>
  <c r="G142" i="4"/>
  <c r="M29" i="3"/>
  <c r="M32" i="3" s="1"/>
  <c r="D32" i="3"/>
  <c r="M30" i="3"/>
  <c r="F12" i="3" a="1"/>
  <c r="M31" i="3" l="1"/>
  <c r="M33" i="3" s="1" a="1"/>
  <c r="M33" i="3" s="1"/>
  <c r="M12" i="3"/>
  <c r="M22" i="3"/>
  <c r="F12" i="3"/>
  <c r="F22" i="3" s="1"/>
  <c r="F13" i="3"/>
  <c r="F14" i="3" s="1"/>
  <c r="G12" i="3"/>
  <c r="G22" i="3" s="1"/>
  <c r="H12" i="3"/>
  <c r="H22" i="3" s="1"/>
  <c r="I12" i="3"/>
  <c r="I22" i="3" s="1"/>
  <c r="J12" i="3"/>
  <c r="J22" i="3" s="1"/>
  <c r="K12" i="3"/>
  <c r="K22" i="3" s="1"/>
  <c r="L12" i="3"/>
  <c r="L22" i="3" s="1"/>
  <c r="F19" i="3"/>
  <c r="F23" i="3" s="1"/>
  <c r="G19" i="3" l="1"/>
  <c r="G23" i="3" s="1"/>
  <c r="G24" i="3" s="1" a="1"/>
  <c r="G24" i="3" s="1"/>
  <c r="G13" i="3"/>
  <c r="H13" i="3" s="1"/>
  <c r="I13" i="3" s="1"/>
  <c r="J19" i="3" s="1"/>
  <c r="J23" i="3" s="1"/>
  <c r="J24" i="3" s="1" a="1"/>
  <c r="J24" i="3" s="1"/>
  <c r="F24" i="3" a="1"/>
  <c r="F24" i="3" s="1"/>
  <c r="G14" i="3"/>
  <c r="D33" i="3"/>
  <c r="M34" i="3"/>
  <c r="I14" i="3"/>
  <c r="D22" i="3"/>
  <c r="I19" i="3"/>
  <c r="I23" i="3" s="1"/>
  <c r="I24" i="3" s="1" a="1"/>
  <c r="I24" i="3" s="1"/>
  <c r="H14" i="3"/>
  <c r="E22" i="4" a="1"/>
  <c r="C136" i="4" a="1"/>
  <c r="D136" i="4" a="1"/>
  <c r="D22" i="4" a="1"/>
  <c r="E136" i="4" a="1"/>
  <c r="F136" i="4" a="1"/>
  <c r="F137" i="4" a="1"/>
  <c r="D23" i="4" a="1"/>
  <c r="E137" i="4" a="1"/>
  <c r="C137" i="4" a="1"/>
  <c r="E23" i="4" a="1"/>
  <c r="D137" i="4" a="1"/>
  <c r="D139" i="4" a="1"/>
  <c r="C139" i="4" a="1"/>
  <c r="E139" i="4" a="1"/>
  <c r="E25" i="4" a="1"/>
  <c r="F139" i="4" a="1"/>
  <c r="D25" i="4" a="1"/>
  <c r="F140" i="4" a="1"/>
  <c r="C140" i="4" a="1"/>
  <c r="D35" i="4" a="1"/>
  <c r="D26" i="4" a="1"/>
  <c r="F35" i="4" a="1"/>
  <c r="E35" i="4" a="1"/>
  <c r="E26" i="4" a="1"/>
  <c r="G35" i="4" a="1"/>
  <c r="E140" i="4" a="1"/>
  <c r="D140" i="4" a="1"/>
  <c r="J13" i="3" l="1"/>
  <c r="J14" i="3" s="1"/>
  <c r="F136" i="4"/>
  <c r="E136" i="4"/>
  <c r="D22" i="4"/>
  <c r="D136" i="4"/>
  <c r="C136" i="4"/>
  <c r="E22" i="4"/>
  <c r="H19" i="3"/>
  <c r="H23" i="3" s="1"/>
  <c r="H24" i="3" s="1" a="1"/>
  <c r="H24" i="3" s="1"/>
  <c r="D137" i="4"/>
  <c r="E23" i="4"/>
  <c r="C137" i="4"/>
  <c r="E137" i="4"/>
  <c r="D23" i="4"/>
  <c r="F137" i="4"/>
  <c r="D34" i="3"/>
  <c r="D44" i="3" s="1"/>
  <c r="D12" i="4" s="1"/>
  <c r="C29" i="4"/>
  <c r="G143" i="4"/>
  <c r="D140" i="4"/>
  <c r="E140" i="4"/>
  <c r="G35" i="4"/>
  <c r="E26" i="4"/>
  <c r="E35" i="4"/>
  <c r="F35" i="4"/>
  <c r="D26" i="4"/>
  <c r="D35" i="4"/>
  <c r="C140" i="4"/>
  <c r="F140" i="4"/>
  <c r="D25" i="4"/>
  <c r="F139" i="4"/>
  <c r="E25" i="4"/>
  <c r="E139" i="4"/>
  <c r="C139" i="4"/>
  <c r="D139" i="4"/>
  <c r="C138" i="4" a="1"/>
  <c r="D24" i="4" a="1"/>
  <c r="F138" i="4" a="1"/>
  <c r="E138" i="4" a="1"/>
  <c r="E24" i="4" a="1"/>
  <c r="D138" i="4" a="1"/>
  <c r="K19" i="3" l="1"/>
  <c r="K23" i="3" s="1"/>
  <c r="K13" i="3"/>
  <c r="L19" i="3" s="1"/>
  <c r="L23" i="3" s="1"/>
  <c r="L24" i="3" s="1" a="1"/>
  <c r="L24" i="3" s="1"/>
  <c r="D138" i="4"/>
  <c r="E24" i="4"/>
  <c r="E138" i="4"/>
  <c r="F138" i="4"/>
  <c r="D24" i="4"/>
  <c r="C138" i="4"/>
  <c r="K24" i="3" a="1"/>
  <c r="K24" i="3" s="1"/>
  <c r="E28" i="4" a="1"/>
  <c r="E142" i="4" a="1"/>
  <c r="F142" i="4" a="1"/>
  <c r="D142" i="4" a="1"/>
  <c r="C142" i="4" a="1"/>
  <c r="D28" i="4" a="1"/>
  <c r="F141" i="4" a="1"/>
  <c r="D141" i="4" a="1"/>
  <c r="D27" i="4" a="1"/>
  <c r="C141" i="4" a="1"/>
  <c r="E141" i="4" a="1"/>
  <c r="E27" i="4" a="1"/>
  <c r="K14" i="3" l="1"/>
  <c r="L13" i="3"/>
  <c r="M13" i="3" s="1"/>
  <c r="E27" i="4"/>
  <c r="E141" i="4"/>
  <c r="C141" i="4"/>
  <c r="D27" i="4"/>
  <c r="D141" i="4"/>
  <c r="F141" i="4"/>
  <c r="D28" i="4"/>
  <c r="C142" i="4"/>
  <c r="D142" i="4"/>
  <c r="F142" i="4"/>
  <c r="E142" i="4"/>
  <c r="E28" i="4"/>
  <c r="M19" i="3"/>
  <c r="M23" i="3" s="1"/>
  <c r="M24" i="3" s="1" a="1"/>
  <c r="M24" i="3" s="1"/>
  <c r="D24" i="3" s="1"/>
  <c r="D43" i="3" s="1" a="1"/>
  <c r="D43" i="3" s="1"/>
  <c r="L14" i="3"/>
  <c r="C143" i="4" a="1"/>
  <c r="E29" i="4" a="1"/>
  <c r="F143" i="4" a="1"/>
  <c r="D29" i="4" a="1"/>
  <c r="E143" i="4" a="1"/>
  <c r="D143" i="4" a="1"/>
  <c r="B6" i="4" a="1"/>
  <c r="D121" i="4" a="1"/>
  <c r="D129" i="4" a="1"/>
  <c r="D78" i="4" a="1"/>
  <c r="D97" i="4" a="1"/>
  <c r="D93" i="4" a="1"/>
  <c r="D89" i="4" a="1"/>
  <c r="D100" i="4" a="1"/>
  <c r="D118" i="4" a="1"/>
  <c r="D90" i="4" a="1"/>
  <c r="D125" i="4" a="1"/>
  <c r="D13" i="4" a="1"/>
  <c r="D104" i="4" a="1"/>
  <c r="D111" i="4" a="1"/>
  <c r="D96" i="4" a="1"/>
  <c r="D114" i="4" a="1"/>
  <c r="D83" i="4" a="1"/>
  <c r="D98" i="4" a="1"/>
  <c r="D115" i="4" a="1"/>
  <c r="D15" i="4" a="1"/>
  <c r="D110" i="4" a="1"/>
  <c r="G34" i="4" a="1"/>
  <c r="D117" i="4" a="1"/>
  <c r="D34" i="4" a="1"/>
  <c r="D113" i="4" a="1"/>
  <c r="D106" i="4" a="1"/>
  <c r="D107" i="4" a="1"/>
  <c r="D88" i="4" a="1"/>
  <c r="D103" i="4" a="1"/>
  <c r="D116" i="4" a="1"/>
  <c r="D84" i="4" a="1"/>
  <c r="D109" i="4" a="1"/>
  <c r="E34" i="4" a="1"/>
  <c r="D102" i="4" a="1"/>
  <c r="D95" i="4" a="1"/>
  <c r="D119" i="4" a="1"/>
  <c r="B62" i="4" a="1"/>
  <c r="D92" i="4" a="1"/>
  <c r="D82" i="4" a="1"/>
  <c r="D81" i="4" a="1"/>
  <c r="D79" i="4" a="1"/>
  <c r="D112" i="4" a="1"/>
  <c r="D80" i="4" a="1"/>
  <c r="D105" i="4" a="1"/>
  <c r="D126" i="4" a="1"/>
  <c r="D94" i="4" a="1"/>
  <c r="D87" i="4" a="1"/>
  <c r="D99" i="4" a="1"/>
  <c r="D124" i="4" a="1"/>
  <c r="D85" i="4" a="1"/>
  <c r="D120" i="4" a="1"/>
  <c r="D127" i="4" a="1"/>
  <c r="D108" i="4" a="1"/>
  <c r="F34" i="4" a="1"/>
  <c r="D101" i="4" a="1"/>
  <c r="D122" i="4" a="1"/>
  <c r="D86" i="4" a="1"/>
  <c r="D123" i="4" a="1"/>
  <c r="D91" i="4" a="1"/>
  <c r="D91" i="4" l="1"/>
  <c r="D123" i="4"/>
  <c r="D86" i="4"/>
  <c r="D122" i="4"/>
  <c r="D101" i="4"/>
  <c r="F34" i="4"/>
  <c r="D108" i="4"/>
  <c r="D127" i="4"/>
  <c r="D120" i="4"/>
  <c r="D85" i="4"/>
  <c r="D124" i="4"/>
  <c r="D99" i="4"/>
  <c r="D87" i="4"/>
  <c r="D94" i="4"/>
  <c r="D126" i="4"/>
  <c r="D105" i="4"/>
  <c r="D80" i="4"/>
  <c r="D112" i="4"/>
  <c r="D79" i="4"/>
  <c r="D81" i="4"/>
  <c r="D82" i="4"/>
  <c r="D92" i="4"/>
  <c r="E62" i="4"/>
  <c r="D64" i="4"/>
  <c r="E63" i="4"/>
  <c r="C63" i="4"/>
  <c r="B63" i="4"/>
  <c r="B132" i="4" s="1"/>
  <c r="D62" i="4"/>
  <c r="C64" i="4"/>
  <c r="B64" i="4"/>
  <c r="B133" i="4" s="1"/>
  <c r="D63" i="4"/>
  <c r="C62" i="4"/>
  <c r="B62" i="4"/>
  <c r="B131" i="4" s="1"/>
  <c r="E64" i="4"/>
  <c r="D119" i="4"/>
  <c r="D95" i="4"/>
  <c r="D102" i="4"/>
  <c r="E34" i="4"/>
  <c r="D109" i="4"/>
  <c r="D84" i="4"/>
  <c r="D116" i="4"/>
  <c r="D103" i="4"/>
  <c r="D88" i="4"/>
  <c r="D107" i="4"/>
  <c r="D106" i="4"/>
  <c r="D113" i="4"/>
  <c r="D34" i="4"/>
  <c r="D117" i="4"/>
  <c r="G34" i="4"/>
  <c r="D110" i="4"/>
  <c r="D15" i="4"/>
  <c r="D115" i="4"/>
  <c r="D98" i="4"/>
  <c r="D83" i="4"/>
  <c r="D114" i="4"/>
  <c r="D96" i="4"/>
  <c r="D111" i="4"/>
  <c r="D104" i="4"/>
  <c r="D13" i="4"/>
  <c r="D125" i="4"/>
  <c r="D90" i="4"/>
  <c r="D118" i="4"/>
  <c r="D100" i="4"/>
  <c r="D89" i="4"/>
  <c r="D93" i="4"/>
  <c r="D97" i="4"/>
  <c r="D78" i="4"/>
  <c r="D129" i="4"/>
  <c r="D121" i="4"/>
  <c r="B6" i="4"/>
  <c r="D143" i="4"/>
  <c r="E143" i="4"/>
  <c r="D29" i="4"/>
  <c r="F143" i="4"/>
  <c r="E29" i="4"/>
  <c r="C143" i="4"/>
  <c r="D45" i="3" a="1"/>
  <c r="D45" i="3" s="1"/>
  <c r="D23" i="3"/>
  <c r="D55" i="3"/>
  <c r="B7" i="4" s="1"/>
  <c r="D46" i="3" a="1"/>
  <c r="D46" i="3" s="1"/>
  <c r="M14" i="3"/>
  <c r="D14" i="4" a="1"/>
  <c r="E36" i="4" a="1"/>
  <c r="D16" i="4" a="1"/>
  <c r="D36" i="4" a="1"/>
  <c r="G36" i="4" a="1"/>
  <c r="F36" i="4" a="1"/>
  <c r="G131" i="4" l="1"/>
  <c r="F133" i="4"/>
  <c r="F132" i="4"/>
  <c r="G133" i="4"/>
  <c r="F36" i="4"/>
  <c r="G36" i="4"/>
  <c r="D36" i="4"/>
  <c r="D16" i="4"/>
  <c r="E36" i="4"/>
  <c r="D14" i="4"/>
  <c r="F131" i="4"/>
  <c r="G13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<sst xmlns="http://schemas.openxmlformats.org/spreadsheetml/2006/main" count="351" uniqueCount="252">
  <si>
    <t xml:space="preserve">Прогноз продаж нового продукта</t>
  </si>
  <si>
    <t xml:space="preserve">Пример МоделРиск  ·  Корпоративные финансы  ·  CF-02</t>
  </si>
  <si>
    <t xml:space="preserve">Выполнит ли запуск бизнес-план?  Восемь лет продаж анализаторов и расходных материалов с диапазоном вокруг них.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</si>
  <si>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</si>
  <si>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</si>
  <si>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</si>
  <si>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Корпоративные финансы</t>
  </si>
  <si>
    <t xml:space="preserve">Сложность</t>
  </si>
  <si>
    <t xml:space="preserve">★★★☆☆   Два экспертных временных ряда: внедрение на ограниченном рынке и расходные материалы на анализатор по годам.</t>
  </si>
  <si>
    <t xml:space="preserve">Вопрос бизнеса</t>
  </si>
  <si>
    <t xml:space="preserve">Производитель медицинского оборудования выводит на рынок анализатор экспресс-диагностики для больниц. Каждая больница покупает один анализатор, а потом каждый год покупает к нему расходные материалы. Бизнес-план маркетинга прогнозирует выручку по годам. Насколько вероятно, что запуск выполнит этот план, к какому диапазону компании нужно готовиться и что его определяет?</t>
  </si>
  <si>
    <t xml:space="preserve">Для кого</t>
  </si>
  <si>
    <t xml:space="preserve">Продуктовым, маркетинговым и финансовым командам, которые готовят прогноз запуска или бюджет; службам развития бизнеса и стратегии.</t>
  </si>
  <si>
    <t xml:space="preserve">Основные результаты</t>
  </si>
  <si>
    <t xml:space="preserve">Выручка по годам с диапазоном · выручка за восемь лет в сравнении с бизнес-планом · вероятность выполнить план в целом и по годам · выручка, достигаемая с выбранной надежностью · установленные анализаторы · расходные материалы на анализатор за весь срок с корреляцией между годами и без нее · ключевые факторы.</t>
  </si>
  <si>
    <t xml:space="preserve">Приемы МоделРиск</t>
  </si>
  <si>
    <t xml:space="preserve">Внедрение на ограниченном рынке как экспертный временной ряд (VoseTimeSMESaturation) · расходные материалы на анализатор как годовые трехточечные оценки с корреляцией между годами (VoseTimeSMEThreePoint) · коэффициент принятия рынком (PERT) · веерная диаграмма выручки по годам.</t>
  </si>
  <si>
    <t xml:space="preserve">Файл</t>
  </si>
  <si>
    <t xml:space="preserve">CF-02 Прогноз продаж нового продукта  ·  Версия 1.0  ·  Ноябрь 2026  ·  создано в МоделРиск</t>
  </si>
  <si>
    <t xml:space="preserve">Вопрос бизнеса</t>
  </si>
  <si>
    <t xml:space="preserve">Производитель медицинского оборудования выводит на рынок анализатор для экспресс-диагностики. Его могут использовать около 2400 больниц. Каждая покупает один анализатор примерно за 150 000 долл., а потом каждый год покупает к нему расходные материалы — примерно на 90 000 долл. при полной загрузке. Отдел маркетинга оценил для каждого года долю больниц без анализатора, которые его купят, и диапазон расходных материалов на один анализатор. Бизнес-план перемножает наиболее вероятные значения. Но вся кривая внедрения может идти быстрее или медленнее, чем ожидает маркетинг, а потребление расходных материалов неопределенно и устойчиво: больница, которая активно использует анализатор в одном году, скорее всего, будет делать так и в следующем. Модель учитывает и то и другое и сравнивает прогноз с планом.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</si>
  <si>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</si>
  <si>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</si>
  <si>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</si>
  <si>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Число больниц; коэффициент принятия рынком (PERT), который ускоряет или замедляет всю кривую внедрения; цена анализатора (PERT); для каждого года — доля больниц без анализатора, которые его купят, и минимальный, наиболее вероятный и максимальный объем расходных материалов на анализатор.</t>
  </si>
  <si>
    <t xml:space="preserve">2  Прогноз</t>
  </si>
  <si>
    <t xml:space="preserve">VoseTimeSMESaturation разыгрывает анализаторы, установленные за год, из числа больниц без анализатора по темпам внедрения, умноженным на коэффициент принятия. VoseTimeSMEThreePoint разыгрывает расходные материалы на анализатор для каждого года по диапазонам экспертов с корреляцией между годами. Выручка = проданные анализаторы × цена + работающие анализаторы × расходные материалы. Бизнес-план повторяет те же строки с наиболее вероятными значениями.</t>
  </si>
  <si>
    <t xml:space="preserve">3  Результаты</t>
  </si>
  <si>
    <t xml:space="preserve">Выручка за восемь лет и по годам в сравнении с планом, выручка с выбранной надежностью, диапазон по годам, установленные анализаторы, насколько корреляция между годами расширяет диапазон расходных материалов, и ключевые факторы.</t>
  </si>
  <si>
    <t xml:space="preserve">Как пользоваться моделью</t>
  </si>
  <si>
    <t xml:space="preserve">Шаг 1</t>
  </si>
  <si>
    <t xml:space="preserve">Введите свой рынок, цены и диапазон принятия, затем темпы внедрения и диапазоны расходных материалов по годам от экспертов.</t>
  </si>
  <si>
    <t xml:space="preserve">Шаг 2</t>
  </si>
  <si>
    <t xml:space="preserve">Нажмите F9 на листе «Прогноз», чтобы увидеть другие возможные запуски.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</si>
  <si>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</si>
  <si>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</si>
  <si>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</si>
  <si>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Планируйте мощности и бюджеты по диапазону, а не по однострочному плану; задайте надежность цели продаж на листе «Исходные данные» и посмотрите цель на листе «Результаты».</t>
  </si>
  <si>
    <t xml:space="preserve">Структура модели</t>
  </si>
  <si>
    <t xml:space="preserve">Исходные данные</t>
  </si>
  <si>
    <t xml:space="preserve">Рынок, принятие, цена и расходные материалы, надежность цели; экспертный прогноз по годам.</t>
  </si>
  <si>
    <t xml:space="preserve">Прогноз</t>
  </si>
  <si>
    <t xml:space="preserve">Установки, парк анализаторов, расходные материалы и выручка по годам; бизнес-план; выходы и проверки.</t>
  </si>
  <si>
    <t xml:space="preserve">Результаты</t>
  </si>
  <si>
    <t xml:space="preserve">Выручка в сравнении с планом, веерная диаграмма, корреляция между годами, ключевые факторы.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</si>
  <si>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</si>
  <si>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</si>
  <si>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</si>
  <si>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</si>
  <si>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</si>
  <si>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</si>
  <si>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</si>
  <si>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</si>
  <si>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</si>
  <si>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</si>
  <si>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</si>
  <si>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</si>
  <si>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</si>
  <si>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долл.); цена анализатора и расходные материалы в тыс. долл.</t>
  </si>
  <si>
    <t xml:space="preserve">Годы</t>
  </si>
  <si>
    <t xml:space="preserve">Год 1 — год запуска; восемь лет продаж.</t>
  </si>
  <si>
    <t xml:space="preserve">Темп внедрения</t>
  </si>
  <si>
    <t xml:space="preserve">Доля больниц без анализатора, которые купят его за год.</t>
  </si>
  <si>
    <t xml:space="preserve">Бизнес-план</t>
  </si>
  <si>
    <t xml:space="preserve">Тот же прогноз со всеми оценками на наиболее вероятном значении и ожидаемым числом установок.</t>
  </si>
  <si>
    <t xml:space="preserve">Основные допущения и ограничения</t>
  </si>
  <si>
    <t xml:space="preserve">Рынок</t>
  </si>
  <si>
    <t xml:space="preserve">Фиксированный круг больниц, каждая покупает один анализатор; без замен и продуктов конкурентов.</t>
  </si>
  <si>
    <t xml:space="preserve">Расходные материалы</t>
  </si>
  <si>
    <t xml:space="preserve">Анализатор, установленный в течение года, потребляет расходные материалы только часть года: в исходной версии половину.</t>
  </si>
  <si>
    <t xml:space="preserve">Зависимость</t>
  </si>
  <si>
    <t xml:space="preserve">Потребление расходных материалов коррелирует между годами; внедрение и расходные материалы не зависят друг от друга.</t>
  </si>
  <si>
    <t xml:space="preserve">Данные</t>
  </si>
  <si>
    <t xml:space="preserve">Продукт и все цифры придуманы для этого примера.</t>
  </si>
  <si>
    <t xml:space="preserve">Функции МоделРиск в модели</t>
  </si>
  <si>
    <t>VoseTimeSMESaturation</t>
  </si>
  <si>
    <t xml:space="preserve">Анализаторы, установленные за год: больница «конвертируется» один раз с условной годовой вероятностью.</t>
  </si>
  <si>
    <t>VoseTimeSMEThreePoint</t>
  </si>
  <si>
    <t xml:space="preserve">Расходные материалы на анализатор для каждого года по минимуму, наиболее вероятному значению и максимуму экспертов с коэффициентом корреляции между годами.</t>
  </si>
  <si>
    <t>VosePERT</t>
  </si>
  <si>
    <t xml:space="preserve">Принятие рынком и цена анализатора.</t>
  </si>
  <si>
    <t>VoseInput, VoseOutput</t>
  </si>
  <si>
    <t xml:space="preserve">Обозначить факторы и выходы, включая выручку каждого года.</t>
  </si>
  <si>
    <t>VoseSimMean, VoseSimPercentile, VoseSimProbability</t>
  </si>
  <si>
    <t xml:space="preserve">Статистика моделирования для таблиц и графиков на листе «Результаты»: цель с выбранной надежностью, вероятность выполнить план каждого года.</t>
  </si>
  <si>
    <t>VoseSimSensitivityMean</t>
  </si>
  <si>
    <t xml:space="preserve">Диаграмма «торнадо»: все VoseInput ранжированы по тому, насколько меняется средняя выручка за 8 лет на их диапазоне.</t>
  </si>
  <si>
    <t xml:space="preserve">Что почитать</t>
  </si>
  <si>
    <t xml:space="preserve">Экспертные временные ряды</t>
  </si>
  <si>
    <t xml:space="preserve">Справка МоделРиск: прогнозы временных рядов по оценкам экспертов (SME).</t>
  </si>
  <si>
    <t xml:space="preserve">Анализ рисков</t>
  </si>
  <si>
    <t xml:space="preserve">Экспертная оценка рисков: как получить надежные оценки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</si>
  <si>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</si>
  <si>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</si>
  <si>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</si>
  <si>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Прогноз  ▸</t>
  </si>
  <si>
    <t xml:space="preserve">Как читать этот лист:  желтые ячейки — исходные данные.  В оранжевых ячейках распределения МоделРиск, они показывают текущее случайное значение (F9 — выбрать заново).  Мин. / Наиболее вероятное / Макс. — минимум, наиболее вероятное значение и максимум для PERT.  Среднее — среднее значение распределения (VoseMean); если диапазон задан неверно, показывается ✗.</t>
  </si>
  <si>
    <t xml:space="preserve">1   Рынок</t>
  </si>
  <si>
    <t xml:space="preserve">Кто может купить анализатор и насколько охотно.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</si>
  <si>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</si>
  <si>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</si>
  <si>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</si>
  <si>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</si>
  <si>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Мин.</t>
  </si>
  <si>
    <t xml:space="preserve">Наиболее вероятное</t>
  </si>
  <si>
    <t xml:space="preserve">Макс.</t>
  </si>
  <si>
    <t xml:space="preserve">Среднее</t>
  </si>
  <si>
    <t xml:space="preserve">Обоснование / источник (условно)</t>
  </si>
  <si>
    <t xml:space="preserve">Больницы, которые могут купить анализатор</t>
  </si>
  <si>
    <t xml:space="preserve">больниц</t>
  </si>
  <si>
    <t xml:space="preserve">Константа</t>
  </si>
  <si>
    <t xml:space="preserve">Каждая покупает один; рынок ограничен.</t>
  </si>
  <si>
    <t xml:space="preserve">Принятие рынком</t>
  </si>
  <si>
    <t xml:space="preserve">× темпы внедрения</t>
  </si>
  <si>
    <t>PERT</t>
  </si>
  <si>
    <t xml:space="preserve">Ускоряет или замедляет всю кривую внедрения.</t>
  </si>
  <si>
    <t xml:space="preserve">Год запуска</t>
  </si>
  <si>
    <t xml:space="preserve">год</t>
  </si>
  <si>
    <t xml:space="preserve">2   Цена и расходные материалы</t>
  </si>
  <si>
    <t xml:space="preserve">Цена анализатора; какую долю первого года анализатор потребляет расходные материалы и насколько устойчиво их потребление.</t>
  </si>
  <si>
    <t xml:space="preserve">Цена анализатора</t>
  </si>
  <si>
    <t xml:space="preserve">тыс. долл.</t>
  </si>
  <si>
    <t xml:space="preserve">Прайс-листовая цена 155 000 долл.; скидки первым покупателям.</t>
  </si>
  <si>
    <t xml:space="preserve">Расходные материалы в первый год работы анализатора</t>
  </si>
  <si>
    <t xml:space="preserve">от полного года</t>
  </si>
  <si>
    <t xml:space="preserve">Установки распределены по году: в среднем полгода работы.</t>
  </si>
  <si>
    <t xml:space="preserve">Корреляция потребления расходных материалов между годами</t>
  </si>
  <si>
    <t xml:space="preserve">от 0 до 1</t>
  </si>
  <si>
    <t xml:space="preserve">Активное использование в одном году обычно продолжается и в следующем.</t>
  </si>
  <si>
    <t xml:space="preserve">3   Целевые значения</t>
  </si>
  <si>
    <t xml:space="preserve">Насколько надежной должна быть цель продаж.</t>
  </si>
  <si>
    <t xml:space="preserve">Надежность цели продаж</t>
  </si>
  <si>
    <t xml:space="preserve">Цель — выручка, которой прогноз достигает в этой доле сценариев.</t>
  </si>
  <si>
    <t xml:space="preserve">4   Экспертный прогноз по годам</t>
  </si>
  <si>
    <t xml:space="preserve">Темпы внедрения по оценке маркетинга и расходные материалы на анализатор в каждом году (тыс. долл.).</t>
  </si>
  <si>
    <t xml:space="preserve">Год</t>
  </si>
  <si>
    <t xml:space="preserve">Календарный год</t>
  </si>
  <si>
    <t xml:space="preserve">от тех, у кого нет</t>
  </si>
  <si>
    <t xml:space="preserve">Год 1</t>
  </si>
  <si>
    <t xml:space="preserve">PERT по годам</t>
  </si>
  <si>
    <t xml:space="preserve">Год запуска: первые покупатели, первые протоколы.</t>
  </si>
  <si>
    <t xml:space="preserve">Год 2</t>
  </si>
  <si>
    <t xml:space="preserve">Год 3</t>
  </si>
  <si>
    <t xml:space="preserve">Потребление растет, по мере того как на анализатор переходит больше исследований.</t>
  </si>
  <si>
    <t xml:space="preserve">Год 4</t>
  </si>
  <si>
    <t xml:space="preserve">Устойчивое потребление с 4-го года.</t>
  </si>
  <si>
    <t xml:space="preserve">Год 5</t>
  </si>
  <si>
    <t xml:space="preserve">Год 6</t>
  </si>
  <si>
    <t xml:space="preserve">Год 7</t>
  </si>
  <si>
    <t xml:space="preserve">Остались больницы, которые медленно внедряют новое.</t>
  </si>
  <si>
    <t xml:space="preserve">Год 8</t>
  </si>
  <si>
    <t xml:space="preserve">ПРОГНОЗ   ·   Восемь лет установок, расходных материалов и выручки рядом с бизнес-планом.</t>
  </si>
  <si>
    <t xml:space="preserve">◂  Исходные данные</t>
  </si>
  <si>
    <t xml:space="preserve">Далее:  Результаты  ▸</t>
  </si>
  <si>
    <t xml:space="preserve">Итого</t>
  </si>
  <si>
    <t xml:space="preserve">Начало</t>
  </si>
  <si>
    <t xml:space="preserve">1   Установлено анализаторов</t>
  </si>
  <si>
    <t xml:space="preserve">VoseTimeSMESaturation: каждый год больницы без анализатора покупают его с темпом этого года.</t>
  </si>
  <si>
    <t xml:space="preserve">Темп внедрения в этом году</t>
  </si>
  <si>
    <t xml:space="preserve">Новые установленные анализаторы</t>
  </si>
  <si>
    <t xml:space="preserve">анализаторов</t>
  </si>
  <si>
    <t xml:space="preserve">Анализаторов установлено на конец года</t>
  </si>
  <si>
    <t xml:space="preserve">Больниц еще без анализатора</t>
  </si>
  <si>
    <t xml:space="preserve">2   Расходные материалы</t>
  </si>
  <si>
    <t xml:space="preserve">VoseTimeSMEThreePoint: диапазон экспертов для каждого года с корреляцией между годами.</t>
  </si>
  <si>
    <t xml:space="preserve">Расходные материалы на анализатор</t>
  </si>
  <si>
    <t xml:space="preserve">Работающие анализаторы  (в среднем за год)</t>
  </si>
  <si>
    <t xml:space="preserve">3   Выручка</t>
  </si>
  <si>
    <t xml:space="preserve">Продажи анализаторов</t>
  </si>
  <si>
    <t xml:space="preserve">млн долл.</t>
  </si>
  <si>
    <t xml:space="preserve">Выручка  (выход)</t>
  </si>
  <si>
    <t xml:space="preserve">4   Бизнес-план</t>
  </si>
  <si>
    <t xml:space="preserve">Те же строки с наиболее вероятными значениями: принятие, цена и расходные материалы на наиболее вероятном уровне и ожидаемое число установок.</t>
  </si>
  <si>
    <t xml:space="preserve">Установлено анализаторов  (ожидаемое)</t>
  </si>
  <si>
    <t xml:space="preserve">Плановая выручка</t>
  </si>
  <si>
    <t xml:space="preserve">5   Для сравнения: расходные материалы с независимыми годами</t>
  </si>
  <si>
    <t xml:space="preserve">Те же диапазоны экспертов с коэффициентом корреляции 0.</t>
  </si>
  <si>
    <t xml:space="preserve">Расходные материалы на анализатор, независимые годы</t>
  </si>
  <si>
    <t xml:space="preserve">6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</si>
  <si>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</si>
  <si>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</si>
  <si>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Значение</t>
  </si>
  <si>
    <t xml:space="preserve">Смысл</t>
  </si>
  <si>
    <t xml:space="preserve">Выручка за 8 лет</t>
  </si>
  <si>
    <t xml:space="preserve">Бизнес-план: выручка за 8 лет</t>
  </si>
  <si>
    <t xml:space="preserve">План за 8 лет выполнен?  (1 — да)</t>
  </si>
  <si>
    <t>1 / 0</t>
  </si>
  <si>
    <t xml:space="preserve">Установлено анализаторов через 8 лет</t>
  </si>
  <si>
    <t xml:space="preserve">Расходные материалы на анализатор за 8 лет</t>
  </si>
  <si>
    <t xml:space="preserve">Сумма восьми лет с корреляцией по оценке экспертов.</t>
  </si>
  <si>
    <t xml:space="preserve">То же с независимыми годами</t>
  </si>
  <si>
    <t xml:space="preserve">Уровень расходных материалов  (в среднем на анализатор в год)</t>
  </si>
  <si>
    <t xml:space="preserve">Помечено как входная величина для диаграммы «торнадо».</t>
  </si>
  <si>
    <t xml:space="preserve">7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</si>
  <si>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</si>
  <si>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Диапазоны экспертов: мин. ≤ наиболее вероятное ≤ макс. в каждом году</t>
  </si>
  <si>
    <t xml:space="preserve">Темпы внедрения × принятие остаются ниже 100%</t>
  </si>
  <si>
    <t xml:space="preserve">Анализаторов не больше, чем больниц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</si>
  <si>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</si>
  <si>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Прогноз</t>
  </si>
  <si>
    <t xml:space="preserve">1   Прогноз в сравнении с бизнес-планом</t>
  </si>
  <si>
    <t xml:space="preserve">Выручка по годам — от 10-го до 90-го процентиля</t>
  </si>
  <si>
    <t xml:space="preserve">План перемножает наиболее вероятные значения, моделирование — нет.</t>
  </si>
  <si>
    <t xml:space="preserve">Показатель</t>
  </si>
  <si>
    <t xml:space="preserve">Средняя выручка за 8 лет  (моделирование)</t>
  </si>
  <si>
    <t xml:space="preserve">Вероятность выполнить план на 8 лет</t>
  </si>
  <si>
    <t xml:space="preserve">вероятность</t>
  </si>
  <si>
    <t xml:space="preserve">Среднее число установленных анализаторов через 8 лет</t>
  </si>
  <si>
    <t xml:space="preserve">2   По годам</t>
  </si>
  <si>
    <t xml:space="preserve">План в сравнении со смоделированной выручкой (млн долл.) и вероятность выполнить план в каждом году.</t>
  </si>
  <si>
    <t xml:space="preserve">План</t>
  </si>
  <si>
    <t xml:space="preserve">Медиана</t>
  </si>
  <si>
    <t xml:space="preserve">Вероятность</t>
  </si>
  <si>
    <t xml:space="preserve">выполнения</t>
  </si>
  <si>
    <t xml:space="preserve">Выручка за 8 лет — накопленная вероятность</t>
  </si>
  <si>
    <t xml:space="preserve">3   Выручка и анализаторы</t>
  </si>
  <si>
    <t xml:space="preserve">10-й процентиль, медиана и 90-й процентиль.</t>
  </si>
  <si>
    <t xml:space="preserve">10-й проц.</t>
  </si>
  <si>
    <t xml:space="preserve">90-й проц.</t>
  </si>
  <si>
    <t xml:space="preserve">Выручка в 5-м году</t>
  </si>
  <si>
    <t xml:space="preserve">4   Как читать результаты</t>
  </si>
  <si>
    <t xml:space="preserve">•  Бизнес-план перемножает наиболее вероятные значения. Поскольку внедрение скорее пойдет медленнее, чем ожидает маркетинг, чем быстрее, план оказывается выше середины диапазона: вероятность его выполнить меньше половины — около 40% в каждом году, как показывает таблица по годам.</t>
  </si>
  <si>
    <t xml:space="preserve">•  Прогноз определяет принятие рынком: оно сдвигает все годы в одну сторону. Следом идут расходные материалы; цена анализатора почти не важна, потому что большая часть выручки приходится на расходные материалы (модель «бритва и лезвия»).</t>
  </si>
  <si>
    <t xml:space="preserve">•  Корреляция между годами меняет диапазон, а не среднее. Если потребление устойчиво, за медленным годом следуют еще медленные годы, и итог разбросан более чем вдвое шире, чем при независимых годах. Без корреляции прогноз выглядел бы гораздо определеннее, чем он есть.</t>
  </si>
  <si>
    <t xml:space="preserve">•  С каждым годом диапазон выручки шире, потому что все большая ее часть зависит от того, сколько анализаторов установлено. Планируйте мощности и бюджеты по этому диапазону, а цели задавайте с надежностью с листа «Исходные данные».</t>
  </si>
  <si>
    <t xml:space="preserve">5   Почему важна корреляция между годами</t>
  </si>
  <si>
    <t xml:space="preserve">Расходные материалы на анализатор за 8 лет — накопленная вероятность</t>
  </si>
  <si>
    <t xml:space="preserve">Расходные материалы на один анализатор за восемь лет (тыс. долл.).</t>
  </si>
  <si>
    <t xml:space="preserve">С корреляцией между годами по оценке экспертов</t>
  </si>
  <si>
    <t xml:space="preserve">С независимыми годами</t>
  </si>
  <si>
    <t xml:space="preserve">6   Что определяет выручку за 8 лет</t>
  </si>
  <si>
    <t xml:space="preserve">Что определяет выручку за 8 лет  (млн долл.)</t>
  </si>
  <si>
    <t xml:space="preserve">Наименьшее и наибольшее среднее выручки за 8 лет по десяти равным группам каждого фактора (VoseSimSensitivityMean) относительно общего среднего.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</si>
  <si>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</si>
  <si>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</si>
  <si>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</si>
  <si>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</si>
  <si>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</si>
  <si>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</si>
  <si>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</si>
  <si>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</si>
  <si>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Rev_Total</t>
  </si>
  <si>
    <t>LifeCons</t>
  </si>
  <si>
    <t>LifeCons0</t>
  </si>
  <si>
    <t xml:space="preserve">Общее среднее Rev_Total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</si>
  <si>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</si>
  <si>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</si>
  <si>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</si>
  <si>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 xml:space="preserve">Период</t>
  </si>
  <si>
    <t xml:space="preserve">10-й процентиль</t>
  </si>
  <si>
    <t xml:space="preserve">90-й процентиль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</si>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</sst>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&quot;–&quot;_)"/>
    <numFmt numFmtId="165" formatCode="0.0%"/>
    <numFmt numFmtId="166" formatCode="#,##0.0_);\(#,##0.0\);&quot;–&quot;_)"/>
    <numFmt numFmtId="167" formatCode="#,##0.00_);\(#,##0.00\);&quot;–&quot;_)"/>
    <numFmt numFmtId="168" formatCode="#,##0_);\(#,##0\);&quot;–&quot;_);&quot;–&quot;"/>
    <numFmt numFmtId="169" formatCode="0.0%;\-0.0%;0.0%;&quot;–&quot;"/>
    <numFmt numFmtId="170" formatCode="#,##0.0_);\(#,##0.0\);&quot;–&quot;_);&quot;–&quot;"/>
    <numFmt numFmtId="171" formatCode="0;\-0;0;&quot;–&quot;"/>
  </numFmts>
  <fonts count="27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8"/>
      <color rgb="FF55585F"/>
      <name val="Calibri"/>
    </font>
    <font>
      <b/>
      <sz val="9"/>
      <color rgb="FF111214"/>
      <name val="Calibri"/>
    </font>
    <font>
      <b/>
      <sz val="9"/>
      <color rgb="FF8B8E95"/>
      <name val="Calibri"/>
    </font>
    <font>
      <sz val="10"/>
      <color rgb="FF8B8E95"/>
      <name val="Calibri"/>
    </font>
    <font>
      <b/>
      <sz val="10"/>
      <color rgb="FF15803D"/>
      <name val="Calibri"/>
    </font>
    <font>
      <sz val="10"/>
      <color rgb="FF55585F"/>
      <name val="Calibri"/>
    </font>
    <font>
      <b/>
      <sz val="13"/>
      <color rgb="FF1F2328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1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87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2" fontId="2" fillId="3" borderId="7" xfId="2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2" fontId="3" fillId="0" borderId="8" xfId="3" applyNumberFormat="1" applyBorder="1">
      <alignment horizontal="right" vertical="center"/>
    </xf>
    <xf numFmtId="1" fontId="1" fillId="2" borderId="7" xfId="1" applyNumberFormat="1" applyBorder="1">
      <alignment horizontal="right" vertical="center"/>
    </xf>
    <xf numFmtId="164" fontId="2" fillId="3" borderId="7" xfId="2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9" fillId="7" borderId="4" xfId="0" applyFont="1" applyFill="1" applyBorder="1" applyAlignment="1">
      <alignment horizontal="right" vertical="center"/>
    </xf>
    <xf numFmtId="1" fontId="3" fillId="0" borderId="8" xfId="3" applyNumberFormat="1" applyBorder="1" applyAlignment="1">
      <alignment horizontal="left" vertical="center" indent="1"/>
    </xf>
    <xf numFmtId="0" fontId="17" fillId="7" borderId="0" xfId="0" applyFont="1" applyFill="1" applyAlignment="1">
      <alignment horizontal="left" vertical="center" indent="1"/>
    </xf>
    <xf numFmtId="0" fontId="0" fillId="7" borderId="0" xfId="0" applyFill="1"/>
    <xf numFmtId="0" fontId="17" fillId="7" borderId="0" xfId="0" applyFont="1" applyFill="1" applyAlignment="1">
      <alignment horizontal="right" vertical="center"/>
    </xf>
    <xf numFmtId="0" fontId="21" fillId="7" borderId="0" xfId="0" applyFont="1" applyFill="1" applyAlignment="1">
      <alignment horizontal="right" vertical="center"/>
    </xf>
    <xf numFmtId="1" fontId="20" fillId="7" borderId="0" xfId="0" applyNumberFormat="1" applyFont="1" applyFill="1" applyAlignment="1">
      <alignment horizontal="right" vertical="center"/>
    </xf>
    <xf numFmtId="1" fontId="18" fillId="7" borderId="4" xfId="0" applyNumberFormat="1" applyFont="1" applyFill="1" applyBorder="1" applyAlignment="1">
      <alignment horizontal="right" vertical="center"/>
    </xf>
    <xf numFmtId="165" fontId="3" fillId="0" borderId="8" xfId="3" applyNumberFormat="1" applyBorder="1">
      <alignment horizontal="right" vertical="center"/>
    </xf>
    <xf numFmtId="164" fontId="22" fillId="0" borderId="8" xfId="3" applyNumberFormat="1" applyFont="1" applyBorder="1">
      <alignment horizontal="right" vertical="center"/>
    </xf>
    <xf numFmtId="166" fontId="2" fillId="3" borderId="7" xfId="2" applyNumberFormat="1" applyBorder="1">
      <alignment horizontal="right" vertical="center"/>
    </xf>
    <xf numFmtId="166" fontId="3" fillId="0" borderId="8" xfId="3" applyNumberFormat="1" applyBorder="1">
      <alignment horizontal="right" vertical="center"/>
    </xf>
    <xf numFmtId="167" fontId="12" fillId="0" borderId="8" xfId="3" applyNumberFormat="1" applyFont="1" applyBorder="1">
      <alignment horizontal="right" vertical="center"/>
    </xf>
    <xf numFmtId="167" fontId="3" fillId="0" borderId="8" xfId="3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67" fontId="12" fillId="4" borderId="9" xfId="4" applyNumberFormat="1" applyFont="1" applyBorder="1">
      <alignment horizontal="right" vertical="center"/>
    </xf>
    <xf numFmtId="166" fontId="22" fillId="0" borderId="8" xfId="3" applyNumberFormat="1" applyFont="1" applyBorder="1">
      <alignment horizontal="right" vertical="center"/>
    </xf>
    <xf numFmtId="0" fontId="17" fillId="7" borderId="4" xfId="0" applyFont="1" applyFill="1" applyBorder="1" applyAlignment="1">
      <alignment horizontal="right" vertical="center"/>
    </xf>
    <xf numFmtId="166" fontId="4" fillId="4" borderId="9" xfId="4" applyNumberFormat="1" applyBorder="1">
      <alignment horizontal="right" vertical="center"/>
    </xf>
    <xf numFmtId="1" fontId="4" fillId="4" borderId="9" xfId="4" applyNumberFormat="1" applyBorder="1">
      <alignment horizontal="right" vertical="center"/>
    </xf>
    <xf numFmtId="164" fontId="4" fillId="4" borderId="9" xfId="4" applyNumberFormat="1" applyBorder="1">
      <alignment horizontal="right" vertical="center"/>
    </xf>
    <xf numFmtId="0" fontId="23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6" fillId="0" borderId="5" xfId="0" applyFont="1" applyBorder="1"/>
    <xf numFmtId="0" fontId="24" fillId="0" borderId="6" xfId="0" applyFont="1" applyBorder="1" applyAlignment="1">
      <alignment horizontal="left" vertical="center" indent="1"/>
    </xf>
    <xf numFmtId="168" fontId="25" fillId="5" borderId="7" xfId="5" applyNumberFormat="1" applyFont="1" applyBorder="1">
      <alignment horizontal="right" vertical="center"/>
    </xf>
    <xf numFmtId="169" fontId="1" fillId="5" borderId="7" xfId="5" applyNumberFormat="1" applyBorder="1">
      <alignment horizontal="right" vertical="center"/>
    </xf>
    <xf numFmtId="168" fontId="1" fillId="5" borderId="7" xfId="5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1" fontId="3" fillId="0" borderId="6" xfId="0" applyNumberFormat="1" applyFont="1" applyBorder="1" applyAlignment="1">
      <alignment horizontal="left" vertical="center" indent="1"/>
    </xf>
    <xf numFmtId="170" fontId="1" fillId="5" borderId="7" xfId="5" applyNumberFormat="1" applyBorder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171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70" fontId="1" fillId="5" borderId="1" xfId="5" applyNumberFormat="1">
      <alignment horizontal="right" vertical="center"/>
    </xf>
    <xf numFmtId="0" fontId="24" fillId="0" borderId="0" xfId="0" applyFont="1" applyAlignment="1">
      <alignment horizontal="left" vertical="center" indent="1"/>
    </xf>
    <xf numFmtId="166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8">
    <dxf>
      <font>
        <color rgb="FF8B8E95"/>
      </font>
    </dxf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90-й процентиль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numRef>
              <c:f>'Результаты'!$B$136:$B$143</c:f>
              <c:numCache>
                <c:formatCode>General</c:formatCode>
                <c:ptCount val="8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</c:numCache>
            </c:numRef>
          </c:cat>
          <c:val>
            <c:numRef>
              <c:f>'Результаты'!$E$136:$E$143</c:f>
              <c:numCache>
                <c:formatCode>#,##0.00</c:formatCode>
                <c:ptCount val="8"/>
                <c:pt idx="0">
                  <c:v>10.549330554182861</c:v>
                </c:pt>
                <c:pt idx="1">
                  <c:v>25.120839196464473</c:v>
                </c:pt>
                <c:pt idx="2">
                  <c:v>50.227519809008662</c:v>
                </c:pt>
                <c:pt idx="3">
                  <c:v>76.00167482771819</c:v>
                </c:pt>
                <c:pt idx="4">
                  <c:v>96.936067343988455</c:v>
                </c:pt>
                <c:pt idx="5">
                  <c:v>113.07394945353275</c:v>
                </c:pt>
                <c:pt idx="6">
                  <c:v>125.19186651881417</c:v>
                </c:pt>
                <c:pt idx="7">
                  <c:v>134.52423180461534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5A-427E-A61C-9D9F5CB3B25B}"/>
            </c:ext>
          </c:extLst>
        </c:ser>
        <c:ser>
          <c:idx val="1"/>
          <c:order val="1"/>
          <c:tx>
            <c:v>Медиана</c:v>
          </c:tx>
          <c:spPr>
            <a:ln w="28575">
              <a:solidFill>
                <a:srgbClr val="2F3136"/>
              </a:solidFill>
              <a:prstDash val="solid"/>
            </a:ln>
          </c:spPr>
          <c:marker>
            <c:symbol val="none"/>
          </c:marker>
          <c:cat>
            <c:numRef>
              <c:f>'Результаты'!$B$136:$B$143</c:f>
              <c:numCache>
                <c:formatCode>General</c:formatCode>
                <c:ptCount val="8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</c:numCache>
            </c:numRef>
          </c:cat>
          <c:val>
            <c:numRef>
              <c:f>'Результаты'!$D$136:$D$143</c:f>
              <c:numCache>
                <c:formatCode>#,##0.00</c:formatCode>
                <c:ptCount val="8"/>
                <c:pt idx="0">
                  <c:v>8.1241242990797762</c:v>
                </c:pt>
                <c:pt idx="1">
                  <c:v>20.083335369125045</c:v>
                </c:pt>
                <c:pt idx="2">
                  <c:v>40.502254177185399</c:v>
                </c:pt>
                <c:pt idx="3">
                  <c:v>61.350537614904027</c:v>
                </c:pt>
                <c:pt idx="4">
                  <c:v>78.086056088130448</c:v>
                </c:pt>
                <c:pt idx="5">
                  <c:v>91.094012400808666</c:v>
                </c:pt>
                <c:pt idx="6">
                  <c:v>99.990501371513304</c:v>
                </c:pt>
                <c:pt idx="7">
                  <c:v>107.42650938259747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5A-427E-A61C-9D9F5CB3B25B}"/>
            </c:ext>
          </c:extLst>
        </c:ser>
        <c:ser>
          <c:idx val="2"/>
          <c:order val="2"/>
          <c:tx>
            <c:v>Среднее</c:v>
          </c:tx>
          <c:spPr>
            <a:ln w="19050">
              <a:solidFill>
                <a:srgbClr val="B45309"/>
              </a:solidFill>
              <a:prstDash val="solid"/>
            </a:ln>
          </c:spPr>
          <c:marker>
            <c:symbol val="none"/>
          </c:marker>
          <c:cat>
            <c:numRef>
              <c:f>'Результаты'!$B$136:$B$143</c:f>
              <c:numCache>
                <c:formatCode>General</c:formatCode>
                <c:ptCount val="8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</c:numCache>
            </c:numRef>
          </c:cat>
          <c:val>
            <c:numRef>
              <c:f>'Результаты'!$F$136:$F$143</c:f>
              <c:numCache>
                <c:formatCode>#,##0.00</c:formatCode>
                <c:ptCount val="8"/>
                <c:pt idx="0">
                  <c:v>8.1360113695387515</c:v>
                </c:pt>
                <c:pt idx="1">
                  <c:v>20.022207586547413</c:v>
                </c:pt>
                <c:pt idx="2">
                  <c:v>40.321076323392887</c:v>
                </c:pt>
                <c:pt idx="3">
                  <c:v>61.207899763722125</c:v>
                </c:pt>
                <c:pt idx="4">
                  <c:v>78.17496193510857</c:v>
                </c:pt>
                <c:pt idx="5">
                  <c:v>91.428971183365874</c:v>
                </c:pt>
                <c:pt idx="6">
                  <c:v>100.63305812979721</c:v>
                </c:pt>
                <c:pt idx="7">
                  <c:v>108.05833262093029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5A-427E-A61C-9D9F5CB3B25B}"/>
            </c:ext>
          </c:extLst>
        </c:ser>
        <c:ser>
          <c:idx val="3"/>
          <c:order val="3"/>
          <c:tx>
            <c:v>10-й процентиль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numRef>
              <c:f>'Результаты'!$B$136:$B$143</c:f>
              <c:numCache>
                <c:formatCode>General</c:formatCode>
                <c:ptCount val="8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</c:numCache>
            </c:numRef>
          </c:cat>
          <c:val>
            <c:numRef>
              <c:f>'Результаты'!$C$136:$C$143</c:f>
              <c:numCache>
                <c:formatCode>#,##0.00</c:formatCode>
                <c:ptCount val="8"/>
                <c:pt idx="0">
                  <c:v>5.7235923512894571</c:v>
                </c:pt>
                <c:pt idx="1">
                  <c:v>14.759447567506932</c:v>
                </c:pt>
                <c:pt idx="2">
                  <c:v>30.118836631024926</c:v>
                </c:pt>
                <c:pt idx="3">
                  <c:v>46.241860995452782</c:v>
                </c:pt>
                <c:pt idx="4">
                  <c:v>59.462532027065507</c:v>
                </c:pt>
                <c:pt idx="5">
                  <c:v>69.732694082358364</c:v>
                </c:pt>
                <c:pt idx="6">
                  <c:v>77.109124672185828</c:v>
                </c:pt>
                <c:pt idx="7">
                  <c:v>82.814673961970342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5A-427E-A61C-9D9F5CB3B25B}"/>
            </c:ext>
          </c:extLst>
        </c:ser>
        <c:ser>
          <c:idx val="4"/>
          <c:order val="4"/>
          <c:tx>
            <c:v>Бизнес-план</c:v>
          </c:tx>
          <c:spPr>
            <a:ln w="22225">
              <a:solidFill>
                <a:srgbClr val="15803D"/>
              </a:solidFill>
              <a:prstDash val="solid"/>
            </a:ln>
          </c:spPr>
          <c:marker>
            <c:symbol val="none"/>
          </c:marker>
          <c:cat>
            <c:numRef>
              <c:f>'Результаты'!$B$136:$B$143</c:f>
              <c:numCache>
                <c:formatCode>General</c:formatCode>
                <c:ptCount val="8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</c:numCache>
            </c:numRef>
          </c:cat>
          <c:val>
            <c:numRef>
              <c:f>'Результаты'!$G$136:$G$143</c:f>
              <c:numCache>
                <c:formatCode>#,##0.00</c:formatCode>
                <c:ptCount val="8"/>
                <c:pt idx="0">
                  <c:v>8.64</c:v>
                </c:pt>
                <c:pt idx="1">
                  <c:v>21.24</c:v>
                </c:pt>
                <c:pt idx="2">
                  <c:v>42.502272000000005</c:v>
                </c:pt>
                <c:pt idx="3">
                  <c:v>63.864737280000007</c:v>
                </c:pt>
                <c:pt idx="4">
                  <c:v>81.283122431999999</c:v>
                </c:pt>
                <c:pt idx="5">
                  <c:v>94.754810188799993</c:v>
                </c:pt>
                <c:pt idx="6">
                  <c:v>103.861097849088</c:v>
                </c:pt>
                <c:pt idx="7">
                  <c:v>111.20700854071296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25A-427E-A61C-9D9F5CB3B2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Выручка за 8 лет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'Результаты'!$D$78:$D$127</c:f>
              <c:numCache>
                <c:formatCode>#,##0.00</c:formatCode>
                <c:ptCount val="50"/>
                <c:pt idx="0">
                  <c:v>306.56538576509001</c:v>
                </c:pt>
                <c:pt idx="1">
                  <c:v>341.461524536225</c:v>
                </c:pt>
                <c:pt idx="2">
                  <c:v>360.62420120336731</c:v>
                </c:pt>
                <c:pt idx="3">
                  <c:v>373.80439802972722</c:v>
                </c:pt>
                <c:pt idx="4">
                  <c:v>385.62864339252553</c:v>
                </c:pt>
                <c:pt idx="5">
                  <c:v>396.25681486681322</c:v>
                </c:pt>
                <c:pt idx="6">
                  <c:v>404.67687159311038</c:v>
                </c:pt>
                <c:pt idx="7">
                  <c:v>413.09972970214039</c:v>
                </c:pt>
                <c:pt idx="8">
                  <c:v>421.07719938506045</c:v>
                </c:pt>
                <c:pt idx="9">
                  <c:v>428.14325350878983</c:v>
                </c:pt>
                <c:pt idx="10">
                  <c:v>433.80054827679828</c:v>
                </c:pt>
                <c:pt idx="11">
                  <c:v>439.7718113113923</c:v>
                </c:pt>
                <c:pt idx="12">
                  <c:v>445.58142243282373</c:v>
                </c:pt>
                <c:pt idx="13">
                  <c:v>451.99799118215765</c:v>
                </c:pt>
                <c:pt idx="14">
                  <c:v>458.05069677055485</c:v>
                </c:pt>
                <c:pt idx="15">
                  <c:v>463.56762978404834</c:v>
                </c:pt>
                <c:pt idx="16">
                  <c:v>468.6049705584669</c:v>
                </c:pt>
                <c:pt idx="17">
                  <c:v>473.62617586844618</c:v>
                </c:pt>
                <c:pt idx="18">
                  <c:v>478.98649726201262</c:v>
                </c:pt>
                <c:pt idx="19">
                  <c:v>483.65273019235798</c:v>
                </c:pt>
                <c:pt idx="20">
                  <c:v>488.05984596906109</c:v>
                </c:pt>
                <c:pt idx="21">
                  <c:v>492.43814811160155</c:v>
                </c:pt>
                <c:pt idx="22">
                  <c:v>497.13425354520791</c:v>
                </c:pt>
                <c:pt idx="23">
                  <c:v>501.26845646569643</c:v>
                </c:pt>
                <c:pt idx="24">
                  <c:v>505.93509670701116</c:v>
                </c:pt>
                <c:pt idx="25">
                  <c:v>510.39619140062001</c:v>
                </c:pt>
                <c:pt idx="26">
                  <c:v>514.78369109142341</c:v>
                </c:pt>
                <c:pt idx="27">
                  <c:v>518.89740422062562</c:v>
                </c:pt>
                <c:pt idx="28">
                  <c:v>523.55673954242104</c:v>
                </c:pt>
                <c:pt idx="29">
                  <c:v>528.13610043846734</c:v>
                </c:pt>
                <c:pt idx="30">
                  <c:v>533.54639609758249</c:v>
                </c:pt>
                <c:pt idx="31">
                  <c:v>538.74389209021092</c:v>
                </c:pt>
                <c:pt idx="32">
                  <c:v>544.22761504182336</c:v>
                </c:pt>
                <c:pt idx="33">
                  <c:v>548.81908794093408</c:v>
                </c:pt>
                <c:pt idx="34">
                  <c:v>553.59923436817769</c:v>
                </c:pt>
                <c:pt idx="35">
                  <c:v>559.67394830733463</c:v>
                </c:pt>
                <c:pt idx="36">
                  <c:v>564.44038844745046</c:v>
                </c:pt>
                <c:pt idx="37">
                  <c:v>569.65144655591018</c:v>
                </c:pt>
                <c:pt idx="38">
                  <c:v>576.21949423281285</c:v>
                </c:pt>
                <c:pt idx="39">
                  <c:v>582.15560176884787</c:v>
                </c:pt>
                <c:pt idx="40">
                  <c:v>589.02219301820105</c:v>
                </c:pt>
                <c:pt idx="41">
                  <c:v>596.33627869274608</c:v>
                </c:pt>
                <c:pt idx="42">
                  <c:v>603.93371090641006</c:v>
                </c:pt>
                <c:pt idx="43">
                  <c:v>610.9565258524517</c:v>
                </c:pt>
                <c:pt idx="44">
                  <c:v>618.68198716311235</c:v>
                </c:pt>
                <c:pt idx="45">
                  <c:v>628.00917020364886</c:v>
                </c:pt>
                <c:pt idx="46">
                  <c:v>639.40113207563888</c:v>
                </c:pt>
                <c:pt idx="47">
                  <c:v>653.76346548720073</c:v>
                </c:pt>
                <c:pt idx="48">
                  <c:v>673.45708760444586</c:v>
                </c:pt>
                <c:pt idx="49">
                  <c:v>703.20315913644481</c:v>
                </c:pt>
              </c:numCache>
            </c:numRef>
          </c:xVal>
          <c:yVal>
            <c:numRef>
              <c:f>'Результаты'!$B$78:$B$127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23-47DB-A9B9-0DC0373FA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in val="2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Коррелированные годы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'Результаты'!$E$78:$E$127</c:f>
              <c:numCache>
                <c:formatCode>#,##0.00</c:formatCode>
                <c:ptCount val="50"/>
                <c:pt idx="0">
                  <c:v>503.2941848925808</c:v>
                </c:pt>
                <c:pt idx="1">
                  <c:v>526.53772527675494</c:v>
                </c:pt>
                <c:pt idx="2">
                  <c:v>542.11550105786068</c:v>
                </c:pt>
                <c:pt idx="3">
                  <c:v>553.30423628197866</c:v>
                </c:pt>
                <c:pt idx="4">
                  <c:v>563.2012369184082</c:v>
                </c:pt>
                <c:pt idx="5">
                  <c:v>571.27102197551324</c:v>
                </c:pt>
                <c:pt idx="6">
                  <c:v>577.44860243174423</c:v>
                </c:pt>
                <c:pt idx="7">
                  <c:v>584.42770787158975</c:v>
                </c:pt>
                <c:pt idx="8">
                  <c:v>591.16144630751739</c:v>
                </c:pt>
                <c:pt idx="9">
                  <c:v>596.85066175211398</c:v>
                </c:pt>
                <c:pt idx="10">
                  <c:v>603.12912386332232</c:v>
                </c:pt>
                <c:pt idx="11">
                  <c:v>609.42793752733166</c:v>
                </c:pt>
                <c:pt idx="12">
                  <c:v>614.73282993421958</c:v>
                </c:pt>
                <c:pt idx="13">
                  <c:v>620.70436856194374</c:v>
                </c:pt>
                <c:pt idx="14">
                  <c:v>626.44512796721824</c:v>
                </c:pt>
                <c:pt idx="15">
                  <c:v>631.54880055416879</c:v>
                </c:pt>
                <c:pt idx="16">
                  <c:v>636.86260477870144</c:v>
                </c:pt>
                <c:pt idx="17">
                  <c:v>641.96453915473978</c:v>
                </c:pt>
                <c:pt idx="18">
                  <c:v>646.15837083420251</c:v>
                </c:pt>
                <c:pt idx="19">
                  <c:v>651.34253205718539</c:v>
                </c:pt>
                <c:pt idx="20">
                  <c:v>656.53189946047576</c:v>
                </c:pt>
                <c:pt idx="21">
                  <c:v>661.30543723082769</c:v>
                </c:pt>
                <c:pt idx="22">
                  <c:v>665.60970144970486</c:v>
                </c:pt>
                <c:pt idx="23">
                  <c:v>670.12932856916927</c:v>
                </c:pt>
                <c:pt idx="24">
                  <c:v>675.40703424175069</c:v>
                </c:pt>
                <c:pt idx="25">
                  <c:v>680.27481088637649</c:v>
                </c:pt>
                <c:pt idx="26">
                  <c:v>684.9667909950997</c:v>
                </c:pt>
                <c:pt idx="27">
                  <c:v>690.70866995881158</c:v>
                </c:pt>
                <c:pt idx="28">
                  <c:v>695.60742151879981</c:v>
                </c:pt>
                <c:pt idx="29">
                  <c:v>700.2624760836818</c:v>
                </c:pt>
                <c:pt idx="30">
                  <c:v>705.05758167651311</c:v>
                </c:pt>
                <c:pt idx="31">
                  <c:v>710.10003823012562</c:v>
                </c:pt>
                <c:pt idx="32">
                  <c:v>714.76378894097309</c:v>
                </c:pt>
                <c:pt idx="33">
                  <c:v>719.78761100499889</c:v>
                </c:pt>
                <c:pt idx="34">
                  <c:v>725.10731265851871</c:v>
                </c:pt>
                <c:pt idx="35">
                  <c:v>729.89838617850694</c:v>
                </c:pt>
                <c:pt idx="36">
                  <c:v>735.8374441912988</c:v>
                </c:pt>
                <c:pt idx="37">
                  <c:v>742.27347626801429</c:v>
                </c:pt>
                <c:pt idx="38">
                  <c:v>748.11451970174562</c:v>
                </c:pt>
                <c:pt idx="39">
                  <c:v>754.11771057846659</c:v>
                </c:pt>
                <c:pt idx="40">
                  <c:v>760.05464582275658</c:v>
                </c:pt>
                <c:pt idx="41">
                  <c:v>767.0365706281259</c:v>
                </c:pt>
                <c:pt idx="42">
                  <c:v>773.99953389228153</c:v>
                </c:pt>
                <c:pt idx="43">
                  <c:v>782.39922730409376</c:v>
                </c:pt>
                <c:pt idx="44">
                  <c:v>792.03524500565618</c:v>
                </c:pt>
                <c:pt idx="45">
                  <c:v>800.72476201722043</c:v>
                </c:pt>
                <c:pt idx="46">
                  <c:v>811.63288266774907</c:v>
                </c:pt>
                <c:pt idx="47">
                  <c:v>823.82148622288582</c:v>
                </c:pt>
                <c:pt idx="48">
                  <c:v>842.11869335954418</c:v>
                </c:pt>
                <c:pt idx="49">
                  <c:v>869.53434757929733</c:v>
                </c:pt>
              </c:numCache>
            </c:numRef>
          </c:xVal>
          <c:yVal>
            <c:numRef>
              <c:f>'Результаты'!$B$78:$B$127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C24-493C-91AE-E1AE36D71273}"/>
            </c:ext>
          </c:extLst>
        </c:ser>
        <c:ser>
          <c:idx val="1"/>
          <c:order val="1"/>
          <c:tx>
            <c:v>Независимые годы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'Результаты'!$F$78:$F$127</c:f>
              <c:numCache>
                <c:formatCode>#,##0.00</c:formatCode>
                <c:ptCount val="50"/>
                <c:pt idx="0">
                  <c:v>604.85473793859433</c:v>
                </c:pt>
                <c:pt idx="1">
                  <c:v>617.58653049085979</c:v>
                </c:pt>
                <c:pt idx="2">
                  <c:v>624.23203588939623</c:v>
                </c:pt>
                <c:pt idx="3">
                  <c:v>629.28377107333574</c:v>
                </c:pt>
                <c:pt idx="4">
                  <c:v>634.03125332868092</c:v>
                </c:pt>
                <c:pt idx="5">
                  <c:v>637.43032742799755</c:v>
                </c:pt>
                <c:pt idx="6">
                  <c:v>641.09360609196312</c:v>
                </c:pt>
                <c:pt idx="7">
                  <c:v>644.22462548503836</c:v>
                </c:pt>
                <c:pt idx="8">
                  <c:v>646.84201408229296</c:v>
                </c:pt>
                <c:pt idx="9">
                  <c:v>649.23845725254887</c:v>
                </c:pt>
                <c:pt idx="10">
                  <c:v>651.82013356142613</c:v>
                </c:pt>
                <c:pt idx="11">
                  <c:v>654.27346707812183</c:v>
                </c:pt>
                <c:pt idx="12">
                  <c:v>656.51815212628424</c:v>
                </c:pt>
                <c:pt idx="13">
                  <c:v>658.60906820328864</c:v>
                </c:pt>
                <c:pt idx="14">
                  <c:v>660.50560523718298</c:v>
                </c:pt>
                <c:pt idx="15">
                  <c:v>662.35429315923386</c:v>
                </c:pt>
                <c:pt idx="16">
                  <c:v>664.39511172249922</c:v>
                </c:pt>
                <c:pt idx="17">
                  <c:v>666.03013602628084</c:v>
                </c:pt>
                <c:pt idx="18">
                  <c:v>667.69708526797444</c:v>
                </c:pt>
                <c:pt idx="19">
                  <c:v>669.20337772794778</c:v>
                </c:pt>
                <c:pt idx="20">
                  <c:v>671.14330555198785</c:v>
                </c:pt>
                <c:pt idx="21">
                  <c:v>672.98618724241703</c:v>
                </c:pt>
                <c:pt idx="22">
                  <c:v>674.8309082121616</c:v>
                </c:pt>
                <c:pt idx="23">
                  <c:v>676.80693179144203</c:v>
                </c:pt>
                <c:pt idx="24">
                  <c:v>678.50827495535964</c:v>
                </c:pt>
                <c:pt idx="25">
                  <c:v>680.30174986178213</c:v>
                </c:pt>
                <c:pt idx="26">
                  <c:v>682.07864012769085</c:v>
                </c:pt>
                <c:pt idx="27">
                  <c:v>683.85727092898458</c:v>
                </c:pt>
                <c:pt idx="28">
                  <c:v>685.65308620497717</c:v>
                </c:pt>
                <c:pt idx="29">
                  <c:v>687.41947046121004</c:v>
                </c:pt>
                <c:pt idx="30">
                  <c:v>689.14256619913999</c:v>
                </c:pt>
                <c:pt idx="31">
                  <c:v>690.81753295382964</c:v>
                </c:pt>
                <c:pt idx="32">
                  <c:v>692.67675139638891</c:v>
                </c:pt>
                <c:pt idx="33">
                  <c:v>694.43069331399772</c:v>
                </c:pt>
                <c:pt idx="34">
                  <c:v>696.38847125576092</c:v>
                </c:pt>
                <c:pt idx="35">
                  <c:v>698.40228882036206</c:v>
                </c:pt>
                <c:pt idx="36">
                  <c:v>700.47612613659396</c:v>
                </c:pt>
                <c:pt idx="37">
                  <c:v>702.66071947505316</c:v>
                </c:pt>
                <c:pt idx="38">
                  <c:v>705.07563413362573</c:v>
                </c:pt>
                <c:pt idx="39">
                  <c:v>707.29356396725018</c:v>
                </c:pt>
                <c:pt idx="40">
                  <c:v>709.41820870562435</c:v>
                </c:pt>
                <c:pt idx="41">
                  <c:v>711.92871209007171</c:v>
                </c:pt>
                <c:pt idx="42">
                  <c:v>714.62869180271946</c:v>
                </c:pt>
                <c:pt idx="43">
                  <c:v>717.87856688539614</c:v>
                </c:pt>
                <c:pt idx="44">
                  <c:v>721.27638453620227</c:v>
                </c:pt>
                <c:pt idx="45">
                  <c:v>725.39933236720856</c:v>
                </c:pt>
                <c:pt idx="46">
                  <c:v>730.03762861757866</c:v>
                </c:pt>
                <c:pt idx="47">
                  <c:v>735.63897201095858</c:v>
                </c:pt>
                <c:pt idx="48">
                  <c:v>742.58317473233399</c:v>
                </c:pt>
                <c:pt idx="49">
                  <c:v>758.36242520879102</c:v>
                </c:pt>
              </c:numCache>
            </c:numRef>
          </c:xVal>
          <c:yVal>
            <c:numRef>
              <c:f>'Результаты'!$B$78:$B$127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C24-493C-91AE-E1AE36D712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in val="4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тыс. долл.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'Результаты'!$B$131:$B$133</c:f>
              <c:strCache>
                <c:ptCount val="3"/>
                <c:pt idx="0">
                  <c:v>Принятие рынком</c:v>
                </c:pt>
                <c:pt idx="1">
                  <c:v>Уровень расходных материалов</c:v>
                </c:pt>
                <c:pt idx="2">
                  <c:v>Цена анализатора</c:v>
                </c:pt>
              </c:strCache>
            </c:strRef>
          </c:cat>
          <c:val>
            <c:numRef>
              <c:f>'Результаты'!$F$131:$F$133</c:f>
              <c:numCache>
                <c:formatCode>#,##0.0_);\(#,##0.0\);"–"_)</c:formatCode>
                <c:ptCount val="3"/>
                <c:pt idx="0">
                  <c:v>110.37017923658584</c:v>
                </c:pt>
                <c:pt idx="1">
                  <c:v>83.812780723240735</c:v>
                </c:pt>
                <c:pt idx="2">
                  <c:v>5.6909340788834015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F4-4F96-BF6A-A36548FFD75D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'Результаты'!$B$131:$B$133</c:f>
              <c:strCache>
                <c:ptCount val="3"/>
                <c:pt idx="0">
                  <c:v>Принятие рынком</c:v>
                </c:pt>
                <c:pt idx="1">
                  <c:v>Уровень расходных материалов</c:v>
                </c:pt>
                <c:pt idx="2">
                  <c:v>Цена анализатора</c:v>
                </c:pt>
              </c:strCache>
            </c:strRef>
          </c:cat>
          <c:val>
            <c:numRef>
              <c:f>'Результаты'!$G$131:$G$133</c:f>
              <c:numCache>
                <c:formatCode>#,##0.0_);\(#,##0.0\);"–"_)</c:formatCode>
                <c:ptCount val="3"/>
                <c:pt idx="0">
                  <c:v>-141.64476885583349</c:v>
                </c:pt>
                <c:pt idx="1">
                  <c:v>-75.757752998663307</c:v>
                </c:pt>
                <c:pt idx="2">
                  <c:v>-7.1094574610932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F4-4F96-BF6A-A36548FFD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25</xdr:row>
      <xdr:rowOff>0</xdr:rowOff>
    </xdr:from>
    <xdr:ext cx="6263999" cy="2664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8</xdr:col>
      <xdr:colOff>0</xdr:colOff>
      <xdr:row>43</xdr:row>
      <xdr:rowOff>0</xdr:rowOff>
    </xdr:from>
    <xdr:ext cx="6263999" cy="2664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8</xdr:col>
      <xdr:colOff>0</xdr:colOff>
      <xdr:row>59</xdr:row>
      <xdr:rowOff>0</xdr:rowOff>
    </xdr:from>
    <xdr:ext cx="6263999" cy="21600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4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39.4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84" t="s">
        <v>20</v>
      </c>
      <c r="C16" s="83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39.4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ht="26.25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ht="12" customHeight="1" x14ac:dyDescent="0.45"/>
    <row r="62" spans="2:3" ht="22.05" customHeight="1" x14ac:dyDescent="0.5">
      <c r="B62" s="7" t="s">
        <v>74</v>
      </c>
      <c r="C62" s="8"/>
    </row>
    <row r="63" spans="2:3" x14ac:dyDescent="0.45">
      <c r="B63" s="20" t="s">
        <v>75</v>
      </c>
      <c r="C63" s="10" t="s">
        <v>76</v>
      </c>
    </row>
    <row r="64" spans="2:3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x14ac:dyDescent="0.45">
      <c r="B66" s="20" t="s">
        <v>81</v>
      </c>
      <c r="C66" s="10" t="s">
        <v>82</v>
      </c>
    </row>
    <row r="67" spans="2:3" ht="39.4" x14ac:dyDescent="0.45">
      <c r="B67" s="20" t="s">
        <v>83</v>
      </c>
      <c r="C67" s="10" t="s">
        <v>84</v>
      </c>
    </row>
    <row r="68" spans="2:3" x14ac:dyDescent="0.45">
      <c r="B68" s="20" t="s">
        <v>85</v>
      </c>
      <c r="C68" s="10" t="s">
        <v>86</v>
      </c>
    </row>
    <row r="69" spans="2:3" ht="12" customHeight="1" x14ac:dyDescent="0.45"/>
    <row r="70" spans="2:3" ht="22.05" customHeight="1" x14ac:dyDescent="0.5">
      <c r="B70" s="7" t="s">
        <v>87</v>
      </c>
      <c r="C70" s="8"/>
    </row>
    <row r="71" spans="2:3" x14ac:dyDescent="0.45">
      <c r="B71" s="9" t="s">
        <v>88</v>
      </c>
      <c r="C71" s="10" t="s">
        <v>89</v>
      </c>
    </row>
    <row r="72" spans="2:3" x14ac:dyDescent="0.45">
      <c r="B72" s="9" t="s">
        <v>90</v>
      </c>
      <c r="C72" s="10" t="s">
        <v>91</v>
      </c>
    </row>
    <row r="73" spans="2:3" ht="16.05" customHeight="1" x14ac:dyDescent="0.45"/>
    <row r="74" spans="2:3" x14ac:dyDescent="0.45">
      <c r="B74" s="82" t="s">
        <v>92</v>
      </c>
      <c r="C74" s="83"/>
    </row>
  </sheetData>
  <mergeCells count="2">
    <mergeCell ref="B74:C74"/>
    <mergeCell ref="B16:C16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Прогноз'!A1" display="Прогноз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39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93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94</v>
      </c>
      <c r="C4" s="5"/>
      <c r="D4" s="5"/>
      <c r="E4" s="5"/>
      <c r="F4" s="5"/>
      <c r="G4" s="5"/>
      <c r="H4" s="5"/>
      <c r="I4" s="5"/>
      <c r="J4" s="6" t="s">
        <v>95</v>
      </c>
    </row>
    <row r="5" spans="1:10" ht="8" customHeight="1" x14ac:dyDescent="0.45"/>
    <row r="6" spans="1:10" ht="30" customHeight="1" x14ac:dyDescent="0.45">
      <c r="B6" s="85" t="s">
        <v>96</v>
      </c>
      <c r="C6" s="83"/>
      <c r="D6" s="83"/>
      <c r="E6" s="83"/>
      <c r="F6" s="83"/>
      <c r="G6" s="83"/>
      <c r="H6" s="83"/>
      <c r="I6" s="83"/>
      <c r="J6" s="83"/>
    </row>
    <row r="7" spans="1:10" ht="6" customHeight="1" x14ac:dyDescent="0.45"/>
    <row r="8" spans="1:10" ht="22.05" customHeight="1" x14ac:dyDescent="0.5">
      <c r="B8" s="7" t="s">
        <v>97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98</v>
      </c>
    </row>
    <row r="10" spans="1:10" ht="18" customHeight="1" x14ac:dyDescent="0.45">
      <c r="B10" s="23" t="s">
        <v>99</v>
      </c>
      <c r="C10" s="23" t="s">
        <v>100</v>
      </c>
      <c r="D10" s="24" t="s">
        <v>101</v>
      </c>
      <c r="E10" s="23" t="s">
        <v>102</v>
      </c>
      <c r="F10" s="24" t="s">
        <v>103</v>
      </c>
      <c r="G10" s="24" t="s">
        <v>104</v>
      </c>
      <c r="H10" s="24" t="s">
        <v>105</v>
      </c>
      <c r="I10" s="24" t="s">
        <v>106</v>
      </c>
      <c r="J10" s="23" t="s">
        <v>107</v>
      </c>
    </row>
    <row r="11" spans="1:10" x14ac:dyDescent="0.45">
      <c r="B11" s="25" t="s">
        <v>108</v>
      </c>
      <c r="C11" s="26" t="s">
        <v>109</v>
      </c>
      <c r="D11" s="27">
        <v>2400</v>
      </c>
      <c r="E11" s="26" t="s">
        <v>110</v>
      </c>
      <c r="F11" s="28"/>
      <c r="G11" s="28"/>
      <c r="H11" s="28"/>
      <c r="I11" s="28"/>
      <c r="J11" s="29" t="s">
        <v>111</v>
      </c>
    </row>
    <row r="12" spans="1:10" x14ac:dyDescent="0.45">
      <c r="B12" s="25" t="s">
        <v>112</v>
      </c>
      <c r="C12" s="26" t="s">
        <v>113</v>
      </c>
      <c r="D12" s="30" cm="1">
        <f t="array" aca="1" ref="D12" ca="1">_xll.VoseInput("Принятие рынком","× темпы внедрения")+_xll.VosePERT(F12,G12,H12)</f>
        <v>0.67733799465491207</v>
      </c>
      <c r="E12" s="26" t="s">
        <v>114</v>
      </c>
      <c r="F12" s="31">
        <v>0.4</v>
      </c>
      <c r="G12" s="31">
        <v>1</v>
      </c>
      <c r="H12" s="31">
        <v>1.3</v>
      </c>
      <c r="I12" s="32" cm="1">
        <f t="array" ref="I12">IF(AND(F12&lt;=G12,G12&lt;=H12,F12&lt;H12),_xll.VoseMean(_xll.VosePERTObject(F12,G12,H12)),"✗ диапазон")</f>
        <v>0.95000000000000007</v>
      </c>
      <c r="J12" s="29" t="s">
        <v>115</v>
      </c>
    </row>
    <row r="13" spans="1:10" x14ac:dyDescent="0.45">
      <c r="B13" s="25" t="s">
        <v>116</v>
      </c>
      <c r="C13" s="26" t="s">
        <v>117</v>
      </c>
      <c r="D13" s="33">
        <v>2027</v>
      </c>
      <c r="E13" s="26" t="s">
        <v>110</v>
      </c>
      <c r="F13" s="28"/>
      <c r="G13" s="28"/>
      <c r="H13" s="28"/>
      <c r="I13" s="28"/>
      <c r="J13" s="29"/>
    </row>
    <row r="14" spans="1:10" ht="8" customHeight="1" x14ac:dyDescent="0.45"/>
    <row r="15" spans="1:10" ht="22.05" customHeight="1" x14ac:dyDescent="0.5">
      <c r="B15" s="7" t="s">
        <v>118</v>
      </c>
      <c r="C15" s="8"/>
      <c r="D15" s="8"/>
      <c r="E15" s="8"/>
      <c r="F15" s="8"/>
      <c r="G15" s="8"/>
      <c r="H15" s="8"/>
      <c r="I15" s="8"/>
      <c r="J15" s="8"/>
    </row>
    <row r="16" spans="1:10" ht="18" customHeight="1" x14ac:dyDescent="0.45">
      <c r="B16" s="13" t="s">
        <v>119</v>
      </c>
    </row>
    <row r="17" spans="2:10" ht="18" customHeight="1" x14ac:dyDescent="0.45">
      <c r="B17" s="23" t="s">
        <v>99</v>
      </c>
      <c r="C17" s="23" t="s">
        <v>100</v>
      </c>
      <c r="D17" s="24" t="s">
        <v>101</v>
      </c>
      <c r="E17" s="23" t="s">
        <v>102</v>
      </c>
      <c r="F17" s="24" t="s">
        <v>103</v>
      </c>
      <c r="G17" s="24" t="s">
        <v>104</v>
      </c>
      <c r="H17" s="24" t="s">
        <v>105</v>
      </c>
      <c r="I17" s="24" t="s">
        <v>106</v>
      </c>
      <c r="J17" s="23" t="s">
        <v>107</v>
      </c>
    </row>
    <row r="18" spans="2:10" x14ac:dyDescent="0.45">
      <c r="B18" s="25" t="s">
        <v>120</v>
      </c>
      <c r="C18" s="26" t="s">
        <v>121</v>
      </c>
      <c r="D18" s="34" cm="1">
        <f t="array" aca="1" ref="D18" ca="1">_xll.VoseInput("Цена анализатора","тыс. долл.")+_xll.VosePERT(F18,G18,H18)</f>
        <v>147.31946038258934</v>
      </c>
      <c r="E18" s="26" t="s">
        <v>114</v>
      </c>
      <c r="F18" s="27">
        <v>130</v>
      </c>
      <c r="G18" s="27">
        <v>150</v>
      </c>
      <c r="H18" s="27">
        <v>155</v>
      </c>
      <c r="I18" s="35" cm="1">
        <f t="array" ref="I18">IF(AND(F18&lt;=G18,G18&lt;=H18,F18&lt;H18),_xll.VoseMean(_xll.VosePERTObject(F18,G18,H18)),"✗ диапазон")</f>
        <v>147.5</v>
      </c>
      <c r="J18" s="29" t="s">
        <v>122</v>
      </c>
    </row>
    <row r="19" spans="2:10" x14ac:dyDescent="0.45">
      <c r="B19" s="25" t="s">
        <v>123</v>
      </c>
      <c r="C19" s="26" t="s">
        <v>124</v>
      </c>
      <c r="D19" s="36">
        <v>0.5</v>
      </c>
      <c r="E19" s="26" t="s">
        <v>110</v>
      </c>
      <c r="F19" s="28"/>
      <c r="G19" s="28"/>
      <c r="H19" s="28"/>
      <c r="I19" s="28"/>
      <c r="J19" s="29" t="s">
        <v>125</v>
      </c>
    </row>
    <row r="20" spans="2:10" x14ac:dyDescent="0.45">
      <c r="B20" s="25" t="s">
        <v>126</v>
      </c>
      <c r="C20" s="26" t="s">
        <v>127</v>
      </c>
      <c r="D20" s="31">
        <v>0.8</v>
      </c>
      <c r="E20" s="26" t="s">
        <v>110</v>
      </c>
      <c r="F20" s="28"/>
      <c r="G20" s="28"/>
      <c r="H20" s="28"/>
      <c r="I20" s="28"/>
      <c r="J20" s="29" t="s">
        <v>128</v>
      </c>
    </row>
    <row r="21" spans="2:10" ht="8" customHeight="1" x14ac:dyDescent="0.45"/>
    <row r="22" spans="2:10" ht="22.05" customHeight="1" x14ac:dyDescent="0.5">
      <c r="B22" s="7" t="s">
        <v>129</v>
      </c>
      <c r="C22" s="8"/>
      <c r="D22" s="8"/>
      <c r="E22" s="8"/>
      <c r="F22" s="8"/>
      <c r="G22" s="8"/>
      <c r="H22" s="8"/>
      <c r="I22" s="8"/>
      <c r="J22" s="8"/>
    </row>
    <row r="23" spans="2:10" ht="18" customHeight="1" x14ac:dyDescent="0.45">
      <c r="B23" s="13" t="s">
        <v>130</v>
      </c>
    </row>
    <row r="24" spans="2:10" ht="18" customHeight="1" x14ac:dyDescent="0.45">
      <c r="B24" s="23" t="s">
        <v>99</v>
      </c>
      <c r="C24" s="23" t="s">
        <v>100</v>
      </c>
      <c r="D24" s="24" t="s">
        <v>101</v>
      </c>
      <c r="E24" s="23" t="s">
        <v>102</v>
      </c>
      <c r="F24" s="5"/>
      <c r="G24" s="5"/>
      <c r="H24" s="5"/>
      <c r="I24" s="5"/>
      <c r="J24" s="23" t="s">
        <v>107</v>
      </c>
    </row>
    <row r="25" spans="2:10" x14ac:dyDescent="0.45">
      <c r="B25" s="25" t="s">
        <v>131</v>
      </c>
      <c r="C25" s="26"/>
      <c r="D25" s="36">
        <v>0.8</v>
      </c>
      <c r="E25" s="26" t="s">
        <v>110</v>
      </c>
      <c r="F25" s="28"/>
      <c r="G25" s="28"/>
      <c r="H25" s="28"/>
      <c r="I25" s="28"/>
      <c r="J25" s="29" t="s">
        <v>132</v>
      </c>
    </row>
    <row r="26" spans="2:10" ht="8" customHeight="1" x14ac:dyDescent="0.45"/>
    <row r="27" spans="2:10" ht="22.05" customHeight="1" x14ac:dyDescent="0.5">
      <c r="B27" s="7" t="s">
        <v>133</v>
      </c>
      <c r="C27" s="8"/>
      <c r="D27" s="8"/>
      <c r="E27" s="8"/>
      <c r="F27" s="8"/>
      <c r="G27" s="8"/>
      <c r="H27" s="8"/>
      <c r="I27" s="8"/>
      <c r="J27" s="8"/>
    </row>
    <row r="28" spans="2:10" ht="18" customHeight="1" x14ac:dyDescent="0.45">
      <c r="B28" s="13" t="s">
        <v>134</v>
      </c>
    </row>
    <row r="29" spans="2:10" ht="18" customHeight="1" x14ac:dyDescent="0.45">
      <c r="B29" s="37" t="s">
        <v>135</v>
      </c>
      <c r="C29" s="37" t="s">
        <v>136</v>
      </c>
      <c r="D29" s="38" t="s">
        <v>61</v>
      </c>
      <c r="E29" s="37" t="s">
        <v>102</v>
      </c>
      <c r="F29" s="38" t="s">
        <v>103</v>
      </c>
      <c r="G29" s="38" t="s">
        <v>104</v>
      </c>
      <c r="H29" s="38" t="s">
        <v>105</v>
      </c>
      <c r="I29" s="5"/>
      <c r="J29" s="39" t="s">
        <v>107</v>
      </c>
    </row>
    <row r="30" spans="2:10" x14ac:dyDescent="0.45">
      <c r="B30" s="40"/>
      <c r="C30" s="40"/>
      <c r="D30" s="40" t="s">
        <v>137</v>
      </c>
      <c r="E30" s="40"/>
      <c r="F30" s="40" t="s">
        <v>121</v>
      </c>
      <c r="G30" s="40" t="s">
        <v>121</v>
      </c>
      <c r="H30" s="40" t="s">
        <v>121</v>
      </c>
    </row>
    <row r="31" spans="2:10" x14ac:dyDescent="0.45">
      <c r="B31" s="25" t="s">
        <v>138</v>
      </c>
      <c r="C31" s="41">
        <f>FirstYear+0</f>
        <v>2027</v>
      </c>
      <c r="D31" s="36">
        <v>0.02</v>
      </c>
      <c r="E31" s="26" t="s">
        <v>139</v>
      </c>
      <c r="F31" s="27">
        <v>40</v>
      </c>
      <c r="G31" s="27">
        <v>60</v>
      </c>
      <c r="H31" s="27">
        <v>80</v>
      </c>
      <c r="I31" s="28"/>
      <c r="J31" s="26" t="s">
        <v>140</v>
      </c>
    </row>
    <row r="32" spans="2:10" x14ac:dyDescent="0.45">
      <c r="B32" s="25" t="s">
        <v>141</v>
      </c>
      <c r="C32" s="41">
        <f>FirstYear+1</f>
        <v>2028</v>
      </c>
      <c r="D32" s="36">
        <v>0.04</v>
      </c>
      <c r="E32" s="26" t="s">
        <v>139</v>
      </c>
      <c r="F32" s="27">
        <v>50</v>
      </c>
      <c r="G32" s="27">
        <v>75</v>
      </c>
      <c r="H32" s="27">
        <v>100</v>
      </c>
      <c r="I32" s="28"/>
      <c r="J32" s="28"/>
    </row>
    <row r="33" spans="2:10" x14ac:dyDescent="0.45">
      <c r="B33" s="25" t="s">
        <v>142</v>
      </c>
      <c r="C33" s="41">
        <f>FirstYear+2</f>
        <v>2029</v>
      </c>
      <c r="D33" s="36">
        <v>7.0000000000000007E-2</v>
      </c>
      <c r="E33" s="26" t="s">
        <v>139</v>
      </c>
      <c r="F33" s="27">
        <v>55</v>
      </c>
      <c r="G33" s="27">
        <v>85</v>
      </c>
      <c r="H33" s="27">
        <v>120</v>
      </c>
      <c r="I33" s="28"/>
      <c r="J33" s="26" t="s">
        <v>143</v>
      </c>
    </row>
    <row r="34" spans="2:10" x14ac:dyDescent="0.45">
      <c r="B34" s="25" t="s">
        <v>144</v>
      </c>
      <c r="C34" s="41">
        <f>FirstYear+3</f>
        <v>2030</v>
      </c>
      <c r="D34" s="36">
        <v>0.09</v>
      </c>
      <c r="E34" s="26" t="s">
        <v>139</v>
      </c>
      <c r="F34" s="27">
        <v>60</v>
      </c>
      <c r="G34" s="27">
        <v>90</v>
      </c>
      <c r="H34" s="27">
        <v>130</v>
      </c>
      <c r="I34" s="28"/>
      <c r="J34" s="26" t="s">
        <v>145</v>
      </c>
    </row>
    <row r="35" spans="2:10" x14ac:dyDescent="0.45">
      <c r="B35" s="25" t="s">
        <v>146</v>
      </c>
      <c r="C35" s="41">
        <f>FirstYear+4</f>
        <v>2031</v>
      </c>
      <c r="D35" s="36">
        <v>0.1</v>
      </c>
      <c r="E35" s="26" t="s">
        <v>139</v>
      </c>
      <c r="F35" s="27">
        <v>60</v>
      </c>
      <c r="G35" s="27">
        <v>90</v>
      </c>
      <c r="H35" s="27">
        <v>130</v>
      </c>
      <c r="I35" s="28"/>
      <c r="J35" s="28"/>
    </row>
    <row r="36" spans="2:10" x14ac:dyDescent="0.45">
      <c r="B36" s="25" t="s">
        <v>147</v>
      </c>
      <c r="C36" s="41">
        <f>FirstYear+5</f>
        <v>2032</v>
      </c>
      <c r="D36" s="36">
        <v>0.1</v>
      </c>
      <c r="E36" s="26" t="s">
        <v>139</v>
      </c>
      <c r="F36" s="27">
        <v>60</v>
      </c>
      <c r="G36" s="27">
        <v>90</v>
      </c>
      <c r="H36" s="27">
        <v>130</v>
      </c>
      <c r="I36" s="28"/>
      <c r="J36" s="28"/>
    </row>
    <row r="37" spans="2:10" x14ac:dyDescent="0.45">
      <c r="B37" s="25" t="s">
        <v>148</v>
      </c>
      <c r="C37" s="41">
        <f>FirstYear+6</f>
        <v>2033</v>
      </c>
      <c r="D37" s="36">
        <v>0.09</v>
      </c>
      <c r="E37" s="26" t="s">
        <v>139</v>
      </c>
      <c r="F37" s="27">
        <v>60</v>
      </c>
      <c r="G37" s="27">
        <v>90</v>
      </c>
      <c r="H37" s="27">
        <v>130</v>
      </c>
      <c r="I37" s="28"/>
      <c r="J37" s="26" t="s">
        <v>149</v>
      </c>
    </row>
    <row r="38" spans="2:10" x14ac:dyDescent="0.45">
      <c r="B38" s="25" t="s">
        <v>150</v>
      </c>
      <c r="C38" s="41">
        <f>FirstYear+7</f>
        <v>2034</v>
      </c>
      <c r="D38" s="36">
        <v>0.08</v>
      </c>
      <c r="E38" s="26" t="s">
        <v>139</v>
      </c>
      <c r="F38" s="27">
        <v>60</v>
      </c>
      <c r="G38" s="27">
        <v>90</v>
      </c>
      <c r="H38" s="27">
        <v>130</v>
      </c>
      <c r="I38" s="28"/>
      <c r="J38" s="28"/>
    </row>
    <row r="39" spans="2:10" ht="14" customHeight="1" x14ac:dyDescent="0.45"/>
  </sheetData>
  <mergeCells count="1">
    <mergeCell ref="B6:J6"/>
  </mergeCells>
  <conditionalFormatting sqref="I12">
    <cfRule type="expression" dxfId="7" priority="1">
      <formula>LEFT($I12,1)="✗"</formula>
    </cfRule>
  </conditionalFormatting>
  <conditionalFormatting sqref="I18">
    <cfRule type="expression" dxfId="6" priority="2">
      <formula>LEFT($I18,1)="✗"</formula>
    </cfRule>
  </conditionalFormatting>
  <dataValidations count="6">
    <dataValidation type="whole" showErrorMessage="1" errorTitle="Целое число" error="Введите целое число." sqref="D11" xr:uid="{00000000-0002-0000-0100-000000000000}">
      <formula1>0</formula1>
      <formula2>1000000</formula2>
    </dataValidation>
    <dataValidation type="custom" showErrorMessage="1" errorTitle="Диапазон PERT" error="Мин. должно быть меньше макс., наиболее вероятное — между ними." sqref="F12:H12 F18:H18" xr:uid="{00000000-0002-0000-0100-000001000000}">
      <formula1>AND($F12&lt;=$G12,$G12&lt;=$H12,$F12&lt;$H12)</formula1>
    </dataValidation>
    <dataValidation type="whole" showErrorMessage="1" errorTitle="Год" error="Введите календарный год." sqref="D13" xr:uid="{00000000-0002-0000-0100-000002000000}">
      <formula1>1900</formula1>
      <formula2>2200</formula2>
    </dataValidation>
    <dataValidation type="decimal" showErrorMessage="1" errorTitle="Вероятность" error="Введите значение от 0% до 100%." sqref="D25 D19:D20" xr:uid="{00000000-0002-0000-0100-000004000000}">
      <formula1>0</formula1>
      <formula2>1</formula2>
    </dataValidation>
    <dataValidation type="decimal" showErrorMessage="1" errorTitle="Темп внедрения" error="Введите долю от 0% до 100%." sqref="D31:D38" xr:uid="{00000000-0002-0000-0100-000007000000}">
      <formula1>0</formula1>
      <formula2>1</formula2>
    </dataValidation>
    <dataValidation type="custom" showErrorMessage="1" errorTitle="Трехточечный диапазон" error="Мин. должно быть меньше макс., наиболее вероятное — между ними." sqref="F31:H38" xr:uid="{00000000-0002-0000-0100-000008000000}">
      <formula1>AND($F31&lt;=$G31,$G31&lt;=$H31,$F31&lt;$H31)</formula1>
    </dataValidation>
  </dataValidations>
  <hyperlinks>
    <hyperlink ref="B4" location="'Описание'!A1" display="◂  Описание" xr:uid="{00000000-0004-0000-0100-000000000000}"/>
    <hyperlink ref="J4" location="'Прогноз'!A1" display="Далее:  Прогноз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M56"/>
  <sheetViews>
    <sheetView showGridLines="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4" customWidth="1"/>
    <col min="3" max="3" width="13" customWidth="1"/>
    <col min="4" max="4" width="10" customWidth="1"/>
    <col min="5" max="5" width="7" customWidth="1"/>
    <col min="6" max="13" width="9" customWidth="1"/>
  </cols>
  <sheetData>
    <row r="1" spans="1:13" ht="6" customHeight="1" x14ac:dyDescent="0.45"/>
    <row r="2" spans="1:13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3" t="s">
        <v>1</v>
      </c>
    </row>
    <row r="3" spans="1:13" ht="20" customHeight="1" x14ac:dyDescent="0.45">
      <c r="A3" s="1"/>
      <c r="B3" s="4" t="s">
        <v>151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0" customHeight="1" x14ac:dyDescent="0.45">
      <c r="A4" s="5"/>
      <c r="B4" s="22" t="s">
        <v>152</v>
      </c>
      <c r="C4" s="5"/>
      <c r="D4" s="5"/>
      <c r="E4" s="5"/>
      <c r="F4" s="5"/>
      <c r="G4" s="5"/>
      <c r="H4" s="5"/>
      <c r="I4" s="5"/>
      <c r="J4" s="5"/>
      <c r="K4" s="5"/>
      <c r="L4" s="5"/>
      <c r="M4" s="6" t="s">
        <v>153</v>
      </c>
    </row>
    <row r="5" spans="1:13" ht="8" customHeight="1" x14ac:dyDescent="0.45"/>
    <row r="6" spans="1:13" ht="16.05" customHeight="1" x14ac:dyDescent="0.45">
      <c r="B6" s="42" t="s">
        <v>135</v>
      </c>
      <c r="C6" s="43"/>
      <c r="D6" s="44" t="s">
        <v>154</v>
      </c>
      <c r="E6" s="45" t="s">
        <v>155</v>
      </c>
      <c r="F6" s="46">
        <v>1</v>
      </c>
      <c r="G6" s="46">
        <f t="shared" ref="G6:M6" si="0">F6+1</f>
        <v>2</v>
      </c>
      <c r="H6" s="46">
        <f t="shared" si="0"/>
        <v>3</v>
      </c>
      <c r="I6" s="46">
        <f t="shared" si="0"/>
        <v>4</v>
      </c>
      <c r="J6" s="46">
        <f t="shared" si="0"/>
        <v>5</v>
      </c>
      <c r="K6" s="46">
        <f t="shared" si="0"/>
        <v>6</v>
      </c>
      <c r="L6" s="46">
        <f t="shared" si="0"/>
        <v>7</v>
      </c>
      <c r="M6" s="46">
        <f t="shared" si="0"/>
        <v>8</v>
      </c>
    </row>
    <row r="7" spans="1:13" ht="16.05" customHeight="1" x14ac:dyDescent="0.45">
      <c r="B7" s="39" t="s">
        <v>136</v>
      </c>
      <c r="C7" s="5"/>
      <c r="D7" s="5"/>
      <c r="E7" s="5"/>
      <c r="F7" s="47">
        <f t="shared" ref="F7:M7" si="1">FirstYear-1+F$6</f>
        <v>2027</v>
      </c>
      <c r="G7" s="47">
        <f t="shared" si="1"/>
        <v>2028</v>
      </c>
      <c r="H7" s="47">
        <f t="shared" si="1"/>
        <v>2029</v>
      </c>
      <c r="I7" s="47">
        <f t="shared" si="1"/>
        <v>2030</v>
      </c>
      <c r="J7" s="47">
        <f t="shared" si="1"/>
        <v>2031</v>
      </c>
      <c r="K7" s="47">
        <f t="shared" si="1"/>
        <v>2032</v>
      </c>
      <c r="L7" s="47">
        <f t="shared" si="1"/>
        <v>2033</v>
      </c>
      <c r="M7" s="47">
        <f t="shared" si="1"/>
        <v>2034</v>
      </c>
    </row>
    <row r="8" spans="1:13" ht="6" customHeight="1" x14ac:dyDescent="0.45"/>
    <row r="9" spans="1:13" ht="22.05" customHeight="1" x14ac:dyDescent="0.5">
      <c r="B9" s="7" t="s">
        <v>156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ht="18" customHeight="1" x14ac:dyDescent="0.45">
      <c r="B10" s="13" t="s">
        <v>157</v>
      </c>
    </row>
    <row r="11" spans="1:13" x14ac:dyDescent="0.45">
      <c r="B11" s="25" t="s">
        <v>158</v>
      </c>
      <c r="C11" s="26" t="s">
        <v>137</v>
      </c>
      <c r="D11" s="28"/>
      <c r="E11" s="28"/>
      <c r="F11" s="48" cm="1">
        <f t="array" aca="1" ref="F11" ca="1">MIN(1,INDEX(AdoptRate,F$6)*Acceptance)</f>
        <v>1.3546759893098241E-2</v>
      </c>
      <c r="G11" s="48" cm="1">
        <f t="array" aca="1" ref="G11" ca="1">MIN(1,INDEX(AdoptRate,G$6)*Acceptance)</f>
        <v>2.7093519786196483E-2</v>
      </c>
      <c r="H11" s="48" cm="1">
        <f t="array" aca="1" ref="H11" ca="1">MIN(1,INDEX(AdoptRate,H$6)*Acceptance)</f>
        <v>4.7413659625843846E-2</v>
      </c>
      <c r="I11" s="48" cm="1">
        <f t="array" aca="1" ref="I11" ca="1">MIN(1,INDEX(AdoptRate,I$6)*Acceptance)</f>
        <v>6.0960419518942086E-2</v>
      </c>
      <c r="J11" s="48" cm="1">
        <f t="array" aca="1" ref="J11" ca="1">MIN(1,INDEX(AdoptRate,J$6)*Acceptance)</f>
        <v>6.7733799465491212E-2</v>
      </c>
      <c r="K11" s="48" cm="1">
        <f t="array" aca="1" ref="K11" ca="1">MIN(1,INDEX(AdoptRate,K$6)*Acceptance)</f>
        <v>6.7733799465491212E-2</v>
      </c>
      <c r="L11" s="48" cm="1">
        <f t="array" aca="1" ref="L11" ca="1">MIN(1,INDEX(AdoptRate,L$6)*Acceptance)</f>
        <v>6.0960419518942086E-2</v>
      </c>
      <c r="M11" s="48" cm="1">
        <f t="array" aca="1" ref="M11" ca="1">MIN(1,INDEX(AdoptRate,M$6)*Acceptance)</f>
        <v>5.4187039572392966E-2</v>
      </c>
    </row>
    <row r="12" spans="1:13" x14ac:dyDescent="0.45">
      <c r="B12" s="25" t="s">
        <v>159</v>
      </c>
      <c r="C12" s="26" t="s">
        <v>160</v>
      </c>
      <c r="D12" s="28"/>
      <c r="E12" s="28"/>
      <c r="F12" s="34">
        <f t="array" aca="1" ref="F12:M12" ca="1">_xll.VoseTimeSMESaturation(Hospitals,F11:M11,TRUE)</f>
        <v>21</v>
      </c>
      <c r="G12" s="34">
        <f ca="1"/>
        <v>69</v>
      </c>
      <c r="H12" s="34">
        <f ca="1"/>
        <v>108</v>
      </c>
      <c r="I12" s="34">
        <f ca="1"/>
        <v>123</v>
      </c>
      <c r="J12" s="34">
        <f ca="1"/>
        <v>144</v>
      </c>
      <c r="K12" s="34">
        <f ca="1"/>
        <v>133</v>
      </c>
      <c r="L12" s="34">
        <f ca="1"/>
        <v>116</v>
      </c>
      <c r="M12" s="34">
        <f ca="1"/>
        <v>100</v>
      </c>
    </row>
    <row r="13" spans="1:13" x14ac:dyDescent="0.45">
      <c r="B13" s="25" t="s">
        <v>161</v>
      </c>
      <c r="C13" s="26" t="s">
        <v>160</v>
      </c>
      <c r="D13" s="28"/>
      <c r="E13" s="49">
        <v>0</v>
      </c>
      <c r="F13" s="35">
        <f t="shared" ref="F13:M13" ca="1" si="2">E13+F12</f>
        <v>21</v>
      </c>
      <c r="G13" s="35">
        <f t="shared" ca="1" si="2"/>
        <v>90</v>
      </c>
      <c r="H13" s="35">
        <f t="shared" ca="1" si="2"/>
        <v>198</v>
      </c>
      <c r="I13" s="35">
        <f t="shared" ca="1" si="2"/>
        <v>321</v>
      </c>
      <c r="J13" s="35">
        <f t="shared" ca="1" si="2"/>
        <v>465</v>
      </c>
      <c r="K13" s="35">
        <f t="shared" ca="1" si="2"/>
        <v>598</v>
      </c>
      <c r="L13" s="35">
        <f t="shared" ca="1" si="2"/>
        <v>714</v>
      </c>
      <c r="M13" s="35">
        <f t="shared" ca="1" si="2"/>
        <v>814</v>
      </c>
    </row>
    <row r="14" spans="1:13" x14ac:dyDescent="0.45">
      <c r="B14" s="25" t="s">
        <v>162</v>
      </c>
      <c r="C14" s="26" t="s">
        <v>109</v>
      </c>
      <c r="D14" s="28"/>
      <c r="E14" s="28"/>
      <c r="F14" s="35">
        <f t="shared" ref="F14:M14" ca="1" si="3">Hospitals-F13</f>
        <v>2379</v>
      </c>
      <c r="G14" s="35">
        <f t="shared" ca="1" si="3"/>
        <v>2310</v>
      </c>
      <c r="H14" s="35">
        <f t="shared" ca="1" si="3"/>
        <v>2202</v>
      </c>
      <c r="I14" s="35">
        <f t="shared" ca="1" si="3"/>
        <v>2079</v>
      </c>
      <c r="J14" s="35">
        <f t="shared" ca="1" si="3"/>
        <v>1935</v>
      </c>
      <c r="K14" s="35">
        <f t="shared" ca="1" si="3"/>
        <v>1802</v>
      </c>
      <c r="L14" s="35">
        <f t="shared" ca="1" si="3"/>
        <v>1686</v>
      </c>
      <c r="M14" s="35">
        <f t="shared" ca="1" si="3"/>
        <v>1586</v>
      </c>
    </row>
    <row r="15" spans="1:13" ht="8" customHeight="1" x14ac:dyDescent="0.45"/>
    <row r="16" spans="1:13" ht="22.05" customHeight="1" x14ac:dyDescent="0.5">
      <c r="B16" s="7" t="s">
        <v>163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2:13" ht="18" customHeight="1" x14ac:dyDescent="0.45">
      <c r="B17" s="13" t="s">
        <v>164</v>
      </c>
    </row>
    <row r="18" spans="2:13" x14ac:dyDescent="0.45">
      <c r="B18" s="25" t="s">
        <v>165</v>
      </c>
      <c r="C18" s="26" t="s">
        <v>121</v>
      </c>
      <c r="D18" s="28"/>
      <c r="E18" s="28"/>
      <c r="F18" s="50">
        <f t="array" aca="1" ref="F18:M18" ca="1">_xll.VoseTimeSMEThreePoint(ConsLo,ConsML,ConsHi,"PERT",CorrYears)</f>
        <v>65.802153951266405</v>
      </c>
      <c r="G18" s="50">
        <f ca="1"/>
        <v>72.8110617283469</v>
      </c>
      <c r="H18" s="50">
        <f ca="1"/>
        <v>88.734393965594862</v>
      </c>
      <c r="I18" s="50">
        <f ca="1"/>
        <v>86.370780574170553</v>
      </c>
      <c r="J18" s="50">
        <f ca="1"/>
        <v>86.147199240852956</v>
      </c>
      <c r="K18" s="50">
        <f ca="1"/>
        <v>100.64259262648213</v>
      </c>
      <c r="L18" s="50">
        <f ca="1"/>
        <v>96.262805124452086</v>
      </c>
      <c r="M18" s="50">
        <f ca="1"/>
        <v>88.217345736427504</v>
      </c>
    </row>
    <row r="19" spans="2:13" x14ac:dyDescent="0.45">
      <c r="B19" s="25" t="s">
        <v>166</v>
      </c>
      <c r="C19" s="26" t="s">
        <v>160</v>
      </c>
      <c r="D19" s="28"/>
      <c r="E19" s="28"/>
      <c r="F19" s="51">
        <f t="shared" ref="F19:M19" ca="1" si="4">E13+FirstYearUse*F12</f>
        <v>10.5</v>
      </c>
      <c r="G19" s="51">
        <f t="shared" ca="1" si="4"/>
        <v>55.5</v>
      </c>
      <c r="H19" s="51">
        <f t="shared" ca="1" si="4"/>
        <v>144</v>
      </c>
      <c r="I19" s="51">
        <f t="shared" ca="1" si="4"/>
        <v>259.5</v>
      </c>
      <c r="J19" s="51">
        <f t="shared" ca="1" si="4"/>
        <v>393</v>
      </c>
      <c r="K19" s="51">
        <f t="shared" ca="1" si="4"/>
        <v>531.5</v>
      </c>
      <c r="L19" s="51">
        <f t="shared" ca="1" si="4"/>
        <v>656</v>
      </c>
      <c r="M19" s="51">
        <f t="shared" ca="1" si="4"/>
        <v>764</v>
      </c>
    </row>
    <row r="20" spans="2:13" ht="8" customHeight="1" x14ac:dyDescent="0.45"/>
    <row r="21" spans="2:13" ht="22.05" customHeight="1" x14ac:dyDescent="0.5">
      <c r="B21" s="7" t="s">
        <v>167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2:13" x14ac:dyDescent="0.45">
      <c r="B22" s="25" t="s">
        <v>168</v>
      </c>
      <c r="C22" s="26" t="s">
        <v>169</v>
      </c>
      <c r="D22" s="52">
        <f ca="1">SUM(F22:M22)</f>
        <v>119.91804075142774</v>
      </c>
      <c r="E22" s="28"/>
      <c r="F22" s="53">
        <f t="shared" ref="F22:M22" ca="1" si="5">F12*Price/1000</f>
        <v>3.0937086680343766</v>
      </c>
      <c r="G22" s="53">
        <f t="shared" ca="1" si="5"/>
        <v>10.165042766398665</v>
      </c>
      <c r="H22" s="53">
        <f t="shared" ca="1" si="5"/>
        <v>15.910501721319648</v>
      </c>
      <c r="I22" s="53">
        <f t="shared" ca="1" si="5"/>
        <v>18.120293627058491</v>
      </c>
      <c r="J22" s="53">
        <f t="shared" ca="1" si="5"/>
        <v>21.214002295092865</v>
      </c>
      <c r="K22" s="53">
        <f t="shared" ca="1" si="5"/>
        <v>19.593488230884383</v>
      </c>
      <c r="L22" s="53">
        <f t="shared" ca="1" si="5"/>
        <v>17.089057404380366</v>
      </c>
      <c r="M22" s="53">
        <f t="shared" ca="1" si="5"/>
        <v>14.731946038258934</v>
      </c>
    </row>
    <row r="23" spans="2:13" x14ac:dyDescent="0.45">
      <c r="B23" s="25" t="s">
        <v>68</v>
      </c>
      <c r="C23" s="26" t="s">
        <v>169</v>
      </c>
      <c r="D23" s="52">
        <f ca="1">SUM(F23:M23)</f>
        <v>257.81674641935609</v>
      </c>
      <c r="E23" s="28"/>
      <c r="F23" s="53">
        <f t="shared" ref="F23:M23" ca="1" si="6">F19*F18/1000</f>
        <v>0.69092261648829734</v>
      </c>
      <c r="G23" s="53">
        <f t="shared" ca="1" si="6"/>
        <v>4.0410139259232531</v>
      </c>
      <c r="H23" s="53">
        <f t="shared" ca="1" si="6"/>
        <v>12.777752731045661</v>
      </c>
      <c r="I23" s="53">
        <f t="shared" ca="1" si="6"/>
        <v>22.413217558997257</v>
      </c>
      <c r="J23" s="53">
        <f t="shared" ca="1" si="6"/>
        <v>33.855849301655212</v>
      </c>
      <c r="K23" s="53">
        <f t="shared" ca="1" si="6"/>
        <v>53.491537980975245</v>
      </c>
      <c r="L23" s="53">
        <f t="shared" ca="1" si="6"/>
        <v>63.148400161640566</v>
      </c>
      <c r="M23" s="53">
        <f t="shared" ca="1" si="6"/>
        <v>67.398052142630604</v>
      </c>
    </row>
    <row r="24" spans="2:13" x14ac:dyDescent="0.45">
      <c r="B24" s="54" t="s">
        <v>170</v>
      </c>
      <c r="C24" s="26" t="s">
        <v>169</v>
      </c>
      <c r="D24" s="52">
        <f ca="1">SUM(F24:M24)</f>
        <v>377.73478717078387</v>
      </c>
      <c r="E24" s="28"/>
      <c r="F24" s="55" cm="1">
        <f t="array" aca="1" ref="F24" ca="1">_xll.VoseOutput("Выручка, год 1","млн долл.")+F22+F23</f>
        <v>3.7846312845226739</v>
      </c>
      <c r="G24" s="55" cm="1">
        <f t="array" aca="1" ref="G24" ca="1">_xll.VoseOutput("Выручка, год 2","млн долл.")+G22+G23</f>
        <v>14.206056692321919</v>
      </c>
      <c r="H24" s="55" cm="1">
        <f t="array" aca="1" ref="H24" ca="1">_xll.VoseOutput("Выручка, год 3","млн долл.")+H22+H23</f>
        <v>28.688254452365307</v>
      </c>
      <c r="I24" s="55" cm="1">
        <f t="array" aca="1" ref="I24" ca="1">_xll.VoseOutput("Выручка, год 4","млн долл.")+I22+I23</f>
        <v>40.533511186055748</v>
      </c>
      <c r="J24" s="55" cm="1">
        <f t="array" aca="1" ref="J24" ca="1">_xll.VoseOutput("Выручка, год 5","млн долл.")+J22+J23</f>
        <v>55.06985159674808</v>
      </c>
      <c r="K24" s="55" cm="1">
        <f t="array" aca="1" ref="K24" ca="1">_xll.VoseOutput("Выручка, год 6","млн долл.")+K22+K23</f>
        <v>73.085026211859628</v>
      </c>
      <c r="L24" s="55" cm="1">
        <f t="array" aca="1" ref="L24" ca="1">_xll.VoseOutput("Выручка, год 7","млн долл.")+L22+L23</f>
        <v>80.237457566020936</v>
      </c>
      <c r="M24" s="55" cm="1">
        <f t="array" aca="1" ref="M24" ca="1">_xll.VoseOutput("Выручка, год 8","млн долл.")+M22+M23</f>
        <v>82.129998180889544</v>
      </c>
    </row>
    <row r="25" spans="2:13" ht="8" customHeight="1" x14ac:dyDescent="0.45"/>
    <row r="26" spans="2:13" ht="22.05" customHeight="1" x14ac:dyDescent="0.5">
      <c r="B26" s="7" t="s">
        <v>171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2:13" ht="18" customHeight="1" x14ac:dyDescent="0.45">
      <c r="B27" s="13" t="s">
        <v>172</v>
      </c>
    </row>
    <row r="28" spans="2:13" x14ac:dyDescent="0.45">
      <c r="B28" s="25" t="s">
        <v>61</v>
      </c>
      <c r="C28" s="26" t="s">
        <v>137</v>
      </c>
      <c r="D28" s="28"/>
      <c r="E28" s="28"/>
      <c r="F28" s="48" cm="1">
        <f t="array" ref="F28">MIN(1,INDEX(AdoptRate,F$6)*Acceptance_ML)</f>
        <v>0.02</v>
      </c>
      <c r="G28" s="48" cm="1">
        <f t="array" ref="G28">MIN(1,INDEX(AdoptRate,G$6)*Acceptance_ML)</f>
        <v>0.04</v>
      </c>
      <c r="H28" s="48" cm="1">
        <f t="array" ref="H28">MIN(1,INDEX(AdoptRate,H$6)*Acceptance_ML)</f>
        <v>7.0000000000000007E-2</v>
      </c>
      <c r="I28" s="48" cm="1">
        <f t="array" ref="I28">MIN(1,INDEX(AdoptRate,I$6)*Acceptance_ML)</f>
        <v>0.09</v>
      </c>
      <c r="J28" s="48" cm="1">
        <f t="array" ref="J28">MIN(1,INDEX(AdoptRate,J$6)*Acceptance_ML)</f>
        <v>0.1</v>
      </c>
      <c r="K28" s="48" cm="1">
        <f t="array" ref="K28">MIN(1,INDEX(AdoptRate,K$6)*Acceptance_ML)</f>
        <v>0.1</v>
      </c>
      <c r="L28" s="48" cm="1">
        <f t="array" ref="L28">MIN(1,INDEX(AdoptRate,L$6)*Acceptance_ML)</f>
        <v>0.09</v>
      </c>
      <c r="M28" s="48" cm="1">
        <f t="array" ref="M28">MIN(1,INDEX(AdoptRate,M$6)*Acceptance_ML)</f>
        <v>0.08</v>
      </c>
    </row>
    <row r="29" spans="2:13" x14ac:dyDescent="0.45">
      <c r="B29" s="25" t="s">
        <v>173</v>
      </c>
      <c r="C29" s="26" t="s">
        <v>160</v>
      </c>
      <c r="D29" s="28"/>
      <c r="E29" s="28"/>
      <c r="F29" s="51">
        <f t="shared" ref="F29:M29" si="7">F28*(Hospitals-E30)</f>
        <v>48</v>
      </c>
      <c r="G29" s="51">
        <f t="shared" si="7"/>
        <v>94.08</v>
      </c>
      <c r="H29" s="51">
        <f t="shared" si="7"/>
        <v>158.05440000000002</v>
      </c>
      <c r="I29" s="51">
        <f t="shared" si="7"/>
        <v>188.98790400000001</v>
      </c>
      <c r="J29" s="51">
        <f t="shared" si="7"/>
        <v>191.0877696</v>
      </c>
      <c r="K29" s="51">
        <f t="shared" si="7"/>
        <v>171.97899264</v>
      </c>
      <c r="L29" s="51">
        <f t="shared" si="7"/>
        <v>139.30298403839998</v>
      </c>
      <c r="M29" s="51">
        <f t="shared" si="7"/>
        <v>112.680635977728</v>
      </c>
    </row>
    <row r="30" spans="2:13" x14ac:dyDescent="0.45">
      <c r="B30" s="25" t="s">
        <v>161</v>
      </c>
      <c r="C30" s="26" t="s">
        <v>160</v>
      </c>
      <c r="D30" s="28"/>
      <c r="E30" s="56">
        <v>0</v>
      </c>
      <c r="F30" s="51">
        <f t="shared" ref="F30:M30" si="8">E30+F29</f>
        <v>48</v>
      </c>
      <c r="G30" s="51">
        <f t="shared" si="8"/>
        <v>142.07999999999998</v>
      </c>
      <c r="H30" s="51">
        <f t="shared" si="8"/>
        <v>300.13440000000003</v>
      </c>
      <c r="I30" s="51">
        <f t="shared" si="8"/>
        <v>489.12230400000004</v>
      </c>
      <c r="J30" s="51">
        <f t="shared" si="8"/>
        <v>680.21007359999999</v>
      </c>
      <c r="K30" s="51">
        <f t="shared" si="8"/>
        <v>852.18906623999999</v>
      </c>
      <c r="L30" s="51">
        <f t="shared" si="8"/>
        <v>991.49205027840003</v>
      </c>
      <c r="M30" s="51">
        <f t="shared" si="8"/>
        <v>1104.1726862561281</v>
      </c>
    </row>
    <row r="31" spans="2:13" x14ac:dyDescent="0.45">
      <c r="B31" s="25" t="s">
        <v>166</v>
      </c>
      <c r="C31" s="26" t="s">
        <v>160</v>
      </c>
      <c r="D31" s="28"/>
      <c r="E31" s="28"/>
      <c r="F31" s="51">
        <f t="shared" ref="F31:M31" si="9">E30+FirstYearUse*F29</f>
        <v>24</v>
      </c>
      <c r="G31" s="51">
        <f t="shared" si="9"/>
        <v>95.039999999999992</v>
      </c>
      <c r="H31" s="51">
        <f t="shared" si="9"/>
        <v>221.10719999999998</v>
      </c>
      <c r="I31" s="51">
        <f t="shared" si="9"/>
        <v>394.62835200000006</v>
      </c>
      <c r="J31" s="51">
        <f t="shared" si="9"/>
        <v>584.6661888000001</v>
      </c>
      <c r="K31" s="51">
        <f t="shared" si="9"/>
        <v>766.19956991999993</v>
      </c>
      <c r="L31" s="51">
        <f t="shared" si="9"/>
        <v>921.84055825919995</v>
      </c>
      <c r="M31" s="51">
        <f t="shared" si="9"/>
        <v>1047.832368267264</v>
      </c>
    </row>
    <row r="32" spans="2:13" x14ac:dyDescent="0.45">
      <c r="B32" s="25" t="s">
        <v>168</v>
      </c>
      <c r="C32" s="26" t="s">
        <v>169</v>
      </c>
      <c r="D32" s="52">
        <f>SUM(F32:M32)</f>
        <v>165.62590293841919</v>
      </c>
      <c r="E32" s="28"/>
      <c r="F32" s="53">
        <f t="shared" ref="F32:M32" si="10">F29*Price_ML/1000</f>
        <v>7.2</v>
      </c>
      <c r="G32" s="53">
        <f t="shared" si="10"/>
        <v>14.112</v>
      </c>
      <c r="H32" s="53">
        <f t="shared" si="10"/>
        <v>23.708160000000003</v>
      </c>
      <c r="I32" s="53">
        <f t="shared" si="10"/>
        <v>28.348185600000001</v>
      </c>
      <c r="J32" s="53">
        <f t="shared" si="10"/>
        <v>28.66316544</v>
      </c>
      <c r="K32" s="53">
        <f t="shared" si="10"/>
        <v>25.796848896</v>
      </c>
      <c r="L32" s="53">
        <f t="shared" si="10"/>
        <v>20.895447605759998</v>
      </c>
      <c r="M32" s="53">
        <f t="shared" si="10"/>
        <v>16.902095396659199</v>
      </c>
    </row>
    <row r="33" spans="2:13" x14ac:dyDescent="0.45">
      <c r="B33" s="25" t="s">
        <v>68</v>
      </c>
      <c r="C33" s="26" t="s">
        <v>169</v>
      </c>
      <c r="D33" s="52">
        <f>SUM(F33:M33)</f>
        <v>361.72714535218176</v>
      </c>
      <c r="E33" s="28"/>
      <c r="F33" s="53" cm="1">
        <f t="array" ref="F33">F31*INDEX(ConsML,F$6)/1000</f>
        <v>1.44</v>
      </c>
      <c r="G33" s="53" cm="1">
        <f t="array" ref="G33">G31*INDEX(ConsML,G$6)/1000</f>
        <v>7.1279999999999992</v>
      </c>
      <c r="H33" s="53" cm="1">
        <f t="array" ref="H33">H31*INDEX(ConsML,H$6)/1000</f>
        <v>18.794111999999998</v>
      </c>
      <c r="I33" s="53" cm="1">
        <f t="array" ref="I33">I31*INDEX(ConsML,I$6)/1000</f>
        <v>35.516551680000006</v>
      </c>
      <c r="J33" s="53" cm="1">
        <f t="array" ref="J33">J31*INDEX(ConsML,J$6)/1000</f>
        <v>52.619956992000006</v>
      </c>
      <c r="K33" s="53" cm="1">
        <f t="array" ref="K33">K31*INDEX(ConsML,K$6)/1000</f>
        <v>68.957961292799993</v>
      </c>
      <c r="L33" s="53" cm="1">
        <f t="array" ref="L33">L31*INDEX(ConsML,L$6)/1000</f>
        <v>82.965650243328</v>
      </c>
      <c r="M33" s="53" cm="1">
        <f t="array" ref="M33">M31*INDEX(ConsML,M$6)/1000</f>
        <v>94.304913144053756</v>
      </c>
    </row>
    <row r="34" spans="2:13" x14ac:dyDescent="0.45">
      <c r="B34" s="54" t="s">
        <v>174</v>
      </c>
      <c r="C34" s="26" t="s">
        <v>169</v>
      </c>
      <c r="D34" s="52">
        <f>SUM(F34:M34)</f>
        <v>527.35304829060101</v>
      </c>
      <c r="E34" s="28"/>
      <c r="F34" s="52">
        <f t="shared" ref="F34:M34" si="11">F32+F33</f>
        <v>8.64</v>
      </c>
      <c r="G34" s="52">
        <f t="shared" si="11"/>
        <v>21.24</v>
      </c>
      <c r="H34" s="52">
        <f t="shared" si="11"/>
        <v>42.502272000000005</v>
      </c>
      <c r="I34" s="52">
        <f t="shared" si="11"/>
        <v>63.864737280000007</v>
      </c>
      <c r="J34" s="52">
        <f t="shared" si="11"/>
        <v>81.283122431999999</v>
      </c>
      <c r="K34" s="52">
        <f t="shared" si="11"/>
        <v>94.754810188799993</v>
      </c>
      <c r="L34" s="52">
        <f t="shared" si="11"/>
        <v>103.861097849088</v>
      </c>
      <c r="M34" s="52">
        <f t="shared" si="11"/>
        <v>111.20700854071296</v>
      </c>
    </row>
    <row r="35" spans="2:13" ht="8" customHeight="1" x14ac:dyDescent="0.45"/>
    <row r="36" spans="2:13" ht="22.05" customHeight="1" x14ac:dyDescent="0.5">
      <c r="B36" s="7" t="s">
        <v>175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2:13" ht="18" customHeight="1" x14ac:dyDescent="0.45">
      <c r="B37" s="13" t="s">
        <v>176</v>
      </c>
    </row>
    <row r="38" spans="2:13" x14ac:dyDescent="0.45">
      <c r="B38" s="25" t="s">
        <v>177</v>
      </c>
      <c r="C38" s="26" t="s">
        <v>121</v>
      </c>
      <c r="D38" s="28"/>
      <c r="E38" s="28"/>
      <c r="F38" s="50">
        <f t="array" aca="1" ref="F38:M38" ca="1">_xll.VoseTimeSMEThreePoint(ConsLo,ConsML,ConsHi,"PERT",0)</f>
        <v>51.606794227357966</v>
      </c>
      <c r="G38" s="50">
        <f ca="1"/>
        <v>66.134585877300367</v>
      </c>
      <c r="H38" s="50">
        <f ca="1"/>
        <v>72.388842592542559</v>
      </c>
      <c r="I38" s="50">
        <f ca="1"/>
        <v>84.627704657340445</v>
      </c>
      <c r="J38" s="50">
        <f ca="1"/>
        <v>119.48160047410701</v>
      </c>
      <c r="K38" s="50">
        <f ca="1"/>
        <v>89.772316668922201</v>
      </c>
      <c r="L38" s="50">
        <f ca="1"/>
        <v>96.673320129262208</v>
      </c>
      <c r="M38" s="50">
        <f ca="1"/>
        <v>88.356395144158711</v>
      </c>
    </row>
    <row r="39" spans="2:13" ht="8" customHeight="1" x14ac:dyDescent="0.45"/>
    <row r="40" spans="2:13" ht="22.05" customHeight="1" x14ac:dyDescent="0.5">
      <c r="B40" s="7" t="s">
        <v>178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2:13" ht="18" customHeight="1" x14ac:dyDescent="0.45">
      <c r="B41" s="13" t="s">
        <v>179</v>
      </c>
    </row>
    <row r="42" spans="2:13" ht="18" customHeight="1" x14ac:dyDescent="0.45">
      <c r="B42" s="39" t="s">
        <v>180</v>
      </c>
      <c r="C42" s="39" t="s">
        <v>100</v>
      </c>
      <c r="D42" s="57" t="s">
        <v>181</v>
      </c>
      <c r="E42" s="5"/>
      <c r="F42" s="39" t="s">
        <v>182</v>
      </c>
      <c r="G42" s="5"/>
      <c r="H42" s="5"/>
      <c r="I42" s="5"/>
      <c r="J42" s="5"/>
      <c r="K42" s="5"/>
      <c r="L42" s="5"/>
      <c r="M42" s="5"/>
    </row>
    <row r="43" spans="2:13" x14ac:dyDescent="0.45">
      <c r="B43" s="25" t="s">
        <v>183</v>
      </c>
      <c r="C43" s="26" t="s">
        <v>169</v>
      </c>
      <c r="D43" s="58" cm="1">
        <f t="array" aca="1" ref="D43" ca="1">_xll.VoseOutput("Выручка за 8 лет","млн долл.")+D24</f>
        <v>377.73478717078387</v>
      </c>
      <c r="E43" s="28"/>
      <c r="F43" s="26"/>
      <c r="G43" s="28"/>
      <c r="H43" s="28"/>
      <c r="I43" s="28"/>
      <c r="J43" s="28"/>
      <c r="K43" s="28"/>
      <c r="L43" s="28"/>
      <c r="M43" s="28"/>
    </row>
    <row r="44" spans="2:13" x14ac:dyDescent="0.45">
      <c r="B44" s="25" t="s">
        <v>184</v>
      </c>
      <c r="C44" s="26" t="s">
        <v>169</v>
      </c>
      <c r="D44" s="51">
        <f>D34</f>
        <v>527.35304829060101</v>
      </c>
      <c r="E44" s="28"/>
      <c r="F44" s="26"/>
      <c r="G44" s="28"/>
      <c r="H44" s="28"/>
      <c r="I44" s="28"/>
      <c r="J44" s="28"/>
      <c r="K44" s="28"/>
      <c r="L44" s="28"/>
      <c r="M44" s="28"/>
    </row>
    <row r="45" spans="2:13" x14ac:dyDescent="0.45">
      <c r="B45" s="25" t="s">
        <v>185</v>
      </c>
      <c r="C45" s="26" t="s">
        <v>186</v>
      </c>
      <c r="D45" s="59" cm="1">
        <f t="array" aca="1" ref="D45" ca="1">_xll.VoseOutput("План за 8 лет выполнен","1 = да")+IF(Rev_Total&gt;=Plan_Total,1,0)</f>
        <v>0</v>
      </c>
      <c r="E45" s="28"/>
      <c r="F45" s="26"/>
      <c r="G45" s="28"/>
      <c r="H45" s="28"/>
      <c r="I45" s="28"/>
      <c r="J45" s="28"/>
      <c r="K45" s="28"/>
      <c r="L45" s="28"/>
      <c r="M45" s="28"/>
    </row>
    <row r="46" spans="2:13" x14ac:dyDescent="0.45">
      <c r="B46" s="25" t="s">
        <v>187</v>
      </c>
      <c r="C46" s="26" t="s">
        <v>160</v>
      </c>
      <c r="D46" s="60" cm="1">
        <f t="array" aca="1" ref="D46" ca="1">_xll.VoseOutput("Установлено анализаторов через 8 лет","анализаторов")+M13</f>
        <v>814</v>
      </c>
      <c r="E46" s="28"/>
      <c r="F46" s="26"/>
      <c r="G46" s="28"/>
      <c r="H46" s="28"/>
      <c r="I46" s="28"/>
      <c r="J46" s="28"/>
      <c r="K46" s="28"/>
      <c r="L46" s="28"/>
      <c r="M46" s="28"/>
    </row>
    <row r="47" spans="2:13" x14ac:dyDescent="0.45">
      <c r="B47" s="25" t="s">
        <v>188</v>
      </c>
      <c r="C47" s="26" t="s">
        <v>121</v>
      </c>
      <c r="D47" s="60" cm="1">
        <f t="array" aca="1" ref="D47" ca="1">_xll.VoseOutput("Расходные материалы на анализатор, 8 лет","тыс. долл.")+SUM(F18:M18)</f>
        <v>684.98833294759345</v>
      </c>
      <c r="E47" s="28"/>
      <c r="F47" s="26" t="s">
        <v>189</v>
      </c>
      <c r="G47" s="28"/>
      <c r="H47" s="28"/>
      <c r="I47" s="28"/>
      <c r="J47" s="28"/>
      <c r="K47" s="28"/>
      <c r="L47" s="28"/>
      <c r="M47" s="28"/>
    </row>
    <row r="48" spans="2:13" x14ac:dyDescent="0.45">
      <c r="B48" s="25" t="s">
        <v>190</v>
      </c>
      <c r="C48" s="26" t="s">
        <v>121</v>
      </c>
      <c r="D48" s="60" cm="1">
        <f t="array" aca="1" ref="D48" ca="1">_xll.VoseOutput("Расходные материалы на анализатор, 8 лет, независимые годы","тыс. долл.")+SUM(F38:M38)</f>
        <v>669.04155977099151</v>
      </c>
      <c r="E48" s="28"/>
      <c r="F48" s="26"/>
      <c r="G48" s="28"/>
      <c r="H48" s="28"/>
      <c r="I48" s="28"/>
      <c r="J48" s="28"/>
      <c r="K48" s="28"/>
      <c r="L48" s="28"/>
      <c r="M48" s="28"/>
    </row>
    <row r="49" spans="2:13" x14ac:dyDescent="0.45">
      <c r="B49" s="25" t="s">
        <v>191</v>
      </c>
      <c r="C49" s="26" t="s">
        <v>121</v>
      </c>
      <c r="D49" s="51" cm="1">
        <f t="array" aca="1" ref="D49" ca="1">_xll.VoseInput("Уровень расходных материалов","тыс. долл.")+AVERAGE(F18:M18)</f>
        <v>85.623541618449181</v>
      </c>
      <c r="E49" s="28"/>
      <c r="F49" s="26" t="s">
        <v>192</v>
      </c>
      <c r="G49" s="28"/>
      <c r="H49" s="28"/>
      <c r="I49" s="28"/>
      <c r="J49" s="28"/>
      <c r="K49" s="28"/>
      <c r="L49" s="28"/>
      <c r="M49" s="28"/>
    </row>
    <row r="50" spans="2:13" ht="8" customHeight="1" x14ac:dyDescent="0.45"/>
    <row r="51" spans="2:13" ht="22.05" customHeight="1" x14ac:dyDescent="0.5">
      <c r="B51" s="7" t="s">
        <v>193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8" customHeight="1" x14ac:dyDescent="0.45">
      <c r="B52" s="13" t="s">
        <v>194</v>
      </c>
    </row>
    <row r="53" spans="2:13" x14ac:dyDescent="0.45">
      <c r="B53" s="25" t="s">
        <v>195</v>
      </c>
      <c r="C53" s="28"/>
      <c r="D53" s="61" t="str">
        <f>IF(SUMPRODUCT((ConsLo&gt;ConsML)+(ConsML&gt;ConsHi))=0,"ОК","ПРОВЕРИТЬ")</f>
        <v>ОК</v>
      </c>
      <c r="E53" s="28"/>
      <c r="F53" s="28"/>
      <c r="G53" s="28"/>
      <c r="H53" s="28"/>
      <c r="I53" s="28"/>
      <c r="J53" s="28"/>
      <c r="K53" s="28"/>
      <c r="L53" s="28"/>
      <c r="M53" s="28"/>
    </row>
    <row r="54" spans="2:13" x14ac:dyDescent="0.45">
      <c r="B54" s="25" t="s">
        <v>196</v>
      </c>
      <c r="C54" s="28"/>
      <c r="D54" s="61" t="str">
        <f ca="1">IF(MAX(F11:M11)&lt;1,"ОК","ПРОВЕРИТЬ")</f>
        <v>ОК</v>
      </c>
      <c r="E54" s="28"/>
      <c r="F54" s="28"/>
      <c r="G54" s="28"/>
      <c r="H54" s="28"/>
      <c r="I54" s="28"/>
      <c r="J54" s="28"/>
      <c r="K54" s="28"/>
      <c r="L54" s="28"/>
      <c r="M54" s="28"/>
    </row>
    <row r="55" spans="2:13" x14ac:dyDescent="0.45">
      <c r="B55" s="25" t="s">
        <v>197</v>
      </c>
      <c r="C55" s="28"/>
      <c r="D55" s="61" t="str">
        <f ca="1">IF(M13&lt;=Hospitals,"ОК","ПРОВЕРИТЬ")</f>
        <v>ОК</v>
      </c>
      <c r="E55" s="28"/>
      <c r="F55" s="28"/>
      <c r="G55" s="28"/>
      <c r="H55" s="28"/>
      <c r="I55" s="28"/>
      <c r="J55" s="28"/>
      <c r="K55" s="28"/>
      <c r="L55" s="28"/>
      <c r="M55" s="28"/>
    </row>
    <row r="56" spans="2:13" ht="14" customHeight="1" x14ac:dyDescent="0.45"/>
  </sheetData>
  <conditionalFormatting sqref="D53:D55">
    <cfRule type="expression" dxfId="5" priority="1">
      <formula>D53="CHECK"</formula>
    </cfRule>
  </conditionalFormatting>
  <hyperlinks>
    <hyperlink ref="B4" location="'Исходные данные'!A1" display="◂  Исходные данные" xr:uid="{00000000-0004-0000-0200-000000000000}"/>
    <hyperlink ref="M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63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43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198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199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62" t="str" cm="1">
        <f t="array" aca="1" ref="B6" ca="1">IF(ISNUMBER(_xll.VoseSimMean(Rev_Total)),"✔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63"/>
      <c r="D6" s="63"/>
      <c r="E6" s="63"/>
      <c r="F6" s="63"/>
      <c r="G6" s="63"/>
    </row>
    <row r="7" spans="1:18" x14ac:dyDescent="0.45">
      <c r="B7" s="64" t="str">
        <f ca="1"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200</v>
      </c>
      <c r="C9" s="8"/>
      <c r="D9" s="8"/>
      <c r="E9" s="8"/>
      <c r="F9" s="8"/>
      <c r="G9" s="8"/>
      <c r="I9" s="65" t="s">
        <v>201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202</v>
      </c>
    </row>
    <row r="11" spans="1:18" ht="18" customHeight="1" x14ac:dyDescent="0.45">
      <c r="B11" s="23" t="s">
        <v>203</v>
      </c>
      <c r="C11" s="23" t="s">
        <v>100</v>
      </c>
      <c r="D11" s="24" t="s">
        <v>181</v>
      </c>
      <c r="E11" s="5"/>
      <c r="F11" s="5"/>
      <c r="G11" s="5"/>
    </row>
    <row r="12" spans="1:18" x14ac:dyDescent="0.45">
      <c r="B12" s="66" t="s">
        <v>184</v>
      </c>
      <c r="C12" s="26" t="s">
        <v>169</v>
      </c>
      <c r="D12" s="35">
        <f>Plan_Total</f>
        <v>527.35304829060101</v>
      </c>
      <c r="E12" s="28"/>
      <c r="F12" s="28"/>
      <c r="G12" s="28"/>
    </row>
    <row r="13" spans="1:18" ht="22.05" customHeight="1" x14ac:dyDescent="0.45">
      <c r="B13" s="54" t="s">
        <v>204</v>
      </c>
      <c r="C13" s="26" t="s">
        <v>169</v>
      </c>
      <c r="D13" s="67" cm="1">
        <f t="array" aca="1" ref="D13" ca="1">_xll.VoseSimMean(Rev_Total)</f>
        <v>507.98336321536863</v>
      </c>
      <c r="E13" s="28"/>
      <c r="F13" s="28"/>
      <c r="G13" s="28"/>
    </row>
    <row r="14" spans="1:18" x14ac:dyDescent="0.45">
      <c r="B14" s="54" t="s">
        <v>205</v>
      </c>
      <c r="C14" s="26" t="s">
        <v>206</v>
      </c>
      <c r="D14" s="68" cm="1">
        <f t="array" aca="1" ref="D14" ca="1">_xll.VoseSimMean(MeetsPlan)</f>
        <v>0.4133</v>
      </c>
      <c r="E14" s="28"/>
      <c r="F14" s="28"/>
      <c r="G14" s="28"/>
    </row>
    <row r="15" spans="1:18" x14ac:dyDescent="0.45">
      <c r="B15" s="54" t="str">
        <f>"Выручка за 8 лет, достигаемая в "&amp;TEXT(Confidence,"0%")&amp;" вариантов будущего"</f>
        <v>Выручка за 8 лет, достигаемая в 80% сценариев</v>
      </c>
      <c r="C15" s="26" t="s">
        <v>169</v>
      </c>
      <c r="D15" s="69" cm="1">
        <f t="array" aca="1" ref="D15" ca="1">_xll.VoseSimPercentile(Rev_Total,1-Confidence)</f>
        <v>430.9687100509679</v>
      </c>
      <c r="E15" s="28"/>
      <c r="F15" s="28"/>
      <c r="G15" s="28"/>
    </row>
    <row r="16" spans="1:18" x14ac:dyDescent="0.45">
      <c r="B16" s="25" t="s">
        <v>207</v>
      </c>
      <c r="C16" s="26" t="s">
        <v>160</v>
      </c>
      <c r="D16" s="69" cm="1">
        <f t="array" aca="1" ref="D16" ca="1">_xll.VoseSimMean(Installed8)</f>
        <v>1057.2629999999999</v>
      </c>
      <c r="E16" s="28"/>
      <c r="F16" s="28"/>
      <c r="G16" s="28"/>
    </row>
    <row r="17" spans="2:18" ht="8" customHeight="1" x14ac:dyDescent="0.45"/>
    <row r="18" spans="2:18" ht="22.05" customHeight="1" x14ac:dyDescent="0.5">
      <c r="B18" s="7" t="s">
        <v>208</v>
      </c>
      <c r="C18" s="8"/>
      <c r="D18" s="8"/>
      <c r="E18" s="8"/>
      <c r="F18" s="8"/>
      <c r="G18" s="8"/>
    </row>
    <row r="19" spans="2:18" ht="18" customHeight="1" x14ac:dyDescent="0.45">
      <c r="B19" s="13" t="s">
        <v>209</v>
      </c>
    </row>
    <row r="20" spans="2:18" ht="18" customHeight="1" x14ac:dyDescent="0.45">
      <c r="B20" s="70" t="s">
        <v>135</v>
      </c>
      <c r="C20" s="71" t="s">
        <v>210</v>
      </c>
      <c r="D20" s="71" t="s">
        <v>211</v>
      </c>
      <c r="E20" s="71" t="s">
        <v>212</v>
      </c>
      <c r="F20" s="5"/>
      <c r="G20" s="5"/>
    </row>
    <row r="21" spans="2:18" x14ac:dyDescent="0.45">
      <c r="B21" s="40"/>
      <c r="C21" s="40" t="s">
        <v>169</v>
      </c>
      <c r="D21" s="40" t="s">
        <v>169</v>
      </c>
      <c r="E21" s="40" t="s">
        <v>213</v>
      </c>
    </row>
    <row r="22" spans="2:18" x14ac:dyDescent="0.45">
      <c r="B22" s="72">
        <f>'Прогноз'!F7</f>
        <v>2027</v>
      </c>
      <c r="C22" s="51">
        <f>Plan_Y1</f>
        <v>8.64</v>
      </c>
      <c r="D22" s="73" cm="1">
        <f t="array" aca="1" ref="D22" ca="1">_xll.VoseSimPercentile(Rev_Y1,0.5)</f>
        <v>8.1241242990797762</v>
      </c>
      <c r="E22" s="68" cm="1">
        <f t="array" aca="1" ref="E22" ca="1">IFERROR(1-_xll.VoseSimProbability(Rev_Y1,Plan_Y1),"–")</f>
        <v>0.3941605839416058</v>
      </c>
      <c r="F22" s="28"/>
      <c r="G22" s="28"/>
    </row>
    <row r="23" spans="2:18" x14ac:dyDescent="0.45">
      <c r="B23" s="72">
        <f>'Прогноз'!G7</f>
        <v>2028</v>
      </c>
      <c r="C23" s="51">
        <f>Plan_Y2</f>
        <v>21.24</v>
      </c>
      <c r="D23" s="73" cm="1">
        <f t="array" aca="1" ref="D23" ca="1">_xll.VoseSimPercentile(Rev_Y2,0.5)</f>
        <v>20.083335369125045</v>
      </c>
      <c r="E23" s="68" cm="1">
        <f t="array" aca="1" ref="E23" ca="1">IFERROR(1-_xll.VoseSimProbability(Rev_Y2,Plan_Y2),"–")</f>
        <v>0.38826117388261172</v>
      </c>
      <c r="F23" s="28"/>
      <c r="G23" s="28"/>
    </row>
    <row r="24" spans="2:18" x14ac:dyDescent="0.45">
      <c r="B24" s="72">
        <f>'Прогноз'!H7</f>
        <v>2029</v>
      </c>
      <c r="C24" s="51">
        <f>Plan_Y3</f>
        <v>42.502272000000005</v>
      </c>
      <c r="D24" s="73" cm="1">
        <f t="array" aca="1" ref="D24" ca="1">_xll.VoseSimPercentile(Rev_Y3,0.5)</f>
        <v>40.502254177185399</v>
      </c>
      <c r="E24" s="68" cm="1">
        <f t="array" aca="1" ref="E24" ca="1">IFERROR(1-_xll.VoseSimProbability(Rev_Y3,Plan_Y3),"–")</f>
        <v>0.40095990400959902</v>
      </c>
      <c r="F24" s="28"/>
      <c r="G24" s="28"/>
    </row>
    <row r="25" spans="2:18" x14ac:dyDescent="0.45">
      <c r="B25" s="72">
        <f>'Прогноз'!I7</f>
        <v>2030</v>
      </c>
      <c r="C25" s="51">
        <f>Plan_Y4</f>
        <v>63.864737280000007</v>
      </c>
      <c r="D25" s="73" cm="1">
        <f t="array" aca="1" ref="D25" ca="1">_xll.VoseSimPercentile(Rev_Y4,0.5)</f>
        <v>61.350537614904027</v>
      </c>
      <c r="E25" s="68" cm="1">
        <f t="array" aca="1" ref="E25" ca="1">IFERROR(1-_xll.VoseSimProbability(Rev_Y4,Plan_Y4),"–")</f>
        <v>0.41405859414058599</v>
      </c>
      <c r="F25" s="28"/>
      <c r="G25" s="28"/>
      <c r="I25" s="65" t="s">
        <v>214</v>
      </c>
      <c r="J25" s="8"/>
      <c r="K25" s="8"/>
      <c r="L25" s="8"/>
      <c r="M25" s="8"/>
      <c r="N25" s="8"/>
      <c r="O25" s="8"/>
      <c r="P25" s="8"/>
      <c r="Q25" s="8"/>
      <c r="R25" s="8"/>
    </row>
    <row r="26" spans="2:18" x14ac:dyDescent="0.45">
      <c r="B26" s="72">
        <f>'Прогноз'!J7</f>
        <v>2031</v>
      </c>
      <c r="C26" s="51">
        <f>Plan_Y5</f>
        <v>81.283122431999999</v>
      </c>
      <c r="D26" s="73" cm="1">
        <f t="array" aca="1" ref="D26" ca="1">_xll.VoseSimPercentile(Rev_Y5,0.5)</f>
        <v>78.086056088130448</v>
      </c>
      <c r="E26" s="68" cm="1">
        <f t="array" aca="1" ref="E26" ca="1">IFERROR(1-_xll.VoseSimProbability(Rev_Y5,Plan_Y5),"–")</f>
        <v>0.41045895410458955</v>
      </c>
      <c r="F26" s="28"/>
      <c r="G26" s="28"/>
    </row>
    <row r="27" spans="2:18" x14ac:dyDescent="0.45">
      <c r="B27" s="72">
        <f>'Прогноз'!K7</f>
        <v>2032</v>
      </c>
      <c r="C27" s="51">
        <f>Plan_Y6</f>
        <v>94.754810188799993</v>
      </c>
      <c r="D27" s="73" cm="1">
        <f t="array" aca="1" ref="D27" ca="1">_xll.VoseSimPercentile(Rev_Y6,0.5)</f>
        <v>91.094012400808666</v>
      </c>
      <c r="E27" s="68" cm="1">
        <f t="array" aca="1" ref="E27" ca="1">IFERROR(1-_xll.VoseSimProbability(Rev_Y6,Plan_Y6),"–")</f>
        <v>0.41365863413658632</v>
      </c>
      <c r="F27" s="28"/>
      <c r="G27" s="28"/>
    </row>
    <row r="28" spans="2:18" x14ac:dyDescent="0.45">
      <c r="B28" s="72">
        <f>'Прогноз'!L7</f>
        <v>2033</v>
      </c>
      <c r="C28" s="51">
        <f>Plan_Y7</f>
        <v>103.861097849088</v>
      </c>
      <c r="D28" s="73" cm="1">
        <f t="array" aca="1" ref="D28" ca="1">_xll.VoseSimPercentile(Rev_Y7,0.5)</f>
        <v>99.990501371513304</v>
      </c>
      <c r="E28" s="68" cm="1">
        <f t="array" aca="1" ref="E28" ca="1">IFERROR(1-_xll.VoseSimProbability(Rev_Y7,Plan_Y7),"–")</f>
        <v>0.42235776422357763</v>
      </c>
      <c r="F28" s="28"/>
      <c r="G28" s="28"/>
    </row>
    <row r="29" spans="2:18" x14ac:dyDescent="0.45">
      <c r="B29" s="72">
        <f>'Прогноз'!M7</f>
        <v>2034</v>
      </c>
      <c r="C29" s="51">
        <f>Plan_Y8</f>
        <v>111.20700854071296</v>
      </c>
      <c r="D29" s="73" cm="1">
        <f t="array" aca="1" ref="D29" ca="1">_xll.VoseSimPercentile(Rev_Y8,0.5)</f>
        <v>107.42650938259747</v>
      </c>
      <c r="E29" s="68" cm="1">
        <f t="array" aca="1" ref="E29" ca="1">IFERROR(1-_xll.VoseSimProbability(Rev_Y8,Plan_Y8),"–")</f>
        <v>0.42715728427157285</v>
      </c>
      <c r="F29" s="28"/>
      <c r="G29" s="28"/>
    </row>
    <row r="30" spans="2:18" ht="8" customHeight="1" x14ac:dyDescent="0.45"/>
    <row r="31" spans="2:18" ht="22.05" customHeight="1" x14ac:dyDescent="0.5">
      <c r="B31" s="7" t="s">
        <v>215</v>
      </c>
      <c r="C31" s="8"/>
      <c r="D31" s="8"/>
      <c r="E31" s="8"/>
      <c r="F31" s="8"/>
      <c r="G31" s="8"/>
    </row>
    <row r="32" spans="2:18" ht="18" customHeight="1" x14ac:dyDescent="0.45">
      <c r="B32" s="13" t="s">
        <v>216</v>
      </c>
    </row>
    <row r="33" spans="2:18" ht="18" customHeight="1" x14ac:dyDescent="0.45">
      <c r="B33" s="23" t="s">
        <v>203</v>
      </c>
      <c r="C33" s="23" t="s">
        <v>100</v>
      </c>
      <c r="D33" s="24" t="s">
        <v>217</v>
      </c>
      <c r="E33" s="24" t="s">
        <v>211</v>
      </c>
      <c r="F33" s="24" t="s">
        <v>218</v>
      </c>
      <c r="G33" s="24" t="s">
        <v>106</v>
      </c>
    </row>
    <row r="34" spans="2:18" x14ac:dyDescent="0.45">
      <c r="B34" s="25" t="s">
        <v>183</v>
      </c>
      <c r="C34" s="26" t="s">
        <v>169</v>
      </c>
      <c r="D34" s="69" cm="1">
        <f t="array" aca="1" ref="D34" ca="1">_xll.VoseSimPercentile(Rev_Total,0.1)</f>
        <v>390.84534833403325</v>
      </c>
      <c r="E34" s="69" cm="1">
        <f t="array" aca="1" ref="E34" ca="1">_xll.VoseSimPercentile(Rev_Total,0.5)</f>
        <v>508.1593647897796</v>
      </c>
      <c r="F34" s="69" cm="1">
        <f t="array" aca="1" ref="F34" ca="1">_xll.VoseSimPercentile(Rev_Total,0.9)</f>
        <v>623.47710409824754</v>
      </c>
      <c r="G34" s="69" cm="1">
        <f t="array" aca="1" ref="G34" ca="1">_xll.VoseSimMean(Rev_Total)</f>
        <v>507.98336321536863</v>
      </c>
    </row>
    <row r="35" spans="2:18" x14ac:dyDescent="0.45">
      <c r="B35" s="25" t="s">
        <v>219</v>
      </c>
      <c r="C35" s="26" t="s">
        <v>169</v>
      </c>
      <c r="D35" s="73" cm="1">
        <f t="array" aca="1" ref="D35" ca="1">_xll.VoseSimPercentile(Rev_Y5,0.1)</f>
        <v>59.462532027065507</v>
      </c>
      <c r="E35" s="73" cm="1">
        <f t="array" aca="1" ref="E35" ca="1">_xll.VoseSimPercentile(Rev_Y5,0.5)</f>
        <v>78.086056088130448</v>
      </c>
      <c r="F35" s="73" cm="1">
        <f t="array" aca="1" ref="F35" ca="1">_xll.VoseSimPercentile(Rev_Y5,0.9)</f>
        <v>96.936067343988455</v>
      </c>
      <c r="G35" s="73" cm="1">
        <f t="array" aca="1" ref="G35" ca="1">_xll.VoseSimMean(Rev_Y5)</f>
        <v>78.174998348726078</v>
      </c>
    </row>
    <row r="36" spans="2:18" x14ac:dyDescent="0.45">
      <c r="B36" s="25" t="s">
        <v>187</v>
      </c>
      <c r="C36" s="26" t="s">
        <v>160</v>
      </c>
      <c r="D36" s="69" cm="1">
        <f t="array" aca="1" ref="D36" ca="1">_xll.VoseSimPercentile(Installed8,0.1)</f>
        <v>858</v>
      </c>
      <c r="E36" s="69" cm="1">
        <f t="array" aca="1" ref="E36" ca="1">_xll.VoseSimPercentile(Installed8,0.5)</f>
        <v>1073</v>
      </c>
      <c r="F36" s="69" cm="1">
        <f t="array" aca="1" ref="F36" ca="1">_xll.VoseSimPercentile(Installed8,0.9)</f>
        <v>1236</v>
      </c>
      <c r="G36" s="69" cm="1">
        <f t="array" aca="1" ref="G36" ca="1">_xll.VoseSimMean(Installed8)</f>
        <v>1057.2629999999999</v>
      </c>
    </row>
    <row r="37" spans="2:18" ht="8" customHeight="1" x14ac:dyDescent="0.45"/>
    <row r="38" spans="2:18" ht="22.05" customHeight="1" x14ac:dyDescent="0.5">
      <c r="B38" s="7" t="s">
        <v>220</v>
      </c>
      <c r="C38" s="8"/>
      <c r="D38" s="8"/>
      <c r="E38" s="8"/>
      <c r="F38" s="8"/>
      <c r="G38" s="8"/>
    </row>
    <row r="39" spans="2:18" ht="45" customHeight="1" x14ac:dyDescent="0.45">
      <c r="B39" s="84" t="s">
        <v>221</v>
      </c>
      <c r="C39" s="83"/>
      <c r="D39" s="83"/>
      <c r="E39" s="83"/>
      <c r="F39" s="83"/>
      <c r="G39" s="83"/>
    </row>
    <row r="40" spans="2:18" ht="32" customHeight="1" x14ac:dyDescent="0.45">
      <c r="B40" s="84" t="s">
        <v>222</v>
      </c>
      <c r="C40" s="83"/>
      <c r="D40" s="83"/>
      <c r="E40" s="83"/>
      <c r="F40" s="83"/>
      <c r="G40" s="83"/>
    </row>
    <row r="41" spans="2:18" ht="45" customHeight="1" x14ac:dyDescent="0.45">
      <c r="B41" s="84" t="s">
        <v>223</v>
      </c>
      <c r="C41" s="83"/>
      <c r="D41" s="83"/>
      <c r="E41" s="83"/>
      <c r="F41" s="83"/>
      <c r="G41" s="83"/>
    </row>
    <row r="42" spans="2:18" ht="32" customHeight="1" x14ac:dyDescent="0.45">
      <c r="B42" s="84" t="s">
        <v>224</v>
      </c>
      <c r="C42" s="83"/>
      <c r="D42" s="83"/>
      <c r="E42" s="83"/>
      <c r="F42" s="83"/>
      <c r="G42" s="83"/>
    </row>
    <row r="43" spans="2:18" ht="22.05" customHeight="1" x14ac:dyDescent="0.5">
      <c r="B43" s="7" t="s">
        <v>225</v>
      </c>
      <c r="C43" s="8"/>
      <c r="D43" s="8"/>
      <c r="E43" s="8"/>
      <c r="F43" s="8"/>
      <c r="G43" s="8"/>
      <c r="I43" s="65" t="s">
        <v>226</v>
      </c>
      <c r="J43" s="8"/>
      <c r="K43" s="8"/>
      <c r="L43" s="8"/>
      <c r="M43" s="8"/>
      <c r="N43" s="8"/>
      <c r="O43" s="8"/>
      <c r="P43" s="8"/>
      <c r="Q43" s="8"/>
      <c r="R43" s="8"/>
    </row>
    <row r="44" spans="2:18" ht="18" customHeight="1" x14ac:dyDescent="0.45">
      <c r="B44" s="13" t="s">
        <v>227</v>
      </c>
    </row>
    <row r="45" spans="2:18" ht="18" customHeight="1" x14ac:dyDescent="0.45">
      <c r="B45" s="23" t="s">
        <v>203</v>
      </c>
      <c r="C45" s="23" t="s">
        <v>100</v>
      </c>
      <c r="D45" s="24" t="s">
        <v>217</v>
      </c>
      <c r="E45" s="24" t="s">
        <v>211</v>
      </c>
      <c r="F45" s="24" t="s">
        <v>218</v>
      </c>
      <c r="G45" s="24" t="s">
        <v>106</v>
      </c>
    </row>
    <row r="46" spans="2:18" x14ac:dyDescent="0.45">
      <c r="B46" s="25" t="s">
        <v>228</v>
      </c>
      <c r="C46" s="26"/>
      <c r="D46" s="69" cm="1">
        <f t="array" aca="1" ref="D46" ca="1">_xll.VoseSimPercentile(LifeCons,0.1)</f>
        <v>567.41987191655835</v>
      </c>
      <c r="E46" s="69" cm="1">
        <f t="array" aca="1" ref="E46" ca="1">_xll.VoseSimPercentile(LifeCons,0.5)</f>
        <v>677.95129406054309</v>
      </c>
      <c r="F46" s="69" cm="1">
        <f t="array" aca="1" ref="F46" ca="1">_xll.VoseSimPercentile(LifeCons,0.9)</f>
        <v>796.69816070571608</v>
      </c>
      <c r="G46" s="69" cm="1">
        <f t="array" aca="1" ref="G46" ca="1">_xll.VoseSimMean(LifeCons)</f>
        <v>679.61069608966466</v>
      </c>
    </row>
    <row r="47" spans="2:18" x14ac:dyDescent="0.45">
      <c r="B47" s="25" t="s">
        <v>229</v>
      </c>
      <c r="C47" s="26"/>
      <c r="D47" s="69" cm="1">
        <f t="array" aca="1" ref="D47" ca="1">_xll.VoseSimPercentile(LifeCons0,0.1)</f>
        <v>635.9200799263225</v>
      </c>
      <c r="E47" s="69" cm="1">
        <f t="array" aca="1" ref="E47" ca="1">_xll.VoseSimPercentile(LifeCons0,0.5)</f>
        <v>679.34420104122944</v>
      </c>
      <c r="F47" s="69" cm="1">
        <f t="array" aca="1" ref="F47" ca="1">_xll.VoseSimPercentile(LifeCons0,0.9)</f>
        <v>723.18176595785212</v>
      </c>
      <c r="G47" s="69" cm="1">
        <f t="array" aca="1" ref="G47" ca="1">_xll.VoseSimMean(LifeCons0)</f>
        <v>679.59650150625373</v>
      </c>
    </row>
    <row r="48" spans="2:18" ht="8" customHeight="1" x14ac:dyDescent="0.45"/>
    <row r="59" spans="2:18" ht="22.05" customHeight="1" x14ac:dyDescent="0.5">
      <c r="B59" s="7" t="s">
        <v>230</v>
      </c>
      <c r="C59" s="8"/>
      <c r="D59" s="8"/>
      <c r="E59" s="8"/>
      <c r="F59" s="8"/>
      <c r="G59" s="8"/>
      <c r="I59" s="65" t="s">
        <v>231</v>
      </c>
      <c r="J59" s="8"/>
      <c r="K59" s="8"/>
      <c r="L59" s="8"/>
      <c r="M59" s="8"/>
      <c r="N59" s="8"/>
      <c r="O59" s="8"/>
      <c r="P59" s="8"/>
      <c r="Q59" s="8"/>
      <c r="R59" s="8"/>
    </row>
    <row r="60" spans="2:18" ht="18" customHeight="1" x14ac:dyDescent="0.45">
      <c r="B60" s="13" t="s">
        <v>232</v>
      </c>
    </row>
    <row r="61" spans="2:18" ht="18" customHeight="1" x14ac:dyDescent="0.45">
      <c r="B61" s="23" t="s">
        <v>233</v>
      </c>
      <c r="C61" s="24" t="s">
        <v>234</v>
      </c>
      <c r="D61" s="24" t="s">
        <v>235</v>
      </c>
      <c r="E61" s="74" t="s">
        <v>236</v>
      </c>
      <c r="F61" s="5"/>
      <c r="G61" s="5"/>
    </row>
    <row r="62" spans="2:18" x14ac:dyDescent="0.45">
      <c r="B62" s="25" t="str">
        <f t="array" aca="1" ref="B62:E64" ca="1">_xll.VoseSimSensitivityMean(Rev_Total,10,1,FALSE)</f>
        <v>Принятие рынком</v>
      </c>
      <c r="C62" s="73">
        <f ca="1"/>
        <v>366.33859435953514</v>
      </c>
      <c r="D62" s="73">
        <f ca="1"/>
        <v>618.35354245195447</v>
      </c>
      <c r="E62" s="75">
        <f ca="1"/>
        <v>1</v>
      </c>
      <c r="F62" s="28"/>
      <c r="G62" s="28"/>
    </row>
    <row r="63" spans="2:18" x14ac:dyDescent="0.45">
      <c r="B63" s="25" t="str">
        <f ca="1"/>
        <v>Уровень расходных материалов</v>
      </c>
      <c r="C63" s="73">
        <f ca="1"/>
        <v>432.22561021670532</v>
      </c>
      <c r="D63" s="73">
        <f ca="1"/>
        <v>591.79614393860936</v>
      </c>
      <c r="E63" s="75">
        <f ca="1"/>
        <v>2</v>
      </c>
      <c r="F63" s="28"/>
      <c r="G63" s="28"/>
    </row>
    <row r="64" spans="2:18" x14ac:dyDescent="0.45">
      <c r="B64" s="25" t="str">
        <f ca="1"/>
        <v>Цена анализатора</v>
      </c>
      <c r="C64" s="73">
        <f ca="1"/>
        <v>500.87390575427543</v>
      </c>
      <c r="D64" s="73">
        <f ca="1"/>
        <v>513.67429729425203</v>
      </c>
      <c r="E64" s="75">
        <f ca="1"/>
        <v>3</v>
      </c>
      <c r="F64" s="28"/>
      <c r="G64" s="28"/>
    </row>
    <row r="73" spans="2:7" ht="14" customHeight="1" x14ac:dyDescent="0.45"/>
    <row r="74" spans="2:7" ht="14" customHeight="1" x14ac:dyDescent="0.45"/>
    <row r="75" spans="2:7" ht="22.05" customHeight="1" x14ac:dyDescent="0.5">
      <c r="B75" s="7" t="s">
        <v>237</v>
      </c>
      <c r="C75" s="8"/>
      <c r="D75" s="8"/>
      <c r="E75" s="8"/>
      <c r="F75" s="8"/>
      <c r="G75" s="8"/>
    </row>
    <row r="76" spans="2:7" ht="18" customHeight="1" x14ac:dyDescent="0.45">
      <c r="B76" s="13" t="s">
        <v>238</v>
      </c>
    </row>
    <row r="77" spans="2:7" ht="28.05" hidden="1" customHeight="1" outlineLevel="1" x14ac:dyDescent="0.45">
      <c r="B77" s="24" t="s">
        <v>239</v>
      </c>
      <c r="C77" s="24" t="s">
        <v>240</v>
      </c>
      <c r="D77" s="24" t="s">
        <v>241</v>
      </c>
      <c r="E77" s="24" t="s">
        <v>242</v>
      </c>
      <c r="F77" s="24" t="s">
        <v>243</v>
      </c>
      <c r="G77" s="5"/>
    </row>
    <row r="78" spans="2:7" hidden="1" outlineLevel="1" x14ac:dyDescent="0.45">
      <c r="B78" s="76">
        <v>0.01</v>
      </c>
      <c r="C78" s="76">
        <f t="shared" ref="C78:C109" si="0">1-B78</f>
        <v>0.99</v>
      </c>
      <c r="D78" s="77" cm="1">
        <f t="array" aca="1" ref="D78" ca="1">IF(ISNUMBER(_xll.VoseSimPercentile(Rev_Total,$B78)),_xll.VoseSimPercentile(Rev_Total,$B78),NA())</f>
        <v>306.56538576509001</v>
      </c>
      <c r="E78" s="77" cm="1">
        <f t="array" aca="1" ref="E78" ca="1">IF(ISNUMBER(_xll.VoseSimPercentile(LifeCons,$B78)),_xll.VoseSimPercentile(LifeCons,$B78),NA())</f>
        <v>503.2941848925808</v>
      </c>
      <c r="F78" s="77" cm="1">
        <f t="array" aca="1" ref="F78" ca="1">IF(ISNUMBER(_xll.VoseSimPercentile(LifeCons0,$B78)),_xll.VoseSimPercentile(LifeCons0,$B78),NA())</f>
        <v>604.85473793859433</v>
      </c>
    </row>
    <row r="79" spans="2:7" hidden="1" outlineLevel="1" x14ac:dyDescent="0.45">
      <c r="B79" s="76">
        <v>0.03</v>
      </c>
      <c r="C79" s="76">
        <f t="shared" si="0"/>
        <v>0.97</v>
      </c>
      <c r="D79" s="77" cm="1">
        <f t="array" aca="1" ref="D79" ca="1">IF(ISNUMBER(_xll.VoseSimPercentile(Rev_Total,$B79)),_xll.VoseSimPercentile(Rev_Total,$B79),NA())</f>
        <v>341.461524536225</v>
      </c>
      <c r="E79" s="77" cm="1">
        <f t="array" aca="1" ref="E79" ca="1">IF(ISNUMBER(_xll.VoseSimPercentile(LifeCons,$B79)),_xll.VoseSimPercentile(LifeCons,$B79),NA())</f>
        <v>526.53772527675494</v>
      </c>
      <c r="F79" s="77" cm="1">
        <f t="array" aca="1" ref="F79" ca="1">IF(ISNUMBER(_xll.VoseSimPercentile(LifeCons0,$B79)),_xll.VoseSimPercentile(LifeCons0,$B79),NA())</f>
        <v>617.58653049085979</v>
      </c>
    </row>
    <row r="80" spans="2:7" hidden="1" outlineLevel="1" x14ac:dyDescent="0.45">
      <c r="B80" s="76">
        <v>0.05</v>
      </c>
      <c r="C80" s="76">
        <f t="shared" si="0"/>
        <v>0.95</v>
      </c>
      <c r="D80" s="77" cm="1">
        <f t="array" aca="1" ref="D80" ca="1">IF(ISNUMBER(_xll.VoseSimPercentile(Rev_Total,$B80)),_xll.VoseSimPercentile(Rev_Total,$B80),NA())</f>
        <v>360.62420120336731</v>
      </c>
      <c r="E80" s="77" cm="1">
        <f t="array" aca="1" ref="E80" ca="1">IF(ISNUMBER(_xll.VoseSimPercentile(LifeCons,$B80)),_xll.VoseSimPercentile(LifeCons,$B80),NA())</f>
        <v>542.11550105786068</v>
      </c>
      <c r="F80" s="77" cm="1">
        <f t="array" aca="1" ref="F80" ca="1">IF(ISNUMBER(_xll.VoseSimPercentile(LifeCons0,$B80)),_xll.VoseSimPercentile(LifeCons0,$B80),NA())</f>
        <v>624.23203588939623</v>
      </c>
    </row>
    <row r="81" spans="2:6" hidden="1" outlineLevel="1" x14ac:dyDescent="0.45">
      <c r="B81" s="76">
        <v>7.0000000000000007E-2</v>
      </c>
      <c r="C81" s="76">
        <f t="shared" si="0"/>
        <v>0.92999999999999994</v>
      </c>
      <c r="D81" s="77" cm="1">
        <f t="array" aca="1" ref="D81" ca="1">IF(ISNUMBER(_xll.VoseSimPercentile(Rev_Total,$B81)),_xll.VoseSimPercentile(Rev_Total,$B81),NA())</f>
        <v>373.80439802972722</v>
      </c>
      <c r="E81" s="77" cm="1">
        <f t="array" aca="1" ref="E81" ca="1">IF(ISNUMBER(_xll.VoseSimPercentile(LifeCons,$B81)),_xll.VoseSimPercentile(LifeCons,$B81),NA())</f>
        <v>553.30423628197866</v>
      </c>
      <c r="F81" s="77" cm="1">
        <f t="array" aca="1" ref="F81" ca="1">IF(ISNUMBER(_xll.VoseSimPercentile(LifeCons0,$B81)),_xll.VoseSimPercentile(LifeCons0,$B81),NA())</f>
        <v>629.28377107333574</v>
      </c>
    </row>
    <row r="82" spans="2:6" hidden="1" outlineLevel="1" x14ac:dyDescent="0.45">
      <c r="B82" s="76">
        <v>0.09</v>
      </c>
      <c r="C82" s="76">
        <f t="shared" si="0"/>
        <v>0.91</v>
      </c>
      <c r="D82" s="77" cm="1">
        <f t="array" aca="1" ref="D82" ca="1">IF(ISNUMBER(_xll.VoseSimPercentile(Rev_Total,$B82)),_xll.VoseSimPercentile(Rev_Total,$B82),NA())</f>
        <v>385.62864339252553</v>
      </c>
      <c r="E82" s="77" cm="1">
        <f t="array" aca="1" ref="E82" ca="1">IF(ISNUMBER(_xll.VoseSimPercentile(LifeCons,$B82)),_xll.VoseSimPercentile(LifeCons,$B82),NA())</f>
        <v>563.2012369184082</v>
      </c>
      <c r="F82" s="77" cm="1">
        <f t="array" aca="1" ref="F82" ca="1">IF(ISNUMBER(_xll.VoseSimPercentile(LifeCons0,$B82)),_xll.VoseSimPercentile(LifeCons0,$B82),NA())</f>
        <v>634.03125332868092</v>
      </c>
    </row>
    <row r="83" spans="2:6" hidden="1" outlineLevel="1" x14ac:dyDescent="0.45">
      <c r="B83" s="76">
        <v>0.11</v>
      </c>
      <c r="C83" s="76">
        <f t="shared" si="0"/>
        <v>0.89</v>
      </c>
      <c r="D83" s="77" cm="1">
        <f t="array" aca="1" ref="D83" ca="1">IF(ISNUMBER(_xll.VoseSimPercentile(Rev_Total,$B83)),_xll.VoseSimPercentile(Rev_Total,$B83),NA())</f>
        <v>396.25681486681322</v>
      </c>
      <c r="E83" s="77" cm="1">
        <f t="array" aca="1" ref="E83" ca="1">IF(ISNUMBER(_xll.VoseSimPercentile(LifeCons,$B83)),_xll.VoseSimPercentile(LifeCons,$B83),NA())</f>
        <v>571.27102197551324</v>
      </c>
      <c r="F83" s="77" cm="1">
        <f t="array" aca="1" ref="F83" ca="1">IF(ISNUMBER(_xll.VoseSimPercentile(LifeCons0,$B83)),_xll.VoseSimPercentile(LifeCons0,$B83),NA())</f>
        <v>637.43032742799755</v>
      </c>
    </row>
    <row r="84" spans="2:6" hidden="1" outlineLevel="1" x14ac:dyDescent="0.45">
      <c r="B84" s="76">
        <v>0.13</v>
      </c>
      <c r="C84" s="76">
        <f t="shared" si="0"/>
        <v>0.87</v>
      </c>
      <c r="D84" s="77" cm="1">
        <f t="array" aca="1" ref="D84" ca="1">IF(ISNUMBER(_xll.VoseSimPercentile(Rev_Total,$B84)),_xll.VoseSimPercentile(Rev_Total,$B84),NA())</f>
        <v>404.67687159311038</v>
      </c>
      <c r="E84" s="77" cm="1">
        <f t="array" aca="1" ref="E84" ca="1">IF(ISNUMBER(_xll.VoseSimPercentile(LifeCons,$B84)),_xll.VoseSimPercentile(LifeCons,$B84),NA())</f>
        <v>577.44860243174423</v>
      </c>
      <c r="F84" s="77" cm="1">
        <f t="array" aca="1" ref="F84" ca="1">IF(ISNUMBER(_xll.VoseSimPercentile(LifeCons0,$B84)),_xll.VoseSimPercentile(LifeCons0,$B84),NA())</f>
        <v>641.09360609196312</v>
      </c>
    </row>
    <row r="85" spans="2:6" hidden="1" outlineLevel="1" x14ac:dyDescent="0.45">
      <c r="B85" s="76">
        <v>0.15</v>
      </c>
      <c r="C85" s="76">
        <f t="shared" si="0"/>
        <v>0.85</v>
      </c>
      <c r="D85" s="77" cm="1">
        <f t="array" aca="1" ref="D85" ca="1">IF(ISNUMBER(_xll.VoseSimPercentile(Rev_Total,$B85)),_xll.VoseSimPercentile(Rev_Total,$B85),NA())</f>
        <v>413.09972970214039</v>
      </c>
      <c r="E85" s="77" cm="1">
        <f t="array" aca="1" ref="E85" ca="1">IF(ISNUMBER(_xll.VoseSimPercentile(LifeCons,$B85)),_xll.VoseSimPercentile(LifeCons,$B85),NA())</f>
        <v>584.42770787158975</v>
      </c>
      <c r="F85" s="77" cm="1">
        <f t="array" aca="1" ref="F85" ca="1">IF(ISNUMBER(_xll.VoseSimPercentile(LifeCons0,$B85)),_xll.VoseSimPercentile(LifeCons0,$B85),NA())</f>
        <v>644.22462548503836</v>
      </c>
    </row>
    <row r="86" spans="2:6" hidden="1" outlineLevel="1" x14ac:dyDescent="0.45">
      <c r="B86" s="76">
        <v>0.17</v>
      </c>
      <c r="C86" s="76">
        <f t="shared" si="0"/>
        <v>0.83</v>
      </c>
      <c r="D86" s="77" cm="1">
        <f t="array" aca="1" ref="D86" ca="1">IF(ISNUMBER(_xll.VoseSimPercentile(Rev_Total,$B86)),_xll.VoseSimPercentile(Rev_Total,$B86),NA())</f>
        <v>421.07719938506045</v>
      </c>
      <c r="E86" s="77" cm="1">
        <f t="array" aca="1" ref="E86" ca="1">IF(ISNUMBER(_xll.VoseSimPercentile(LifeCons,$B86)),_xll.VoseSimPercentile(LifeCons,$B86),NA())</f>
        <v>591.16144630751739</v>
      </c>
      <c r="F86" s="77" cm="1">
        <f t="array" aca="1" ref="F86" ca="1">IF(ISNUMBER(_xll.VoseSimPercentile(LifeCons0,$B86)),_xll.VoseSimPercentile(LifeCons0,$B86),NA())</f>
        <v>646.84201408229296</v>
      </c>
    </row>
    <row r="87" spans="2:6" hidden="1" outlineLevel="1" x14ac:dyDescent="0.45">
      <c r="B87" s="76">
        <v>0.19</v>
      </c>
      <c r="C87" s="76">
        <f t="shared" si="0"/>
        <v>0.81</v>
      </c>
      <c r="D87" s="77" cm="1">
        <f t="array" aca="1" ref="D87" ca="1">IF(ISNUMBER(_xll.VoseSimPercentile(Rev_Total,$B87)),_xll.VoseSimPercentile(Rev_Total,$B87),NA())</f>
        <v>428.14325350878983</v>
      </c>
      <c r="E87" s="77" cm="1">
        <f t="array" aca="1" ref="E87" ca="1">IF(ISNUMBER(_xll.VoseSimPercentile(LifeCons,$B87)),_xll.VoseSimPercentile(LifeCons,$B87),NA())</f>
        <v>596.85066175211398</v>
      </c>
      <c r="F87" s="77" cm="1">
        <f t="array" aca="1" ref="F87" ca="1">IF(ISNUMBER(_xll.VoseSimPercentile(LifeCons0,$B87)),_xll.VoseSimPercentile(LifeCons0,$B87),NA())</f>
        <v>649.23845725254887</v>
      </c>
    </row>
    <row r="88" spans="2:6" hidden="1" outlineLevel="1" x14ac:dyDescent="0.45">
      <c r="B88" s="76">
        <v>0.21</v>
      </c>
      <c r="C88" s="76">
        <f t="shared" si="0"/>
        <v>0.79</v>
      </c>
      <c r="D88" s="77" cm="1">
        <f t="array" aca="1" ref="D88" ca="1">IF(ISNUMBER(_xll.VoseSimPercentile(Rev_Total,$B88)),_xll.VoseSimPercentile(Rev_Total,$B88),NA())</f>
        <v>433.80054827679828</v>
      </c>
      <c r="E88" s="77" cm="1">
        <f t="array" aca="1" ref="E88" ca="1">IF(ISNUMBER(_xll.VoseSimPercentile(LifeCons,$B88)),_xll.VoseSimPercentile(LifeCons,$B88),NA())</f>
        <v>603.12912386332232</v>
      </c>
      <c r="F88" s="77" cm="1">
        <f t="array" aca="1" ref="F88" ca="1">IF(ISNUMBER(_xll.VoseSimPercentile(LifeCons0,$B88)),_xll.VoseSimPercentile(LifeCons0,$B88),NA())</f>
        <v>651.82013356142613</v>
      </c>
    </row>
    <row r="89" spans="2:6" hidden="1" outlineLevel="1" x14ac:dyDescent="0.45">
      <c r="B89" s="76">
        <v>0.23</v>
      </c>
      <c r="C89" s="76">
        <f t="shared" si="0"/>
        <v>0.77</v>
      </c>
      <c r="D89" s="77" cm="1">
        <f t="array" aca="1" ref="D89" ca="1">IF(ISNUMBER(_xll.VoseSimPercentile(Rev_Total,$B89)),_xll.VoseSimPercentile(Rev_Total,$B89),NA())</f>
        <v>439.7718113113923</v>
      </c>
      <c r="E89" s="77" cm="1">
        <f t="array" aca="1" ref="E89" ca="1">IF(ISNUMBER(_xll.VoseSimPercentile(LifeCons,$B89)),_xll.VoseSimPercentile(LifeCons,$B89),NA())</f>
        <v>609.42793752733166</v>
      </c>
      <c r="F89" s="77" cm="1">
        <f t="array" aca="1" ref="F89" ca="1">IF(ISNUMBER(_xll.VoseSimPercentile(LifeCons0,$B89)),_xll.VoseSimPercentile(LifeCons0,$B89),NA())</f>
        <v>654.27346707812183</v>
      </c>
    </row>
    <row r="90" spans="2:6" hidden="1" outlineLevel="1" x14ac:dyDescent="0.45">
      <c r="B90" s="76">
        <v>0.25</v>
      </c>
      <c r="C90" s="76">
        <f t="shared" si="0"/>
        <v>0.75</v>
      </c>
      <c r="D90" s="77" cm="1">
        <f t="array" aca="1" ref="D90" ca="1">IF(ISNUMBER(_xll.VoseSimPercentile(Rev_Total,$B90)),_xll.VoseSimPercentile(Rev_Total,$B90),NA())</f>
        <v>445.58142243282373</v>
      </c>
      <c r="E90" s="77" cm="1">
        <f t="array" aca="1" ref="E90" ca="1">IF(ISNUMBER(_xll.VoseSimPercentile(LifeCons,$B90)),_xll.VoseSimPercentile(LifeCons,$B90),NA())</f>
        <v>614.73282993421958</v>
      </c>
      <c r="F90" s="77" cm="1">
        <f t="array" aca="1" ref="F90" ca="1">IF(ISNUMBER(_xll.VoseSimPercentile(LifeCons0,$B90)),_xll.VoseSimPercentile(LifeCons0,$B90),NA())</f>
        <v>656.51815212628424</v>
      </c>
    </row>
    <row r="91" spans="2:6" hidden="1" outlineLevel="1" x14ac:dyDescent="0.45">
      <c r="B91" s="76">
        <v>0.27</v>
      </c>
      <c r="C91" s="76">
        <f t="shared" si="0"/>
        <v>0.73</v>
      </c>
      <c r="D91" s="77" cm="1">
        <f t="array" aca="1" ref="D91" ca="1">IF(ISNUMBER(_xll.VoseSimPercentile(Rev_Total,$B91)),_xll.VoseSimPercentile(Rev_Total,$B91),NA())</f>
        <v>451.99799118215765</v>
      </c>
      <c r="E91" s="77" cm="1">
        <f t="array" aca="1" ref="E91" ca="1">IF(ISNUMBER(_xll.VoseSimPercentile(LifeCons,$B91)),_xll.VoseSimPercentile(LifeCons,$B91),NA())</f>
        <v>620.70436856194374</v>
      </c>
      <c r="F91" s="77" cm="1">
        <f t="array" aca="1" ref="F91" ca="1">IF(ISNUMBER(_xll.VoseSimPercentile(LifeCons0,$B91)),_xll.VoseSimPercentile(LifeCons0,$B91),NA())</f>
        <v>658.60906820328864</v>
      </c>
    </row>
    <row r="92" spans="2:6" hidden="1" outlineLevel="1" x14ac:dyDescent="0.45">
      <c r="B92" s="76">
        <v>0.28999999999999998</v>
      </c>
      <c r="C92" s="76">
        <f t="shared" si="0"/>
        <v>0.71</v>
      </c>
      <c r="D92" s="77" cm="1">
        <f t="array" aca="1" ref="D92" ca="1">IF(ISNUMBER(_xll.VoseSimPercentile(Rev_Total,$B92)),_xll.VoseSimPercentile(Rev_Total,$B92),NA())</f>
        <v>458.05069677055485</v>
      </c>
      <c r="E92" s="77" cm="1">
        <f t="array" aca="1" ref="E92" ca="1">IF(ISNUMBER(_xll.VoseSimPercentile(LifeCons,$B92)),_xll.VoseSimPercentile(LifeCons,$B92),NA())</f>
        <v>626.44512796721824</v>
      </c>
      <c r="F92" s="77" cm="1">
        <f t="array" aca="1" ref="F92" ca="1">IF(ISNUMBER(_xll.VoseSimPercentile(LifeCons0,$B92)),_xll.VoseSimPercentile(LifeCons0,$B92),NA())</f>
        <v>660.50560523718298</v>
      </c>
    </row>
    <row r="93" spans="2:6" hidden="1" outlineLevel="1" x14ac:dyDescent="0.45">
      <c r="B93" s="76">
        <v>0.31</v>
      </c>
      <c r="C93" s="76">
        <f t="shared" si="0"/>
        <v>0.69</v>
      </c>
      <c r="D93" s="77" cm="1">
        <f t="array" aca="1" ref="D93" ca="1">IF(ISNUMBER(_xll.VoseSimPercentile(Rev_Total,$B93)),_xll.VoseSimPercentile(Rev_Total,$B93),NA())</f>
        <v>463.56762978404834</v>
      </c>
      <c r="E93" s="77" cm="1">
        <f t="array" aca="1" ref="E93" ca="1">IF(ISNUMBER(_xll.VoseSimPercentile(LifeCons,$B93)),_xll.VoseSimPercentile(LifeCons,$B93),NA())</f>
        <v>631.54880055416879</v>
      </c>
      <c r="F93" s="77" cm="1">
        <f t="array" aca="1" ref="F93" ca="1">IF(ISNUMBER(_xll.VoseSimPercentile(LifeCons0,$B93)),_xll.VoseSimPercentile(LifeCons0,$B93),NA())</f>
        <v>662.35429315923386</v>
      </c>
    </row>
    <row r="94" spans="2:6" hidden="1" outlineLevel="1" x14ac:dyDescent="0.45">
      <c r="B94" s="76">
        <v>0.33</v>
      </c>
      <c r="C94" s="76">
        <f t="shared" si="0"/>
        <v>0.66999999999999993</v>
      </c>
      <c r="D94" s="77" cm="1">
        <f t="array" aca="1" ref="D94" ca="1">IF(ISNUMBER(_xll.VoseSimPercentile(Rev_Total,$B94)),_xll.VoseSimPercentile(Rev_Total,$B94),NA())</f>
        <v>468.6049705584669</v>
      </c>
      <c r="E94" s="77" cm="1">
        <f t="array" aca="1" ref="E94" ca="1">IF(ISNUMBER(_xll.VoseSimPercentile(LifeCons,$B94)),_xll.VoseSimPercentile(LifeCons,$B94),NA())</f>
        <v>636.86260477870144</v>
      </c>
      <c r="F94" s="77" cm="1">
        <f t="array" aca="1" ref="F94" ca="1">IF(ISNUMBER(_xll.VoseSimPercentile(LifeCons0,$B94)),_xll.VoseSimPercentile(LifeCons0,$B94),NA())</f>
        <v>664.39511172249922</v>
      </c>
    </row>
    <row r="95" spans="2:6" hidden="1" outlineLevel="1" x14ac:dyDescent="0.45">
      <c r="B95" s="76">
        <v>0.35</v>
      </c>
      <c r="C95" s="76">
        <f t="shared" si="0"/>
        <v>0.65</v>
      </c>
      <c r="D95" s="77" cm="1">
        <f t="array" aca="1" ref="D95" ca="1">IF(ISNUMBER(_xll.VoseSimPercentile(Rev_Total,$B95)),_xll.VoseSimPercentile(Rev_Total,$B95),NA())</f>
        <v>473.62617586844618</v>
      </c>
      <c r="E95" s="77" cm="1">
        <f t="array" aca="1" ref="E95" ca="1">IF(ISNUMBER(_xll.VoseSimPercentile(LifeCons,$B95)),_xll.VoseSimPercentile(LifeCons,$B95),NA())</f>
        <v>641.96453915473978</v>
      </c>
      <c r="F95" s="77" cm="1">
        <f t="array" aca="1" ref="F95" ca="1">IF(ISNUMBER(_xll.VoseSimPercentile(LifeCons0,$B95)),_xll.VoseSimPercentile(LifeCons0,$B95),NA())</f>
        <v>666.03013602628084</v>
      </c>
    </row>
    <row r="96" spans="2:6" hidden="1" outlineLevel="1" x14ac:dyDescent="0.45">
      <c r="B96" s="76">
        <v>0.37</v>
      </c>
      <c r="C96" s="76">
        <f t="shared" si="0"/>
        <v>0.63</v>
      </c>
      <c r="D96" s="77" cm="1">
        <f t="array" aca="1" ref="D96" ca="1">IF(ISNUMBER(_xll.VoseSimPercentile(Rev_Total,$B96)),_xll.VoseSimPercentile(Rev_Total,$B96),NA())</f>
        <v>478.98649726201262</v>
      </c>
      <c r="E96" s="77" cm="1">
        <f t="array" aca="1" ref="E96" ca="1">IF(ISNUMBER(_xll.VoseSimPercentile(LifeCons,$B96)),_xll.VoseSimPercentile(LifeCons,$B96),NA())</f>
        <v>646.15837083420251</v>
      </c>
      <c r="F96" s="77" cm="1">
        <f t="array" aca="1" ref="F96" ca="1">IF(ISNUMBER(_xll.VoseSimPercentile(LifeCons0,$B96)),_xll.VoseSimPercentile(LifeCons0,$B96),NA())</f>
        <v>667.69708526797444</v>
      </c>
    </row>
    <row r="97" spans="2:6" hidden="1" outlineLevel="1" x14ac:dyDescent="0.45">
      <c r="B97" s="76">
        <v>0.39</v>
      </c>
      <c r="C97" s="76">
        <f t="shared" si="0"/>
        <v>0.61</v>
      </c>
      <c r="D97" s="77" cm="1">
        <f t="array" aca="1" ref="D97" ca="1">IF(ISNUMBER(_xll.VoseSimPercentile(Rev_Total,$B97)),_xll.VoseSimPercentile(Rev_Total,$B97),NA())</f>
        <v>483.65273019235798</v>
      </c>
      <c r="E97" s="77" cm="1">
        <f t="array" aca="1" ref="E97" ca="1">IF(ISNUMBER(_xll.VoseSimPercentile(LifeCons,$B97)),_xll.VoseSimPercentile(LifeCons,$B97),NA())</f>
        <v>651.34253205718539</v>
      </c>
      <c r="F97" s="77" cm="1">
        <f t="array" aca="1" ref="F97" ca="1">IF(ISNUMBER(_xll.VoseSimPercentile(LifeCons0,$B97)),_xll.VoseSimPercentile(LifeCons0,$B97),NA())</f>
        <v>669.20337772794778</v>
      </c>
    </row>
    <row r="98" spans="2:6" hidden="1" outlineLevel="1" x14ac:dyDescent="0.45">
      <c r="B98" s="76">
        <v>0.41</v>
      </c>
      <c r="C98" s="76">
        <f t="shared" si="0"/>
        <v>0.59000000000000008</v>
      </c>
      <c r="D98" s="77" cm="1">
        <f t="array" aca="1" ref="D98" ca="1">IF(ISNUMBER(_xll.VoseSimPercentile(Rev_Total,$B98)),_xll.VoseSimPercentile(Rev_Total,$B98),NA())</f>
        <v>488.05984596906109</v>
      </c>
      <c r="E98" s="77" cm="1">
        <f t="array" aca="1" ref="E98" ca="1">IF(ISNUMBER(_xll.VoseSimPercentile(LifeCons,$B98)),_xll.VoseSimPercentile(LifeCons,$B98),NA())</f>
        <v>656.53189946047576</v>
      </c>
      <c r="F98" s="77" cm="1">
        <f t="array" aca="1" ref="F98" ca="1">IF(ISNUMBER(_xll.VoseSimPercentile(LifeCons0,$B98)),_xll.VoseSimPercentile(LifeCons0,$B98),NA())</f>
        <v>671.14330555198785</v>
      </c>
    </row>
    <row r="99" spans="2:6" hidden="1" outlineLevel="1" x14ac:dyDescent="0.45">
      <c r="B99" s="76">
        <v>0.43</v>
      </c>
      <c r="C99" s="76">
        <f t="shared" si="0"/>
        <v>0.57000000000000006</v>
      </c>
      <c r="D99" s="77" cm="1">
        <f t="array" aca="1" ref="D99" ca="1">IF(ISNUMBER(_xll.VoseSimPercentile(Rev_Total,$B99)),_xll.VoseSimPercentile(Rev_Total,$B99),NA())</f>
        <v>492.43814811160155</v>
      </c>
      <c r="E99" s="77" cm="1">
        <f t="array" aca="1" ref="E99" ca="1">IF(ISNUMBER(_xll.VoseSimPercentile(LifeCons,$B99)),_xll.VoseSimPercentile(LifeCons,$B99),NA())</f>
        <v>661.30543723082769</v>
      </c>
      <c r="F99" s="77" cm="1">
        <f t="array" aca="1" ref="F99" ca="1">IF(ISNUMBER(_xll.VoseSimPercentile(LifeCons0,$B99)),_xll.VoseSimPercentile(LifeCons0,$B99),NA())</f>
        <v>672.98618724241703</v>
      </c>
    </row>
    <row r="100" spans="2:6" hidden="1" outlineLevel="1" x14ac:dyDescent="0.45">
      <c r="B100" s="76">
        <v>0.45</v>
      </c>
      <c r="C100" s="76">
        <f t="shared" si="0"/>
        <v>0.55000000000000004</v>
      </c>
      <c r="D100" s="77" cm="1">
        <f t="array" aca="1" ref="D100" ca="1">IF(ISNUMBER(_xll.VoseSimPercentile(Rev_Total,$B100)),_xll.VoseSimPercentile(Rev_Total,$B100),NA())</f>
        <v>497.13425354520791</v>
      </c>
      <c r="E100" s="77" cm="1">
        <f t="array" aca="1" ref="E100" ca="1">IF(ISNUMBER(_xll.VoseSimPercentile(LifeCons,$B100)),_xll.VoseSimPercentile(LifeCons,$B100),NA())</f>
        <v>665.60970144970486</v>
      </c>
      <c r="F100" s="77" cm="1">
        <f t="array" aca="1" ref="F100" ca="1">IF(ISNUMBER(_xll.VoseSimPercentile(LifeCons0,$B100)),_xll.VoseSimPercentile(LifeCons0,$B100),NA())</f>
        <v>674.8309082121616</v>
      </c>
    </row>
    <row r="101" spans="2:6" hidden="1" outlineLevel="1" x14ac:dyDescent="0.45">
      <c r="B101" s="76">
        <v>0.47</v>
      </c>
      <c r="C101" s="76">
        <f t="shared" si="0"/>
        <v>0.53</v>
      </c>
      <c r="D101" s="77" cm="1">
        <f t="array" aca="1" ref="D101" ca="1">IF(ISNUMBER(_xll.VoseSimPercentile(Rev_Total,$B101)),_xll.VoseSimPercentile(Rev_Total,$B101),NA())</f>
        <v>501.26845646569643</v>
      </c>
      <c r="E101" s="77" cm="1">
        <f t="array" aca="1" ref="E101" ca="1">IF(ISNUMBER(_xll.VoseSimPercentile(LifeCons,$B101)),_xll.VoseSimPercentile(LifeCons,$B101),NA())</f>
        <v>670.12932856916927</v>
      </c>
      <c r="F101" s="77" cm="1">
        <f t="array" aca="1" ref="F101" ca="1">IF(ISNUMBER(_xll.VoseSimPercentile(LifeCons0,$B101)),_xll.VoseSimPercentile(LifeCons0,$B101),NA())</f>
        <v>676.80693179144203</v>
      </c>
    </row>
    <row r="102" spans="2:6" hidden="1" outlineLevel="1" x14ac:dyDescent="0.45">
      <c r="B102" s="76">
        <v>0.49</v>
      </c>
      <c r="C102" s="76">
        <f t="shared" si="0"/>
        <v>0.51</v>
      </c>
      <c r="D102" s="77" cm="1">
        <f t="array" aca="1" ref="D102" ca="1">IF(ISNUMBER(_xll.VoseSimPercentile(Rev_Total,$B102)),_xll.VoseSimPercentile(Rev_Total,$B102),NA())</f>
        <v>505.93509670701116</v>
      </c>
      <c r="E102" s="77" cm="1">
        <f t="array" aca="1" ref="E102" ca="1">IF(ISNUMBER(_xll.VoseSimPercentile(LifeCons,$B102)),_xll.VoseSimPercentile(LifeCons,$B102),NA())</f>
        <v>675.40703424175069</v>
      </c>
      <c r="F102" s="77" cm="1">
        <f t="array" aca="1" ref="F102" ca="1">IF(ISNUMBER(_xll.VoseSimPercentile(LifeCons0,$B102)),_xll.VoseSimPercentile(LifeCons0,$B102),NA())</f>
        <v>678.50827495535964</v>
      </c>
    </row>
    <row r="103" spans="2:6" hidden="1" outlineLevel="1" x14ac:dyDescent="0.45">
      <c r="B103" s="76">
        <v>0.51</v>
      </c>
      <c r="C103" s="76">
        <f t="shared" si="0"/>
        <v>0.49</v>
      </c>
      <c r="D103" s="77" cm="1">
        <f t="array" aca="1" ref="D103" ca="1">IF(ISNUMBER(_xll.VoseSimPercentile(Rev_Total,$B103)),_xll.VoseSimPercentile(Rev_Total,$B103),NA())</f>
        <v>510.39619140062001</v>
      </c>
      <c r="E103" s="77" cm="1">
        <f t="array" aca="1" ref="E103" ca="1">IF(ISNUMBER(_xll.VoseSimPercentile(LifeCons,$B103)),_xll.VoseSimPercentile(LifeCons,$B103),NA())</f>
        <v>680.27481088637649</v>
      </c>
      <c r="F103" s="77" cm="1">
        <f t="array" aca="1" ref="F103" ca="1">IF(ISNUMBER(_xll.VoseSimPercentile(LifeCons0,$B103)),_xll.VoseSimPercentile(LifeCons0,$B103),NA())</f>
        <v>680.30174986178213</v>
      </c>
    </row>
    <row r="104" spans="2:6" hidden="1" outlineLevel="1" x14ac:dyDescent="0.45">
      <c r="B104" s="76">
        <v>0.53</v>
      </c>
      <c r="C104" s="76">
        <f t="shared" si="0"/>
        <v>0.47</v>
      </c>
      <c r="D104" s="77" cm="1">
        <f t="array" aca="1" ref="D104" ca="1">IF(ISNUMBER(_xll.VoseSimPercentile(Rev_Total,$B104)),_xll.VoseSimPercentile(Rev_Total,$B104),NA())</f>
        <v>514.78369109142341</v>
      </c>
      <c r="E104" s="77" cm="1">
        <f t="array" aca="1" ref="E104" ca="1">IF(ISNUMBER(_xll.VoseSimPercentile(LifeCons,$B104)),_xll.VoseSimPercentile(LifeCons,$B104),NA())</f>
        <v>684.9667909950997</v>
      </c>
      <c r="F104" s="77" cm="1">
        <f t="array" aca="1" ref="F104" ca="1">IF(ISNUMBER(_xll.VoseSimPercentile(LifeCons0,$B104)),_xll.VoseSimPercentile(LifeCons0,$B104),NA())</f>
        <v>682.07864012769085</v>
      </c>
    </row>
    <row r="105" spans="2:6" hidden="1" outlineLevel="1" x14ac:dyDescent="0.45">
      <c r="B105" s="76">
        <v>0.55000000000000004</v>
      </c>
      <c r="C105" s="76">
        <f t="shared" si="0"/>
        <v>0.44999999999999996</v>
      </c>
      <c r="D105" s="77" cm="1">
        <f t="array" aca="1" ref="D105" ca="1">IF(ISNUMBER(_xll.VoseSimPercentile(Rev_Total,$B105)),_xll.VoseSimPercentile(Rev_Total,$B105),NA())</f>
        <v>518.89740422062562</v>
      </c>
      <c r="E105" s="77" cm="1">
        <f t="array" aca="1" ref="E105" ca="1">IF(ISNUMBER(_xll.VoseSimPercentile(LifeCons,$B105)),_xll.VoseSimPercentile(LifeCons,$B105),NA())</f>
        <v>690.70866995881158</v>
      </c>
      <c r="F105" s="77" cm="1">
        <f t="array" aca="1" ref="F105" ca="1">IF(ISNUMBER(_xll.VoseSimPercentile(LifeCons0,$B105)),_xll.VoseSimPercentile(LifeCons0,$B105),NA())</f>
        <v>683.85727092898458</v>
      </c>
    </row>
    <row r="106" spans="2:6" hidden="1" outlineLevel="1" x14ac:dyDescent="0.45">
      <c r="B106" s="76">
        <v>0.56999999999999995</v>
      </c>
      <c r="C106" s="76">
        <f t="shared" si="0"/>
        <v>0.43000000000000005</v>
      </c>
      <c r="D106" s="77" cm="1">
        <f t="array" aca="1" ref="D106" ca="1">IF(ISNUMBER(_xll.VoseSimPercentile(Rev_Total,$B106)),_xll.VoseSimPercentile(Rev_Total,$B106),NA())</f>
        <v>523.55673954242104</v>
      </c>
      <c r="E106" s="77" cm="1">
        <f t="array" aca="1" ref="E106" ca="1">IF(ISNUMBER(_xll.VoseSimPercentile(LifeCons,$B106)),_xll.VoseSimPercentile(LifeCons,$B106),NA())</f>
        <v>695.60742151879981</v>
      </c>
      <c r="F106" s="77" cm="1">
        <f t="array" aca="1" ref="F106" ca="1">IF(ISNUMBER(_xll.VoseSimPercentile(LifeCons0,$B106)),_xll.VoseSimPercentile(LifeCons0,$B106),NA())</f>
        <v>685.65308620497717</v>
      </c>
    </row>
    <row r="107" spans="2:6" hidden="1" outlineLevel="1" x14ac:dyDescent="0.45">
      <c r="B107" s="76">
        <v>0.59</v>
      </c>
      <c r="C107" s="76">
        <f t="shared" si="0"/>
        <v>0.41000000000000003</v>
      </c>
      <c r="D107" s="77" cm="1">
        <f t="array" aca="1" ref="D107" ca="1">IF(ISNUMBER(_xll.VoseSimPercentile(Rev_Total,$B107)),_xll.VoseSimPercentile(Rev_Total,$B107),NA())</f>
        <v>528.13610043846734</v>
      </c>
      <c r="E107" s="77" cm="1">
        <f t="array" aca="1" ref="E107" ca="1">IF(ISNUMBER(_xll.VoseSimPercentile(LifeCons,$B107)),_xll.VoseSimPercentile(LifeCons,$B107),NA())</f>
        <v>700.2624760836818</v>
      </c>
      <c r="F107" s="77" cm="1">
        <f t="array" aca="1" ref="F107" ca="1">IF(ISNUMBER(_xll.VoseSimPercentile(LifeCons0,$B107)),_xll.VoseSimPercentile(LifeCons0,$B107),NA())</f>
        <v>687.41947046121004</v>
      </c>
    </row>
    <row r="108" spans="2:6" hidden="1" outlineLevel="1" x14ac:dyDescent="0.45">
      <c r="B108" s="76">
        <v>0.61</v>
      </c>
      <c r="C108" s="76">
        <f t="shared" si="0"/>
        <v>0.39</v>
      </c>
      <c r="D108" s="77" cm="1">
        <f t="array" aca="1" ref="D108" ca="1">IF(ISNUMBER(_xll.VoseSimPercentile(Rev_Total,$B108)),_xll.VoseSimPercentile(Rev_Total,$B108),NA())</f>
        <v>533.54639609758249</v>
      </c>
      <c r="E108" s="77" cm="1">
        <f t="array" aca="1" ref="E108" ca="1">IF(ISNUMBER(_xll.VoseSimPercentile(LifeCons,$B108)),_xll.VoseSimPercentile(LifeCons,$B108),NA())</f>
        <v>705.05758167651311</v>
      </c>
      <c r="F108" s="77" cm="1">
        <f t="array" aca="1" ref="F108" ca="1">IF(ISNUMBER(_xll.VoseSimPercentile(LifeCons0,$B108)),_xll.VoseSimPercentile(LifeCons0,$B108),NA())</f>
        <v>689.14256619913999</v>
      </c>
    </row>
    <row r="109" spans="2:6" hidden="1" outlineLevel="1" x14ac:dyDescent="0.45">
      <c r="B109" s="76">
        <v>0.63</v>
      </c>
      <c r="C109" s="76">
        <f t="shared" si="0"/>
        <v>0.37</v>
      </c>
      <c r="D109" s="77" cm="1">
        <f t="array" aca="1" ref="D109" ca="1">IF(ISNUMBER(_xll.VoseSimPercentile(Rev_Total,$B109)),_xll.VoseSimPercentile(Rev_Total,$B109),NA())</f>
        <v>538.74389209021092</v>
      </c>
      <c r="E109" s="77" cm="1">
        <f t="array" aca="1" ref="E109" ca="1">IF(ISNUMBER(_xll.VoseSimPercentile(LifeCons,$B109)),_xll.VoseSimPercentile(LifeCons,$B109),NA())</f>
        <v>710.10003823012562</v>
      </c>
      <c r="F109" s="77" cm="1">
        <f t="array" aca="1" ref="F109" ca="1">IF(ISNUMBER(_xll.VoseSimPercentile(LifeCons0,$B109)),_xll.VoseSimPercentile(LifeCons0,$B109),NA())</f>
        <v>690.81753295382964</v>
      </c>
    </row>
    <row r="110" spans="2:6" hidden="1" outlineLevel="1" x14ac:dyDescent="0.45">
      <c r="B110" s="76">
        <v>0.65</v>
      </c>
      <c r="C110" s="76">
        <f t="shared" ref="C110:C141" si="1">1-B110</f>
        <v>0.35</v>
      </c>
      <c r="D110" s="77" cm="1">
        <f t="array" aca="1" ref="D110" ca="1">IF(ISNUMBER(_xll.VoseSimPercentile(Rev_Total,$B110)),_xll.VoseSimPercentile(Rev_Total,$B110),NA())</f>
        <v>544.22761504182336</v>
      </c>
      <c r="E110" s="77" cm="1">
        <f t="array" aca="1" ref="E110" ca="1">IF(ISNUMBER(_xll.VoseSimPercentile(LifeCons,$B110)),_xll.VoseSimPercentile(LifeCons,$B110),NA())</f>
        <v>714.76378894097309</v>
      </c>
      <c r="F110" s="77" cm="1">
        <f t="array" aca="1" ref="F110" ca="1">IF(ISNUMBER(_xll.VoseSimPercentile(LifeCons0,$B110)),_xll.VoseSimPercentile(LifeCons0,$B110),NA())</f>
        <v>692.67675139638891</v>
      </c>
    </row>
    <row r="111" spans="2:6" hidden="1" outlineLevel="1" x14ac:dyDescent="0.45">
      <c r="B111" s="76">
        <v>0.67</v>
      </c>
      <c r="C111" s="76">
        <f t="shared" si="1"/>
        <v>0.32999999999999996</v>
      </c>
      <c r="D111" s="77" cm="1">
        <f t="array" aca="1" ref="D111" ca="1">IF(ISNUMBER(_xll.VoseSimPercentile(Rev_Total,$B111)),_xll.VoseSimPercentile(Rev_Total,$B111),NA())</f>
        <v>548.81908794093408</v>
      </c>
      <c r="E111" s="77" cm="1">
        <f t="array" aca="1" ref="E111" ca="1">IF(ISNUMBER(_xll.VoseSimPercentile(LifeCons,$B111)),_xll.VoseSimPercentile(LifeCons,$B111),NA())</f>
        <v>719.78761100499889</v>
      </c>
      <c r="F111" s="77" cm="1">
        <f t="array" aca="1" ref="F111" ca="1">IF(ISNUMBER(_xll.VoseSimPercentile(LifeCons0,$B111)),_xll.VoseSimPercentile(LifeCons0,$B111),NA())</f>
        <v>694.43069331399772</v>
      </c>
    </row>
    <row r="112" spans="2:6" hidden="1" outlineLevel="1" x14ac:dyDescent="0.45">
      <c r="B112" s="76">
        <v>0.69</v>
      </c>
      <c r="C112" s="76">
        <f t="shared" si="1"/>
        <v>0.31000000000000005</v>
      </c>
      <c r="D112" s="77" cm="1">
        <f t="array" aca="1" ref="D112" ca="1">IF(ISNUMBER(_xll.VoseSimPercentile(Rev_Total,$B112)),_xll.VoseSimPercentile(Rev_Total,$B112),NA())</f>
        <v>553.59923436817769</v>
      </c>
      <c r="E112" s="77" cm="1">
        <f t="array" aca="1" ref="E112" ca="1">IF(ISNUMBER(_xll.VoseSimPercentile(LifeCons,$B112)),_xll.VoseSimPercentile(LifeCons,$B112),NA())</f>
        <v>725.10731265851871</v>
      </c>
      <c r="F112" s="77" cm="1">
        <f t="array" aca="1" ref="F112" ca="1">IF(ISNUMBER(_xll.VoseSimPercentile(LifeCons0,$B112)),_xll.VoseSimPercentile(LifeCons0,$B112),NA())</f>
        <v>696.38847125576092</v>
      </c>
    </row>
    <row r="113" spans="2:6" hidden="1" outlineLevel="1" x14ac:dyDescent="0.45">
      <c r="B113" s="76">
        <v>0.71</v>
      </c>
      <c r="C113" s="76">
        <f t="shared" si="1"/>
        <v>0.29000000000000004</v>
      </c>
      <c r="D113" s="77" cm="1">
        <f t="array" aca="1" ref="D113" ca="1">IF(ISNUMBER(_xll.VoseSimPercentile(Rev_Total,$B113)),_xll.VoseSimPercentile(Rev_Total,$B113),NA())</f>
        <v>559.67394830733463</v>
      </c>
      <c r="E113" s="77" cm="1">
        <f t="array" aca="1" ref="E113" ca="1">IF(ISNUMBER(_xll.VoseSimPercentile(LifeCons,$B113)),_xll.VoseSimPercentile(LifeCons,$B113),NA())</f>
        <v>729.89838617850694</v>
      </c>
      <c r="F113" s="77" cm="1">
        <f t="array" aca="1" ref="F113" ca="1">IF(ISNUMBER(_xll.VoseSimPercentile(LifeCons0,$B113)),_xll.VoseSimPercentile(LifeCons0,$B113),NA())</f>
        <v>698.40228882036206</v>
      </c>
    </row>
    <row r="114" spans="2:6" hidden="1" outlineLevel="1" x14ac:dyDescent="0.45">
      <c r="B114" s="76">
        <v>0.73</v>
      </c>
      <c r="C114" s="76">
        <f t="shared" si="1"/>
        <v>0.27</v>
      </c>
      <c r="D114" s="77" cm="1">
        <f t="array" aca="1" ref="D114" ca="1">IF(ISNUMBER(_xll.VoseSimPercentile(Rev_Total,$B114)),_xll.VoseSimPercentile(Rev_Total,$B114),NA())</f>
        <v>564.44038844745046</v>
      </c>
      <c r="E114" s="77" cm="1">
        <f t="array" aca="1" ref="E114" ca="1">IF(ISNUMBER(_xll.VoseSimPercentile(LifeCons,$B114)),_xll.VoseSimPercentile(LifeCons,$B114),NA())</f>
        <v>735.8374441912988</v>
      </c>
      <c r="F114" s="77" cm="1">
        <f t="array" aca="1" ref="F114" ca="1">IF(ISNUMBER(_xll.VoseSimPercentile(LifeCons0,$B114)),_xll.VoseSimPercentile(LifeCons0,$B114),NA())</f>
        <v>700.47612613659396</v>
      </c>
    </row>
    <row r="115" spans="2:6" hidden="1" outlineLevel="1" x14ac:dyDescent="0.45">
      <c r="B115" s="76">
        <v>0.75</v>
      </c>
      <c r="C115" s="76">
        <f t="shared" si="1"/>
        <v>0.25</v>
      </c>
      <c r="D115" s="77" cm="1">
        <f t="array" aca="1" ref="D115" ca="1">IF(ISNUMBER(_xll.VoseSimPercentile(Rev_Total,$B115)),_xll.VoseSimPercentile(Rev_Total,$B115),NA())</f>
        <v>569.65144655591018</v>
      </c>
      <c r="E115" s="77" cm="1">
        <f t="array" aca="1" ref="E115" ca="1">IF(ISNUMBER(_xll.VoseSimPercentile(LifeCons,$B115)),_xll.VoseSimPercentile(LifeCons,$B115),NA())</f>
        <v>742.27347626801429</v>
      </c>
      <c r="F115" s="77" cm="1">
        <f t="array" aca="1" ref="F115" ca="1">IF(ISNUMBER(_xll.VoseSimPercentile(LifeCons0,$B115)),_xll.VoseSimPercentile(LifeCons0,$B115),NA())</f>
        <v>702.66071947505316</v>
      </c>
    </row>
    <row r="116" spans="2:6" hidden="1" outlineLevel="1" x14ac:dyDescent="0.45">
      <c r="B116" s="76">
        <v>0.77</v>
      </c>
      <c r="C116" s="76">
        <f t="shared" si="1"/>
        <v>0.22999999999999998</v>
      </c>
      <c r="D116" s="77" cm="1">
        <f t="array" aca="1" ref="D116" ca="1">IF(ISNUMBER(_xll.VoseSimPercentile(Rev_Total,$B116)),_xll.VoseSimPercentile(Rev_Total,$B116),NA())</f>
        <v>576.21949423281285</v>
      </c>
      <c r="E116" s="77" cm="1">
        <f t="array" aca="1" ref="E116" ca="1">IF(ISNUMBER(_xll.VoseSimPercentile(LifeCons,$B116)),_xll.VoseSimPercentile(LifeCons,$B116),NA())</f>
        <v>748.11451970174562</v>
      </c>
      <c r="F116" s="77" cm="1">
        <f t="array" aca="1" ref="F116" ca="1">IF(ISNUMBER(_xll.VoseSimPercentile(LifeCons0,$B116)),_xll.VoseSimPercentile(LifeCons0,$B116),NA())</f>
        <v>705.07563413362573</v>
      </c>
    </row>
    <row r="117" spans="2:6" hidden="1" outlineLevel="1" x14ac:dyDescent="0.45">
      <c r="B117" s="76">
        <v>0.79</v>
      </c>
      <c r="C117" s="76">
        <f t="shared" si="1"/>
        <v>0.20999999999999996</v>
      </c>
      <c r="D117" s="77" cm="1">
        <f t="array" aca="1" ref="D117" ca="1">IF(ISNUMBER(_xll.VoseSimPercentile(Rev_Total,$B117)),_xll.VoseSimPercentile(Rev_Total,$B117),NA())</f>
        <v>582.15560176884787</v>
      </c>
      <c r="E117" s="77" cm="1">
        <f t="array" aca="1" ref="E117" ca="1">IF(ISNUMBER(_xll.VoseSimPercentile(LifeCons,$B117)),_xll.VoseSimPercentile(LifeCons,$B117),NA())</f>
        <v>754.11771057846659</v>
      </c>
      <c r="F117" s="77" cm="1">
        <f t="array" aca="1" ref="F117" ca="1">IF(ISNUMBER(_xll.VoseSimPercentile(LifeCons0,$B117)),_xll.VoseSimPercentile(LifeCons0,$B117),NA())</f>
        <v>707.29356396725018</v>
      </c>
    </row>
    <row r="118" spans="2:6" hidden="1" outlineLevel="1" x14ac:dyDescent="0.45">
      <c r="B118" s="76">
        <v>0.81</v>
      </c>
      <c r="C118" s="76">
        <f t="shared" si="1"/>
        <v>0.18999999999999995</v>
      </c>
      <c r="D118" s="77" cm="1">
        <f t="array" aca="1" ref="D118" ca="1">IF(ISNUMBER(_xll.VoseSimPercentile(Rev_Total,$B118)),_xll.VoseSimPercentile(Rev_Total,$B118),NA())</f>
        <v>589.02219301820105</v>
      </c>
      <c r="E118" s="77" cm="1">
        <f t="array" aca="1" ref="E118" ca="1">IF(ISNUMBER(_xll.VoseSimPercentile(LifeCons,$B118)),_xll.VoseSimPercentile(LifeCons,$B118),NA())</f>
        <v>760.05464582275658</v>
      </c>
      <c r="F118" s="77" cm="1">
        <f t="array" aca="1" ref="F118" ca="1">IF(ISNUMBER(_xll.VoseSimPercentile(LifeCons0,$B118)),_xll.VoseSimPercentile(LifeCons0,$B118),NA())</f>
        <v>709.41820870562435</v>
      </c>
    </row>
    <row r="119" spans="2:6" hidden="1" outlineLevel="1" x14ac:dyDescent="0.45">
      <c r="B119" s="76">
        <v>0.83</v>
      </c>
      <c r="C119" s="76">
        <f t="shared" si="1"/>
        <v>0.17000000000000004</v>
      </c>
      <c r="D119" s="77" cm="1">
        <f t="array" aca="1" ref="D119" ca="1">IF(ISNUMBER(_xll.VoseSimPercentile(Rev_Total,$B119)),_xll.VoseSimPercentile(Rev_Total,$B119),NA())</f>
        <v>596.33627869274608</v>
      </c>
      <c r="E119" s="77" cm="1">
        <f t="array" aca="1" ref="E119" ca="1">IF(ISNUMBER(_xll.VoseSimPercentile(LifeCons,$B119)),_xll.VoseSimPercentile(LifeCons,$B119),NA())</f>
        <v>767.0365706281259</v>
      </c>
      <c r="F119" s="77" cm="1">
        <f t="array" aca="1" ref="F119" ca="1">IF(ISNUMBER(_xll.VoseSimPercentile(LifeCons0,$B119)),_xll.VoseSimPercentile(LifeCons0,$B119),NA())</f>
        <v>711.92871209007171</v>
      </c>
    </row>
    <row r="120" spans="2:6" hidden="1" outlineLevel="1" x14ac:dyDescent="0.45">
      <c r="B120" s="76">
        <v>0.85</v>
      </c>
      <c r="C120" s="76">
        <f t="shared" si="1"/>
        <v>0.15000000000000002</v>
      </c>
      <c r="D120" s="77" cm="1">
        <f t="array" aca="1" ref="D120" ca="1">IF(ISNUMBER(_xll.VoseSimPercentile(Rev_Total,$B120)),_xll.VoseSimPercentile(Rev_Total,$B120),NA())</f>
        <v>603.93371090641006</v>
      </c>
      <c r="E120" s="77" cm="1">
        <f t="array" aca="1" ref="E120" ca="1">IF(ISNUMBER(_xll.VoseSimPercentile(LifeCons,$B120)),_xll.VoseSimPercentile(LifeCons,$B120),NA())</f>
        <v>773.99953389228153</v>
      </c>
      <c r="F120" s="77" cm="1">
        <f t="array" aca="1" ref="F120" ca="1">IF(ISNUMBER(_xll.VoseSimPercentile(LifeCons0,$B120)),_xll.VoseSimPercentile(LifeCons0,$B120),NA())</f>
        <v>714.62869180271946</v>
      </c>
    </row>
    <row r="121" spans="2:6" hidden="1" outlineLevel="1" x14ac:dyDescent="0.45">
      <c r="B121" s="76">
        <v>0.87</v>
      </c>
      <c r="C121" s="76">
        <f t="shared" si="1"/>
        <v>0.13</v>
      </c>
      <c r="D121" s="77" cm="1">
        <f t="array" aca="1" ref="D121" ca="1">IF(ISNUMBER(_xll.VoseSimPercentile(Rev_Total,$B121)),_xll.VoseSimPercentile(Rev_Total,$B121),NA())</f>
        <v>610.9565258524517</v>
      </c>
      <c r="E121" s="77" cm="1">
        <f t="array" aca="1" ref="E121" ca="1">IF(ISNUMBER(_xll.VoseSimPercentile(LifeCons,$B121)),_xll.VoseSimPercentile(LifeCons,$B121),NA())</f>
        <v>782.39922730409376</v>
      </c>
      <c r="F121" s="77" cm="1">
        <f t="array" aca="1" ref="F121" ca="1">IF(ISNUMBER(_xll.VoseSimPercentile(LifeCons0,$B121)),_xll.VoseSimPercentile(LifeCons0,$B121),NA())</f>
        <v>717.87856688539614</v>
      </c>
    </row>
    <row r="122" spans="2:6" hidden="1" outlineLevel="1" x14ac:dyDescent="0.45">
      <c r="B122" s="76">
        <v>0.89</v>
      </c>
      <c r="C122" s="76">
        <f t="shared" si="1"/>
        <v>0.10999999999999999</v>
      </c>
      <c r="D122" s="77" cm="1">
        <f t="array" aca="1" ref="D122" ca="1">IF(ISNUMBER(_xll.VoseSimPercentile(Rev_Total,$B122)),_xll.VoseSimPercentile(Rev_Total,$B122),NA())</f>
        <v>618.68198716311235</v>
      </c>
      <c r="E122" s="77" cm="1">
        <f t="array" aca="1" ref="E122" ca="1">IF(ISNUMBER(_xll.VoseSimPercentile(LifeCons,$B122)),_xll.VoseSimPercentile(LifeCons,$B122),NA())</f>
        <v>792.03524500565618</v>
      </c>
      <c r="F122" s="77" cm="1">
        <f t="array" aca="1" ref="F122" ca="1">IF(ISNUMBER(_xll.VoseSimPercentile(LifeCons0,$B122)),_xll.VoseSimPercentile(LifeCons0,$B122),NA())</f>
        <v>721.27638453620227</v>
      </c>
    </row>
    <row r="123" spans="2:6" hidden="1" outlineLevel="1" x14ac:dyDescent="0.45">
      <c r="B123" s="76">
        <v>0.91</v>
      </c>
      <c r="C123" s="76">
        <f t="shared" si="1"/>
        <v>8.9999999999999969E-2</v>
      </c>
      <c r="D123" s="77" cm="1">
        <f t="array" aca="1" ref="D123" ca="1">IF(ISNUMBER(_xll.VoseSimPercentile(Rev_Total,$B123)),_xll.VoseSimPercentile(Rev_Total,$B123),NA())</f>
        <v>628.00917020364886</v>
      </c>
      <c r="E123" s="77" cm="1">
        <f t="array" aca="1" ref="E123" ca="1">IF(ISNUMBER(_xll.VoseSimPercentile(LifeCons,$B123)),_xll.VoseSimPercentile(LifeCons,$B123),NA())</f>
        <v>800.72476201722043</v>
      </c>
      <c r="F123" s="77" cm="1">
        <f t="array" aca="1" ref="F123" ca="1">IF(ISNUMBER(_xll.VoseSimPercentile(LifeCons0,$B123)),_xll.VoseSimPercentile(LifeCons0,$B123),NA())</f>
        <v>725.39933236720856</v>
      </c>
    </row>
    <row r="124" spans="2:6" hidden="1" outlineLevel="1" x14ac:dyDescent="0.45">
      <c r="B124" s="76">
        <v>0.93</v>
      </c>
      <c r="C124" s="76">
        <f t="shared" si="1"/>
        <v>6.9999999999999951E-2</v>
      </c>
      <c r="D124" s="77" cm="1">
        <f t="array" aca="1" ref="D124" ca="1">IF(ISNUMBER(_xll.VoseSimPercentile(Rev_Total,$B124)),_xll.VoseSimPercentile(Rev_Total,$B124),NA())</f>
        <v>639.40113207563888</v>
      </c>
      <c r="E124" s="77" cm="1">
        <f t="array" aca="1" ref="E124" ca="1">IF(ISNUMBER(_xll.VoseSimPercentile(LifeCons,$B124)),_xll.VoseSimPercentile(LifeCons,$B124),NA())</f>
        <v>811.63288266774907</v>
      </c>
      <c r="F124" s="77" cm="1">
        <f t="array" aca="1" ref="F124" ca="1">IF(ISNUMBER(_xll.VoseSimPercentile(LifeCons0,$B124)),_xll.VoseSimPercentile(LifeCons0,$B124),NA())</f>
        <v>730.03762861757866</v>
      </c>
    </row>
    <row r="125" spans="2:6" hidden="1" outlineLevel="1" x14ac:dyDescent="0.45">
      <c r="B125" s="76">
        <v>0.95</v>
      </c>
      <c r="C125" s="76">
        <f t="shared" si="1"/>
        <v>5.0000000000000044E-2</v>
      </c>
      <c r="D125" s="77" cm="1">
        <f t="array" aca="1" ref="D125" ca="1">IF(ISNUMBER(_xll.VoseSimPercentile(Rev_Total,$B125)),_xll.VoseSimPercentile(Rev_Total,$B125),NA())</f>
        <v>653.76346548720073</v>
      </c>
      <c r="E125" s="77" cm="1">
        <f t="array" aca="1" ref="E125" ca="1">IF(ISNUMBER(_xll.VoseSimPercentile(LifeCons,$B125)),_xll.VoseSimPercentile(LifeCons,$B125),NA())</f>
        <v>823.82148622288582</v>
      </c>
      <c r="F125" s="77" cm="1">
        <f t="array" aca="1" ref="F125" ca="1">IF(ISNUMBER(_xll.VoseSimPercentile(LifeCons0,$B125)),_xll.VoseSimPercentile(LifeCons0,$B125),NA())</f>
        <v>735.63897201095858</v>
      </c>
    </row>
    <row r="126" spans="2:6" hidden="1" outlineLevel="1" x14ac:dyDescent="0.45">
      <c r="B126" s="76">
        <v>0.97</v>
      </c>
      <c r="C126" s="76">
        <f t="shared" si="1"/>
        <v>3.0000000000000027E-2</v>
      </c>
      <c r="D126" s="77" cm="1">
        <f t="array" aca="1" ref="D126" ca="1">IF(ISNUMBER(_xll.VoseSimPercentile(Rev_Total,$B126)),_xll.VoseSimPercentile(Rev_Total,$B126),NA())</f>
        <v>673.45708760444586</v>
      </c>
      <c r="E126" s="77" cm="1">
        <f t="array" aca="1" ref="E126" ca="1">IF(ISNUMBER(_xll.VoseSimPercentile(LifeCons,$B126)),_xll.VoseSimPercentile(LifeCons,$B126),NA())</f>
        <v>842.11869335954418</v>
      </c>
      <c r="F126" s="77" cm="1">
        <f t="array" aca="1" ref="F126" ca="1">IF(ISNUMBER(_xll.VoseSimPercentile(LifeCons0,$B126)),_xll.VoseSimPercentile(LifeCons0,$B126),NA())</f>
        <v>742.58317473233399</v>
      </c>
    </row>
    <row r="127" spans="2:6" hidden="1" outlineLevel="1" x14ac:dyDescent="0.45">
      <c r="B127" s="76">
        <v>0.99</v>
      </c>
      <c r="C127" s="76">
        <f t="shared" si="1"/>
        <v>1.0000000000000009E-2</v>
      </c>
      <c r="D127" s="77" cm="1">
        <f t="array" aca="1" ref="D127" ca="1">IF(ISNUMBER(_xll.VoseSimPercentile(Rev_Total,$B127)),_xll.VoseSimPercentile(Rev_Total,$B127),NA())</f>
        <v>703.20315913644481</v>
      </c>
      <c r="E127" s="77" cm="1">
        <f t="array" aca="1" ref="E127" ca="1">IF(ISNUMBER(_xll.VoseSimPercentile(LifeCons,$B127)),_xll.VoseSimPercentile(LifeCons,$B127),NA())</f>
        <v>869.53434757929733</v>
      </c>
      <c r="F127" s="77" cm="1">
        <f t="array" aca="1" ref="F127" ca="1">IF(ISNUMBER(_xll.VoseSimPercentile(LifeCons0,$B127)),_xll.VoseSimPercentile(LifeCons0,$B127),NA())</f>
        <v>758.36242520879102</v>
      </c>
    </row>
    <row r="128" spans="2:6" hidden="1" outlineLevel="1" x14ac:dyDescent="0.45"/>
    <row r="129" spans="2:7" hidden="1" outlineLevel="1" x14ac:dyDescent="0.45">
      <c r="B129" s="78" t="s">
        <v>244</v>
      </c>
      <c r="D129" s="79" cm="1">
        <f t="array" aca="1" ref="D129" ca="1">_xll.VoseSimMean(Rev_Total)</f>
        <v>507.98336321536863</v>
      </c>
    </row>
    <row r="130" spans="2:7" ht="18" hidden="1" customHeight="1" outlineLevel="1" x14ac:dyDescent="0.45">
      <c r="B130" s="23" t="s">
        <v>245</v>
      </c>
      <c r="C130" s="5"/>
      <c r="D130" s="5"/>
      <c r="E130" s="5"/>
      <c r="F130" s="24" t="s">
        <v>246</v>
      </c>
      <c r="G130" s="24" t="s">
        <v>247</v>
      </c>
    </row>
    <row r="131" spans="2:7" hidden="1" outlineLevel="1" x14ac:dyDescent="0.45">
      <c r="B131" s="80" t="str">
        <f ca="1">B62</f>
        <v>Принятие рынком</v>
      </c>
      <c r="F131" s="81">
        <f ca="1">IFERROR(D62-$D$129,NA())</f>
        <v>110.37017923658584</v>
      </c>
      <c r="G131" s="81">
        <f ca="1">IFERROR(C62-$D$129,NA())</f>
        <v>-141.64476885583349</v>
      </c>
    </row>
    <row r="132" spans="2:7" hidden="1" outlineLevel="1" x14ac:dyDescent="0.45">
      <c r="B132" s="80" t="str">
        <f ca="1">B63</f>
        <v>Уровень расходных материалов</v>
      </c>
      <c r="F132" s="81">
        <f ca="1">IFERROR(D63-$D$129,NA())</f>
        <v>83.812780723240735</v>
      </c>
      <c r="G132" s="81">
        <f ca="1">IFERROR(C63-$D$129,NA())</f>
        <v>-75.757752998663307</v>
      </c>
    </row>
    <row r="133" spans="2:7" hidden="1" outlineLevel="1" x14ac:dyDescent="0.45">
      <c r="B133" s="80" t="str">
        <f ca="1">B64</f>
        <v>Цена анализатора</v>
      </c>
      <c r="F133" s="81">
        <f ca="1">IFERROR(D64-$D$129,NA())</f>
        <v>5.6909340788834015</v>
      </c>
      <c r="G133" s="81">
        <f ca="1">IFERROR(C64-$D$129,NA())</f>
        <v>-7.1094574610932</v>
      </c>
    </row>
    <row r="134" spans="2:7" hidden="1" outlineLevel="1" x14ac:dyDescent="0.45"/>
    <row r="135" spans="2:7" ht="28.05" hidden="1" customHeight="1" outlineLevel="1" x14ac:dyDescent="0.45">
      <c r="B135" s="23" t="s">
        <v>248</v>
      </c>
      <c r="C135" s="24" t="s">
        <v>249</v>
      </c>
      <c r="D135" s="24" t="s">
        <v>211</v>
      </c>
      <c r="E135" s="24" t="s">
        <v>250</v>
      </c>
      <c r="F135" s="24" t="s">
        <v>106</v>
      </c>
      <c r="G135" s="24" t="s">
        <v>63</v>
      </c>
    </row>
    <row r="136" spans="2:7" hidden="1" outlineLevel="1" x14ac:dyDescent="0.45">
      <c r="B136" s="80">
        <f>'Прогноз'!F7</f>
        <v>2027</v>
      </c>
      <c r="C136" s="77" cm="1">
        <f t="array" aca="1" ref="C136" ca="1">IF(ISNUMBER(_xll.VoseSimPercentile('Прогноз'!F24,0.1)),_xll.VoseSimPercentile('Прогноз'!F24,0.1),NA())</f>
        <v>5.7235923512894571</v>
      </c>
      <c r="D136" s="77" cm="1">
        <f t="array" aca="1" ref="D136" ca="1">IF(ISNUMBER(_xll.VoseSimPercentile('Прогноз'!F24,0.5)),_xll.VoseSimPercentile('Прогноз'!F24,0.5),NA())</f>
        <v>8.1241242990797762</v>
      </c>
      <c r="E136" s="77" cm="1">
        <f t="array" aca="1" ref="E136" ca="1">IF(ISNUMBER(_xll.VoseSimPercentile('Прогноз'!F24,0.9)),_xll.VoseSimPercentile('Прогноз'!F24,0.9),NA())</f>
        <v>10.549330554182861</v>
      </c>
      <c r="F136" s="77" cm="1">
        <f t="array" aca="1" ref="F136" ca="1">IF(ISNUMBER(_xll.VoseSimMean('Прогноз'!F24)),_xll.VoseSimMean('Прогноз'!F24),NA())</f>
        <v>8.1360113695387515</v>
      </c>
      <c r="G136" s="77">
        <f>Plan_Y1</f>
        <v>8.64</v>
      </c>
    </row>
    <row r="137" spans="2:7" hidden="1" outlineLevel="1" x14ac:dyDescent="0.45">
      <c r="B137" s="80">
        <f>'Прогноз'!G7</f>
        <v>2028</v>
      </c>
      <c r="C137" s="77" cm="1">
        <f t="array" aca="1" ref="C137" ca="1">IF(ISNUMBER(_xll.VoseSimPercentile('Прогноз'!G24,0.1)),_xll.VoseSimPercentile('Прогноз'!G24,0.1),NA())</f>
        <v>14.759447567506932</v>
      </c>
      <c r="D137" s="77" cm="1">
        <f t="array" aca="1" ref="D137" ca="1">IF(ISNUMBER(_xll.VoseSimPercentile('Прогноз'!G24,0.5)),_xll.VoseSimPercentile('Прогноз'!G24,0.5),NA())</f>
        <v>20.083335369125045</v>
      </c>
      <c r="E137" s="77" cm="1">
        <f t="array" aca="1" ref="E137" ca="1">IF(ISNUMBER(_xll.VoseSimPercentile('Прогноз'!G24,0.9)),_xll.VoseSimPercentile('Прогноз'!G24,0.9),NA())</f>
        <v>25.120839196464473</v>
      </c>
      <c r="F137" s="77" cm="1">
        <f t="array" aca="1" ref="F137" ca="1">IF(ISNUMBER(_xll.VoseSimMean('Прогноз'!G24)),_xll.VoseSimMean('Прогноз'!G24),NA())</f>
        <v>20.022207586547413</v>
      </c>
      <c r="G137" s="77">
        <f>Plan_Y2</f>
        <v>21.24</v>
      </c>
    </row>
    <row r="138" spans="2:7" hidden="1" outlineLevel="1" x14ac:dyDescent="0.45">
      <c r="B138" s="80">
        <f>'Прогноз'!H7</f>
        <v>2029</v>
      </c>
      <c r="C138" s="77" cm="1">
        <f t="array" aca="1" ref="C138" ca="1">IF(ISNUMBER(_xll.VoseSimPercentile('Прогноз'!H24,0.1)),_xll.VoseSimPercentile('Прогноз'!H24,0.1),NA())</f>
        <v>30.118836631024926</v>
      </c>
      <c r="D138" s="77" cm="1">
        <f t="array" aca="1" ref="D138" ca="1">IF(ISNUMBER(_xll.VoseSimPercentile('Прогноз'!H24,0.5)),_xll.VoseSimPercentile('Прогноз'!H24,0.5),NA())</f>
        <v>40.502254177185399</v>
      </c>
      <c r="E138" s="77" cm="1">
        <f t="array" aca="1" ref="E138" ca="1">IF(ISNUMBER(_xll.VoseSimPercentile('Прогноз'!H24,0.9)),_xll.VoseSimPercentile('Прогноз'!H24,0.9),NA())</f>
        <v>50.227519809008662</v>
      </c>
      <c r="F138" s="77" cm="1">
        <f t="array" aca="1" ref="F138" ca="1">IF(ISNUMBER(_xll.VoseSimMean('Прогноз'!H24)),_xll.VoseSimMean('Прогноз'!H24),NA())</f>
        <v>40.321076323392887</v>
      </c>
      <c r="G138" s="77">
        <f>Plan_Y3</f>
        <v>42.502272000000005</v>
      </c>
    </row>
    <row r="139" spans="2:7" hidden="1" outlineLevel="1" x14ac:dyDescent="0.45">
      <c r="B139" s="80">
        <f>'Прогноз'!I7</f>
        <v>2030</v>
      </c>
      <c r="C139" s="77" cm="1">
        <f t="array" aca="1" ref="C139" ca="1">IF(ISNUMBER(_xll.VoseSimPercentile('Прогноз'!I24,0.1)),_xll.VoseSimPercentile('Прогноз'!I24,0.1),NA())</f>
        <v>46.241860995452782</v>
      </c>
      <c r="D139" s="77" cm="1">
        <f t="array" aca="1" ref="D139" ca="1">IF(ISNUMBER(_xll.VoseSimPercentile('Прогноз'!I24,0.5)),_xll.VoseSimPercentile('Прогноз'!I24,0.5),NA())</f>
        <v>61.350537614904027</v>
      </c>
      <c r="E139" s="77" cm="1">
        <f t="array" aca="1" ref="E139" ca="1">IF(ISNUMBER(_xll.VoseSimPercentile('Прогноз'!I24,0.9)),_xll.VoseSimPercentile('Прогноз'!I24,0.9),NA())</f>
        <v>76.00167482771819</v>
      </c>
      <c r="F139" s="77" cm="1">
        <f t="array" aca="1" ref="F139" ca="1">IF(ISNUMBER(_xll.VoseSimMean('Прогноз'!I24)),_xll.VoseSimMean('Прогноз'!I24),NA())</f>
        <v>61.207899763722125</v>
      </c>
      <c r="G139" s="77">
        <f>Plan_Y4</f>
        <v>63.864737280000007</v>
      </c>
    </row>
    <row r="140" spans="2:7" hidden="1" outlineLevel="1" x14ac:dyDescent="0.45">
      <c r="B140" s="80">
        <f>'Прогноз'!J7</f>
        <v>2031</v>
      </c>
      <c r="C140" s="77" cm="1">
        <f t="array" aca="1" ref="C140" ca="1">IF(ISNUMBER(_xll.VoseSimPercentile('Прогноз'!J24,0.1)),_xll.VoseSimPercentile('Прогноз'!J24,0.1),NA())</f>
        <v>59.462532027065507</v>
      </c>
      <c r="D140" s="77" cm="1">
        <f t="array" aca="1" ref="D140" ca="1">IF(ISNUMBER(_xll.VoseSimPercentile('Прогноз'!J24,0.5)),_xll.VoseSimPercentile('Прогноз'!J24,0.5),NA())</f>
        <v>78.086056088130448</v>
      </c>
      <c r="E140" s="77" cm="1">
        <f t="array" aca="1" ref="E140" ca="1">IF(ISNUMBER(_xll.VoseSimPercentile('Прогноз'!J24,0.9)),_xll.VoseSimPercentile('Прогноз'!J24,0.9),NA())</f>
        <v>96.936067343988455</v>
      </c>
      <c r="F140" s="77" cm="1">
        <f t="array" aca="1" ref="F140" ca="1">IF(ISNUMBER(_xll.VoseSimMean('Прогноз'!J24)),_xll.VoseSimMean('Прогноз'!J24),NA())</f>
        <v>78.17496193510857</v>
      </c>
      <c r="G140" s="77">
        <f>Plan_Y5</f>
        <v>81.283122431999999</v>
      </c>
    </row>
    <row r="141" spans="2:7" hidden="1" outlineLevel="1" x14ac:dyDescent="0.45">
      <c r="B141" s="80">
        <f>'Прогноз'!K7</f>
        <v>2032</v>
      </c>
      <c r="C141" s="77" cm="1">
        <f t="array" aca="1" ref="C141" ca="1">IF(ISNUMBER(_xll.VoseSimPercentile('Прогноз'!K24,0.1)),_xll.VoseSimPercentile('Прогноз'!K24,0.1),NA())</f>
        <v>69.732694082358364</v>
      </c>
      <c r="D141" s="77" cm="1">
        <f t="array" aca="1" ref="D141" ca="1">IF(ISNUMBER(_xll.VoseSimPercentile('Прогноз'!K24,0.5)),_xll.VoseSimPercentile('Прогноз'!K24,0.5),NA())</f>
        <v>91.094012400808666</v>
      </c>
      <c r="E141" s="77" cm="1">
        <f t="array" aca="1" ref="E141" ca="1">IF(ISNUMBER(_xll.VoseSimPercentile('Прогноз'!K24,0.9)),_xll.VoseSimPercentile('Прогноз'!K24,0.9),NA())</f>
        <v>113.07394945353275</v>
      </c>
      <c r="F141" s="77" cm="1">
        <f t="array" aca="1" ref="F141" ca="1">IF(ISNUMBER(_xll.VoseSimMean('Прогноз'!K24)),_xll.VoseSimMean('Прогноз'!K24),NA())</f>
        <v>91.428971183365874</v>
      </c>
      <c r="G141" s="77">
        <f>Plan_Y6</f>
        <v>94.754810188799993</v>
      </c>
    </row>
    <row r="142" spans="2:7" hidden="1" outlineLevel="1" x14ac:dyDescent="0.45">
      <c r="B142" s="80">
        <f>'Прогноз'!L7</f>
        <v>2033</v>
      </c>
      <c r="C142" s="77" cm="1">
        <f t="array" aca="1" ref="C142" ca="1">IF(ISNUMBER(_xll.VoseSimPercentile('Прогноз'!L24,0.1)),_xll.VoseSimPercentile('Прогноз'!L24,0.1),NA())</f>
        <v>77.109124672185828</v>
      </c>
      <c r="D142" s="77" cm="1">
        <f t="array" aca="1" ref="D142" ca="1">IF(ISNUMBER(_xll.VoseSimPercentile('Прогноз'!L24,0.5)),_xll.VoseSimPercentile('Прогноз'!L24,0.5),NA())</f>
        <v>99.990501371513304</v>
      </c>
      <c r="E142" s="77" cm="1">
        <f t="array" aca="1" ref="E142" ca="1">IF(ISNUMBER(_xll.VoseSimPercentile('Прогноз'!L24,0.9)),_xll.VoseSimPercentile('Прогноз'!L24,0.9),NA())</f>
        <v>125.19186651881417</v>
      </c>
      <c r="F142" s="77" cm="1">
        <f t="array" aca="1" ref="F142" ca="1">IF(ISNUMBER(_xll.VoseSimMean('Прогноз'!L24)),_xll.VoseSimMean('Прогноз'!L24),NA())</f>
        <v>100.63305812979721</v>
      </c>
      <c r="G142" s="77">
        <f>Plan_Y7</f>
        <v>103.861097849088</v>
      </c>
    </row>
    <row r="143" spans="2:7" hidden="1" outlineLevel="1" x14ac:dyDescent="0.45">
      <c r="B143" s="80">
        <f>'Прогноз'!M7</f>
        <v>2034</v>
      </c>
      <c r="C143" s="77" cm="1">
        <f t="array" aca="1" ref="C143" ca="1">IF(ISNUMBER(_xll.VoseSimPercentile('Прогноз'!M24,0.1)),_xll.VoseSimPercentile('Прогноз'!M24,0.1),NA())</f>
        <v>82.814673961970342</v>
      </c>
      <c r="D143" s="77" cm="1">
        <f t="array" aca="1" ref="D143" ca="1">IF(ISNUMBER(_xll.VoseSimPercentile('Прогноз'!M24,0.5)),_xll.VoseSimPercentile('Прогноз'!M24,0.5),NA())</f>
        <v>107.42650938259747</v>
      </c>
      <c r="E143" s="77" cm="1">
        <f t="array" aca="1" ref="E143" ca="1">IF(ISNUMBER(_xll.VoseSimPercentile('Прогноз'!M24,0.9)),_xll.VoseSimPercentile('Прогноз'!M24,0.9),NA())</f>
        <v>134.52423180461534</v>
      </c>
      <c r="F143" s="77" cm="1">
        <f t="array" aca="1" ref="F143" ca="1">IF(ISNUMBER(_xll.VoseSimMean('Прогноз'!M24)),_xll.VoseSimMean('Прогноз'!M24),NA())</f>
        <v>108.05833262093029</v>
      </c>
      <c r="G143" s="77">
        <f>Plan_Y8</f>
        <v>111.20700854071296</v>
      </c>
    </row>
  </sheetData>
  <mergeCells count="4">
    <mergeCell ref="B42:G42"/>
    <mergeCell ref="B40:G40"/>
    <mergeCell ref="B39:G39"/>
    <mergeCell ref="B41:G41"/>
  </mergeCells>
  <conditionalFormatting sqref="B7">
    <cfRule type="expression" dxfId="4" priority="2">
      <formula>LEFT($B$7,1)="✗"</formula>
    </cfRule>
  </conditionalFormatting>
  <conditionalFormatting sqref="B6:G6">
    <cfRule type="expression" dxfId="3" priority="1">
      <formula>LEFT($B$6,1)&lt;&gt;"✔"</formula>
    </cfRule>
  </conditionalFormatting>
  <conditionalFormatting sqref="C136:F143">
    <cfRule type="expression" dxfId="2" priority="5">
      <formula>ISNA(C136)</formula>
    </cfRule>
  </conditionalFormatting>
  <conditionalFormatting sqref="D78:F127">
    <cfRule type="expression" dxfId="1" priority="3">
      <formula>ISNA(D78)</formula>
    </cfRule>
  </conditionalFormatting>
  <conditionalFormatting sqref="F131:G133">
    <cfRule type="expression" dxfId="0" priority="4">
      <formula>ISNA(F131)</formula>
    </cfRule>
  </conditionalFormatting>
  <hyperlinks>
    <hyperlink ref="B4" location="'Прогноз'!A1" display="◂  Прогноз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DADFA-69B6-4933-B17E-AD2BCD63BAA1}">
  <dimension ref="A1:B1"/>
  <sheetViews>
    <sheetView workbookViewId="0"/>
  </sheetViews>
  <sheetFormatPr defaultRowHeight="14.25" x14ac:dyDescent="0.45"/>
  <sheetData>
    <row r="1" spans="1:2" x14ac:dyDescent="0.45">
      <c r="A1" s="86" t="s">
        <v>251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E7C11-5CC0-4441-B2EF-621A076BEEBA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C55F2-57D6-4590-8CF4-F36ED7940C47}">
  <dimension ref="B3:B162"/>
  <sheetViews>
    <sheetView workbookViewId="0"/>
  </sheetViews>
  <sheetFormatPr defaultRowHeight="14.25" x14ac:dyDescent="0.45"/>
  <sheetData>
    <row r="3" spans="2:2" x14ac:dyDescent="0.45">
      <c r="B3">
        <v>23</v>
      </c>
    </row>
    <row r="4" spans="2:2" x14ac:dyDescent="0.45">
      <c r="B4">
        <v>114</v>
      </c>
    </row>
    <row r="5" spans="2:2" x14ac:dyDescent="0.45">
      <c r="B5">
        <v>269</v>
      </c>
    </row>
    <row r="6" spans="2:2" x14ac:dyDescent="0.45">
      <c r="B6">
        <v>479</v>
      </c>
    </row>
    <row r="7" spans="2:2" x14ac:dyDescent="0.45">
      <c r="B7">
        <v>477</v>
      </c>
    </row>
    <row r="8" spans="2:2" x14ac:dyDescent="0.45">
      <c r="B8">
        <v>388</v>
      </c>
    </row>
    <row r="9" spans="2:2" x14ac:dyDescent="0.45">
      <c r="B9">
        <v>181</v>
      </c>
    </row>
    <row r="10" spans="2:2" x14ac:dyDescent="0.45">
      <c r="B10">
        <v>55</v>
      </c>
    </row>
    <row r="11" spans="2:2" x14ac:dyDescent="0.45">
      <c r="B11">
        <v>11</v>
      </c>
    </row>
    <row r="12" spans="2:2" x14ac:dyDescent="0.45">
      <c r="B12">
        <v>3</v>
      </c>
    </row>
    <row r="13" spans="2:2" x14ac:dyDescent="0.45">
      <c r="B13">
        <v>17</v>
      </c>
    </row>
    <row r="14" spans="2:2" x14ac:dyDescent="0.45">
      <c r="B14">
        <v>61</v>
      </c>
    </row>
    <row r="15" spans="2:2" x14ac:dyDescent="0.45">
      <c r="B15">
        <v>187</v>
      </c>
    </row>
    <row r="16" spans="2:2" x14ac:dyDescent="0.45">
      <c r="B16">
        <v>343</v>
      </c>
    </row>
    <row r="17" spans="2:2" x14ac:dyDescent="0.45">
      <c r="B17">
        <v>416</v>
      </c>
    </row>
    <row r="18" spans="2:2" x14ac:dyDescent="0.45">
      <c r="B18">
        <v>434</v>
      </c>
    </row>
    <row r="19" spans="2:2" x14ac:dyDescent="0.45">
      <c r="B19">
        <v>327</v>
      </c>
    </row>
    <row r="20" spans="2:2" x14ac:dyDescent="0.45">
      <c r="B20">
        <v>157</v>
      </c>
    </row>
    <row r="21" spans="2:2" x14ac:dyDescent="0.45">
      <c r="B21">
        <v>51</v>
      </c>
    </row>
    <row r="22" spans="2:2" x14ac:dyDescent="0.45">
      <c r="B22">
        <v>7</v>
      </c>
    </row>
    <row r="23" spans="2:2" x14ac:dyDescent="0.45">
      <c r="B23">
        <v>11</v>
      </c>
    </row>
    <row r="24" spans="2:2" x14ac:dyDescent="0.45">
      <c r="B24">
        <v>47</v>
      </c>
    </row>
    <row r="25" spans="2:2" x14ac:dyDescent="0.45">
      <c r="B25">
        <v>136</v>
      </c>
    </row>
    <row r="26" spans="2:2" x14ac:dyDescent="0.45">
      <c r="B26">
        <v>281</v>
      </c>
    </row>
    <row r="27" spans="2:2" x14ac:dyDescent="0.45">
      <c r="B27">
        <v>389</v>
      </c>
    </row>
    <row r="28" spans="2:2" x14ac:dyDescent="0.45">
      <c r="B28">
        <v>446</v>
      </c>
    </row>
    <row r="29" spans="2:2" x14ac:dyDescent="0.45">
      <c r="B29">
        <v>376</v>
      </c>
    </row>
    <row r="30" spans="2:2" x14ac:dyDescent="0.45">
      <c r="B30">
        <v>212</v>
      </c>
    </row>
    <row r="31" spans="2:2" x14ac:dyDescent="0.45">
      <c r="B31">
        <v>81</v>
      </c>
    </row>
    <row r="32" spans="2:2" x14ac:dyDescent="0.45">
      <c r="B32">
        <v>21</v>
      </c>
    </row>
    <row r="33" spans="2:2" x14ac:dyDescent="0.45">
      <c r="B33">
        <v>30</v>
      </c>
    </row>
    <row r="34" spans="2:2" x14ac:dyDescent="0.45">
      <c r="B34">
        <v>82</v>
      </c>
    </row>
    <row r="35" spans="2:2" x14ac:dyDescent="0.45">
      <c r="B35">
        <v>198</v>
      </c>
    </row>
    <row r="36" spans="2:2" x14ac:dyDescent="0.45">
      <c r="B36">
        <v>353</v>
      </c>
    </row>
    <row r="37" spans="2:2" x14ac:dyDescent="0.45">
      <c r="B37">
        <v>480</v>
      </c>
    </row>
    <row r="38" spans="2:2" x14ac:dyDescent="0.45">
      <c r="B38">
        <v>406</v>
      </c>
    </row>
    <row r="39" spans="2:2" x14ac:dyDescent="0.45">
      <c r="B39">
        <v>271</v>
      </c>
    </row>
    <row r="40" spans="2:2" x14ac:dyDescent="0.45">
      <c r="B40">
        <v>139</v>
      </c>
    </row>
    <row r="41" spans="2:2" x14ac:dyDescent="0.45">
      <c r="B41">
        <v>37</v>
      </c>
    </row>
    <row r="42" spans="2:2" x14ac:dyDescent="0.45">
      <c r="B42">
        <v>4</v>
      </c>
    </row>
    <row r="43" spans="2:2" x14ac:dyDescent="0.45">
      <c r="B43">
        <v>24</v>
      </c>
    </row>
    <row r="44" spans="2:2" x14ac:dyDescent="0.45">
      <c r="B44">
        <v>66</v>
      </c>
    </row>
    <row r="45" spans="2:2" x14ac:dyDescent="0.45">
      <c r="B45">
        <v>178</v>
      </c>
    </row>
    <row r="46" spans="2:2" x14ac:dyDescent="0.45">
      <c r="B46">
        <v>370</v>
      </c>
    </row>
    <row r="47" spans="2:2" x14ac:dyDescent="0.45">
      <c r="B47">
        <v>488</v>
      </c>
    </row>
    <row r="48" spans="2:2" x14ac:dyDescent="0.45">
      <c r="B48">
        <v>410</v>
      </c>
    </row>
    <row r="49" spans="2:2" x14ac:dyDescent="0.45">
      <c r="B49">
        <v>273</v>
      </c>
    </row>
    <row r="50" spans="2:2" x14ac:dyDescent="0.45">
      <c r="B50">
        <v>139</v>
      </c>
    </row>
    <row r="51" spans="2:2" x14ac:dyDescent="0.45">
      <c r="B51">
        <v>41</v>
      </c>
    </row>
    <row r="52" spans="2:2" x14ac:dyDescent="0.45">
      <c r="B52">
        <v>11</v>
      </c>
    </row>
    <row r="53" spans="2:2" x14ac:dyDescent="0.45">
      <c r="B53">
        <v>16</v>
      </c>
    </row>
    <row r="54" spans="2:2" x14ac:dyDescent="0.45">
      <c r="B54">
        <v>57</v>
      </c>
    </row>
    <row r="55" spans="2:2" x14ac:dyDescent="0.45">
      <c r="B55">
        <v>192</v>
      </c>
    </row>
    <row r="56" spans="2:2" x14ac:dyDescent="0.45">
      <c r="B56">
        <v>368</v>
      </c>
    </row>
    <row r="57" spans="2:2" x14ac:dyDescent="0.45">
      <c r="B57">
        <v>473</v>
      </c>
    </row>
    <row r="58" spans="2:2" x14ac:dyDescent="0.45">
      <c r="B58">
        <v>429</v>
      </c>
    </row>
    <row r="59" spans="2:2" x14ac:dyDescent="0.45">
      <c r="B59">
        <v>292</v>
      </c>
    </row>
    <row r="60" spans="2:2" x14ac:dyDescent="0.45">
      <c r="B60">
        <v>129</v>
      </c>
    </row>
    <row r="61" spans="2:2" x14ac:dyDescent="0.45">
      <c r="B61">
        <v>35</v>
      </c>
    </row>
    <row r="62" spans="2:2" x14ac:dyDescent="0.45">
      <c r="B62">
        <v>9</v>
      </c>
    </row>
    <row r="63" spans="2:2" x14ac:dyDescent="0.45">
      <c r="B63">
        <v>20</v>
      </c>
    </row>
    <row r="64" spans="2:2" x14ac:dyDescent="0.45">
      <c r="B64">
        <v>65</v>
      </c>
    </row>
    <row r="65" spans="2:2" x14ac:dyDescent="0.45">
      <c r="B65">
        <v>183</v>
      </c>
    </row>
    <row r="66" spans="2:2" x14ac:dyDescent="0.45">
      <c r="B66">
        <v>382</v>
      </c>
    </row>
    <row r="67" spans="2:2" x14ac:dyDescent="0.45">
      <c r="B67">
        <v>467</v>
      </c>
    </row>
    <row r="68" spans="2:2" x14ac:dyDescent="0.45">
      <c r="B68">
        <v>411</v>
      </c>
    </row>
    <row r="69" spans="2:2" x14ac:dyDescent="0.45">
      <c r="B69">
        <v>270</v>
      </c>
    </row>
    <row r="70" spans="2:2" x14ac:dyDescent="0.45">
      <c r="B70">
        <v>142</v>
      </c>
    </row>
    <row r="71" spans="2:2" x14ac:dyDescent="0.45">
      <c r="B71">
        <v>46</v>
      </c>
    </row>
    <row r="72" spans="2:2" x14ac:dyDescent="0.45">
      <c r="B72">
        <v>14</v>
      </c>
    </row>
    <row r="73" spans="2:2" x14ac:dyDescent="0.45">
      <c r="B73">
        <v>16</v>
      </c>
    </row>
    <row r="74" spans="2:2" x14ac:dyDescent="0.45">
      <c r="B74">
        <v>62</v>
      </c>
    </row>
    <row r="75" spans="2:2" x14ac:dyDescent="0.45">
      <c r="B75">
        <v>196</v>
      </c>
    </row>
    <row r="76" spans="2:2" x14ac:dyDescent="0.45">
      <c r="B76">
        <v>381</v>
      </c>
    </row>
    <row r="77" spans="2:2" x14ac:dyDescent="0.45">
      <c r="B77">
        <v>449</v>
      </c>
    </row>
    <row r="78" spans="2:2" x14ac:dyDescent="0.45">
      <c r="B78">
        <v>416</v>
      </c>
    </row>
    <row r="79" spans="2:2" x14ac:dyDescent="0.45">
      <c r="B79">
        <v>281</v>
      </c>
    </row>
    <row r="80" spans="2:2" x14ac:dyDescent="0.45">
      <c r="B80">
        <v>134</v>
      </c>
    </row>
    <row r="81" spans="2:2" x14ac:dyDescent="0.45">
      <c r="B81">
        <v>55</v>
      </c>
    </row>
    <row r="82" spans="2:2" x14ac:dyDescent="0.45">
      <c r="B82">
        <v>10</v>
      </c>
    </row>
    <row r="83" spans="2:2" x14ac:dyDescent="0.45">
      <c r="B83">
        <v>21</v>
      </c>
    </row>
    <row r="84" spans="2:2" x14ac:dyDescent="0.45">
      <c r="B84">
        <v>54</v>
      </c>
    </row>
    <row r="85" spans="2:2" x14ac:dyDescent="0.45">
      <c r="B85">
        <v>165</v>
      </c>
    </row>
    <row r="86" spans="2:2" x14ac:dyDescent="0.45">
      <c r="B86">
        <v>338</v>
      </c>
    </row>
    <row r="87" spans="2:2" x14ac:dyDescent="0.45">
      <c r="B87">
        <v>444</v>
      </c>
    </row>
    <row r="88" spans="2:2" x14ac:dyDescent="0.45">
      <c r="B88">
        <v>430</v>
      </c>
    </row>
    <row r="89" spans="2:2" x14ac:dyDescent="0.45">
      <c r="B89">
        <v>317</v>
      </c>
    </row>
    <row r="90" spans="2:2" x14ac:dyDescent="0.45">
      <c r="B90">
        <v>164</v>
      </c>
    </row>
    <row r="91" spans="2:2" x14ac:dyDescent="0.45">
      <c r="B91">
        <v>59</v>
      </c>
    </row>
    <row r="92" spans="2:2" x14ac:dyDescent="0.45">
      <c r="B92">
        <v>8</v>
      </c>
    </row>
    <row r="93" spans="2:2" x14ac:dyDescent="0.45">
      <c r="B93">
        <v>1173</v>
      </c>
    </row>
    <row r="94" spans="2:2" x14ac:dyDescent="0.45">
      <c r="B94">
        <v>0</v>
      </c>
    </row>
    <row r="95" spans="2:2" x14ac:dyDescent="0.45">
      <c r="B95">
        <v>0</v>
      </c>
    </row>
    <row r="96" spans="2:2" x14ac:dyDescent="0.45">
      <c r="B96">
        <v>0</v>
      </c>
    </row>
    <row r="97" spans="2:2" x14ac:dyDescent="0.45">
      <c r="B97">
        <v>0</v>
      </c>
    </row>
    <row r="98" spans="2:2" x14ac:dyDescent="0.45">
      <c r="B98">
        <v>0</v>
      </c>
    </row>
    <row r="99" spans="2:2" x14ac:dyDescent="0.45">
      <c r="B99">
        <v>0</v>
      </c>
    </row>
    <row r="100" spans="2:2" x14ac:dyDescent="0.45">
      <c r="B100">
        <v>0</v>
      </c>
    </row>
    <row r="101" spans="2:2" x14ac:dyDescent="0.45">
      <c r="B101">
        <v>0</v>
      </c>
    </row>
    <row r="102" spans="2:2" x14ac:dyDescent="0.45">
      <c r="B102">
        <v>827</v>
      </c>
    </row>
    <row r="103" spans="2:2" x14ac:dyDescent="0.45">
      <c r="B103">
        <v>11</v>
      </c>
    </row>
    <row r="104" spans="2:2" x14ac:dyDescent="0.45">
      <c r="B104">
        <v>36</v>
      </c>
    </row>
    <row r="105" spans="2:2" x14ac:dyDescent="0.45">
      <c r="B105">
        <v>63</v>
      </c>
    </row>
    <row r="106" spans="2:2" x14ac:dyDescent="0.45">
      <c r="B106">
        <v>148</v>
      </c>
    </row>
    <row r="107" spans="2:2" x14ac:dyDescent="0.45">
      <c r="B107">
        <v>286</v>
      </c>
    </row>
    <row r="108" spans="2:2" x14ac:dyDescent="0.45">
      <c r="B108">
        <v>353</v>
      </c>
    </row>
    <row r="109" spans="2:2" x14ac:dyDescent="0.45">
      <c r="B109">
        <v>413</v>
      </c>
    </row>
    <row r="110" spans="2:2" x14ac:dyDescent="0.45">
      <c r="B110">
        <v>404</v>
      </c>
    </row>
    <row r="111" spans="2:2" x14ac:dyDescent="0.45">
      <c r="B111">
        <v>230</v>
      </c>
    </row>
    <row r="112" spans="2:2" x14ac:dyDescent="0.45">
      <c r="B112">
        <v>56</v>
      </c>
    </row>
    <row r="113" spans="2:2" x14ac:dyDescent="0.45">
      <c r="B113">
        <v>34</v>
      </c>
    </row>
    <row r="114" spans="2:2" x14ac:dyDescent="0.45">
      <c r="B114">
        <v>118</v>
      </c>
    </row>
    <row r="115" spans="2:2" x14ac:dyDescent="0.45">
      <c r="B115">
        <v>266</v>
      </c>
    </row>
    <row r="116" spans="2:2" x14ac:dyDescent="0.45">
      <c r="B116">
        <v>338</v>
      </c>
    </row>
    <row r="117" spans="2:2" x14ac:dyDescent="0.45">
      <c r="B117">
        <v>354</v>
      </c>
    </row>
    <row r="118" spans="2:2" x14ac:dyDescent="0.45">
      <c r="B118">
        <v>340</v>
      </c>
    </row>
    <row r="119" spans="2:2" x14ac:dyDescent="0.45">
      <c r="B119">
        <v>282</v>
      </c>
    </row>
    <row r="120" spans="2:2" x14ac:dyDescent="0.45">
      <c r="B120">
        <v>172</v>
      </c>
    </row>
    <row r="121" spans="2:2" x14ac:dyDescent="0.45">
      <c r="B121">
        <v>81</v>
      </c>
    </row>
    <row r="122" spans="2:2" x14ac:dyDescent="0.45">
      <c r="B122">
        <v>15</v>
      </c>
    </row>
    <row r="123" spans="2:2" x14ac:dyDescent="0.45">
      <c r="B123">
        <v>13</v>
      </c>
    </row>
    <row r="124" spans="2:2" x14ac:dyDescent="0.45">
      <c r="B124">
        <v>77</v>
      </c>
    </row>
    <row r="125" spans="2:2" x14ac:dyDescent="0.45">
      <c r="B125">
        <v>198</v>
      </c>
    </row>
    <row r="126" spans="2:2" x14ac:dyDescent="0.45">
      <c r="B126">
        <v>405</v>
      </c>
    </row>
    <row r="127" spans="2:2" x14ac:dyDescent="0.45">
      <c r="B127">
        <v>472</v>
      </c>
    </row>
    <row r="128" spans="2:2" x14ac:dyDescent="0.45">
      <c r="B128">
        <v>434</v>
      </c>
    </row>
    <row r="129" spans="2:2" x14ac:dyDescent="0.45">
      <c r="B129">
        <v>256</v>
      </c>
    </row>
    <row r="130" spans="2:2" x14ac:dyDescent="0.45">
      <c r="B130">
        <v>105</v>
      </c>
    </row>
    <row r="131" spans="2:2" x14ac:dyDescent="0.45">
      <c r="B131">
        <v>29</v>
      </c>
    </row>
    <row r="132" spans="2:2" x14ac:dyDescent="0.45">
      <c r="B132">
        <v>11</v>
      </c>
    </row>
    <row r="133" spans="2:2" x14ac:dyDescent="0.45">
      <c r="B133">
        <v>34</v>
      </c>
    </row>
    <row r="134" spans="2:2" x14ac:dyDescent="0.45">
      <c r="B134">
        <v>118</v>
      </c>
    </row>
    <row r="135" spans="2:2" x14ac:dyDescent="0.45">
      <c r="B135">
        <v>266</v>
      </c>
    </row>
    <row r="136" spans="2:2" x14ac:dyDescent="0.45">
      <c r="B136">
        <v>338</v>
      </c>
    </row>
    <row r="137" spans="2:2" x14ac:dyDescent="0.45">
      <c r="B137">
        <v>354</v>
      </c>
    </row>
    <row r="138" spans="2:2" x14ac:dyDescent="0.45">
      <c r="B138">
        <v>340</v>
      </c>
    </row>
    <row r="139" spans="2:2" x14ac:dyDescent="0.45">
      <c r="B139">
        <v>282</v>
      </c>
    </row>
    <row r="140" spans="2:2" x14ac:dyDescent="0.45">
      <c r="B140">
        <v>172</v>
      </c>
    </row>
    <row r="141" spans="2:2" x14ac:dyDescent="0.45">
      <c r="B141">
        <v>81</v>
      </c>
    </row>
    <row r="142" spans="2:2" x14ac:dyDescent="0.45">
      <c r="B142">
        <v>15</v>
      </c>
    </row>
    <row r="143" spans="2:2" x14ac:dyDescent="0.45">
      <c r="B143">
        <v>11</v>
      </c>
    </row>
    <row r="144" spans="2:2" x14ac:dyDescent="0.45">
      <c r="B144">
        <v>39</v>
      </c>
    </row>
    <row r="145" spans="2:2" x14ac:dyDescent="0.45">
      <c r="B145">
        <v>79</v>
      </c>
    </row>
    <row r="146" spans="2:2" x14ac:dyDescent="0.45">
      <c r="B146">
        <v>190</v>
      </c>
    </row>
    <row r="147" spans="2:2" x14ac:dyDescent="0.45">
      <c r="B147">
        <v>297</v>
      </c>
    </row>
    <row r="148" spans="2:2" x14ac:dyDescent="0.45">
      <c r="B148">
        <v>361</v>
      </c>
    </row>
    <row r="149" spans="2:2" x14ac:dyDescent="0.45">
      <c r="B149">
        <v>366</v>
      </c>
    </row>
    <row r="150" spans="2:2" x14ac:dyDescent="0.45">
      <c r="B150">
        <v>352</v>
      </c>
    </row>
    <row r="151" spans="2:2" x14ac:dyDescent="0.45">
      <c r="B151">
        <v>219</v>
      </c>
    </row>
    <row r="152" spans="2:2" x14ac:dyDescent="0.45">
      <c r="B152">
        <v>86</v>
      </c>
    </row>
    <row r="153" spans="2:2" x14ac:dyDescent="0.45">
      <c r="B153">
        <v>8</v>
      </c>
    </row>
    <row r="154" spans="2:2" x14ac:dyDescent="0.45">
      <c r="B154">
        <v>20</v>
      </c>
    </row>
    <row r="155" spans="2:2" x14ac:dyDescent="0.45">
      <c r="B155">
        <v>61</v>
      </c>
    </row>
    <row r="156" spans="2:2" x14ac:dyDescent="0.45">
      <c r="B156">
        <v>119</v>
      </c>
    </row>
    <row r="157" spans="2:2" x14ac:dyDescent="0.45">
      <c r="B157">
        <v>169</v>
      </c>
    </row>
    <row r="158" spans="2:2" x14ac:dyDescent="0.45">
      <c r="B158">
        <v>275</v>
      </c>
    </row>
    <row r="159" spans="2:2" x14ac:dyDescent="0.45">
      <c r="B159">
        <v>373</v>
      </c>
    </row>
    <row r="160" spans="2:2" x14ac:dyDescent="0.45">
      <c r="B160">
        <v>399</v>
      </c>
    </row>
    <row r="161" spans="2:2" x14ac:dyDescent="0.45">
      <c r="B161">
        <v>380</v>
      </c>
    </row>
    <row r="162" spans="2:2" x14ac:dyDescent="0.45">
      <c r="B162">
        <v>196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9DAD0E05-0840-4638-ACF5-57BD1A4903AB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48</vt:i4>
      </vt:variant>
    </vt:vector>
  </HeadingPairs>
  <TitlesOfParts>
    <vt:vector size="55" baseType="lpstr">
      <vt:lpstr>Описание</vt:lpstr>
      <vt:lpstr>Исходные данные</vt:lpstr>
      <vt:lpstr>Прогноз</vt:lpstr>
      <vt:lpstr>Результаты</vt:lpstr>
      <vt:lpstr>ModelRiskDSN</vt:lpstr>
      <vt:lpstr>ModelRiskSYS1</vt:lpstr>
      <vt:lpstr>ModelRiskCharts</vt:lpstr>
      <vt:lpstr>Acceptance</vt:lpstr>
      <vt:lpstr>Acceptance_Hi</vt:lpstr>
      <vt:lpstr>Acceptance_Lo</vt:lpstr>
      <vt:lpstr>Acceptance_Mean</vt:lpstr>
      <vt:lpstr>Acceptance_ML</vt:lpstr>
      <vt:lpstr>AdoptRate</vt:lpstr>
      <vt:lpstr>Checks</vt:lpstr>
      <vt:lpstr>Confidence</vt:lpstr>
      <vt:lpstr>ConsHi</vt:lpstr>
      <vt:lpstr>ConsLevel</vt:lpstr>
      <vt:lpstr>ConsLo</vt:lpstr>
      <vt:lpstr>ConsML</vt:lpstr>
      <vt:lpstr>CorrYears</vt:lpstr>
      <vt:lpstr>FirstYear</vt:lpstr>
      <vt:lpstr>FirstYearUse</vt:lpstr>
      <vt:lpstr>Hospitals</vt:lpstr>
      <vt:lpstr>InputMeans</vt:lpstr>
      <vt:lpstr>Installed8</vt:lpstr>
      <vt:lpstr>LifeCons</vt:lpstr>
      <vt:lpstr>LifeCons0</vt:lpstr>
      <vt:lpstr>MeetsPlan</vt:lpstr>
      <vt:lpstr>Plan_Total</vt:lpstr>
      <vt:lpstr>Plan_Y1</vt:lpstr>
      <vt:lpstr>Plan_Y2</vt:lpstr>
      <vt:lpstr>Plan_Y3</vt:lpstr>
      <vt:lpstr>Plan_Y4</vt:lpstr>
      <vt:lpstr>Plan_Y5</vt:lpstr>
      <vt:lpstr>Plan_Y6</vt:lpstr>
      <vt:lpstr>Plan_Y7</vt:lpstr>
      <vt:lpstr>Plan_Y8</vt:lpstr>
      <vt:lpstr>Price</vt:lpstr>
      <vt:lpstr>Price_Hi</vt:lpstr>
      <vt:lpstr>Price_Lo</vt:lpstr>
      <vt:lpstr>Price_Mean</vt:lpstr>
      <vt:lpstr>Price_ML</vt:lpstr>
      <vt:lpstr>Results!Print_Area</vt:lpstr>
      <vt:lpstr>Forecast!Print_Titles</vt:lpstr>
      <vt:lpstr>Inputs!Print_Titles</vt:lpstr>
      <vt:lpstr>Results!Print_Titles</vt:lpstr>
      <vt:lpstr>Rev_Total</vt:lpstr>
      <vt:lpstr>Rev_Y1</vt:lpstr>
      <vt:lpstr>Rev_Y2</vt:lpstr>
      <vt:lpstr>Rev_Y3</vt:lpstr>
      <vt:lpstr>Rev_Y4</vt:lpstr>
      <vt:lpstr>Rev_Y5</vt:lpstr>
      <vt:lpstr>Rev_Y6</vt:lpstr>
      <vt:lpstr>Rev_Y7</vt:lpstr>
      <vt:lpstr>Rev_Y8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CF-02 Прогноз продаж нового продукта</dc:title>
  <dc:subject>Отраслевые примеры моделей МоделРиск — Корпоративные финансы</dc:subject>
  <dc:creator>ООО «Стратегия Риска»</dc:creator>
  <cp:keywords>МоделРиск; Монте-Карло; корпоративные финансы</cp:keywords>
  <dc:description>Прогноз продаж нового медицинского прибора на восемь лет: внедрение на ограниченном рынке и годовые расходные материалы в сравнении с планом.</dc:description>
  <cp:lastModifiedBy>ООО «Стратегия Риска»</cp:lastModifiedBy>
  <cp:lastPrinted>2026-10-05T13:02:53Z</cp:lastPrinted>
  <dcterms:created xsi:type="dcterms:W3CDTF">2026-10-05T12:58:50Z</dcterms:created>
  <dcterms:modified xsi:type="dcterms:W3CDTF">2026-10-05T13:02:55Z</dcterms:modified>
</cp:coreProperties>
</file>