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B7A8FF09-3DB4-4A23-9765-D9540171001D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Денежный поток" sheetId="3" r:id="rId3"/>
    <sheet name="Результаты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Capex">'Исходные данные'!$D$11</definedName>
    <definedName name="Capex_Hi">'Исходные данные'!$H$11</definedName>
    <definedName name="Capex_Lo">'Исходные данные'!$F$11</definedName>
    <definedName name="Capex_Mean">'Исходные данные'!$I$11</definedName>
    <definedName name="Capex_ML">'Исходные данные'!$G$11</definedName>
    <definedName name="Checks">'Денежный поток'!$D$48:$D$51</definedName>
    <definedName name="DepLife">'Исходные данные'!$D$13</definedName>
    <definedName name="Depreciation">'Денежный поток'!$D$11</definedName>
    <definedName name="FixedCost">'Исходные данные'!$D$32</definedName>
    <definedName name="FixedCost_Hi">'Исходные данные'!$H$32</definedName>
    <definedName name="FixedCost_Lo">'Исходные данные'!$F$32</definedName>
    <definedName name="FixedCost_Mean">'Исходные данные'!$I$32</definedName>
    <definedName name="FixedCost_ML">'Исходные данные'!$G$32</definedName>
    <definedName name="InputMeans">'Исходные данные'!$I$11:$I$32</definedName>
    <definedName name="IRR">'Денежный поток'!$D$40</definedName>
    <definedName name="IRR_ML">'Денежный поток'!$D$43</definedName>
    <definedName name="NPV">'Денежный поток'!$D$39</definedName>
    <definedName name="NPV_ML">'Денежный поток'!$D$42</definedName>
    <definedName name="Payback">'Денежный поток'!$D$41</definedName>
    <definedName name="Payback_ML">'Денежный поток'!$D$44</definedName>
    <definedName name="Price">'Исходные данные'!$D$20</definedName>
    <definedName name="Price_Hi">'Исходные данные'!$H$20</definedName>
    <definedName name="Price_Lo">'Исходные данные'!$F$20</definedName>
    <definedName name="Price_Mean">'Исходные данные'!$I$20</definedName>
    <definedName name="Price_ML">'Исходные данные'!$G$20</definedName>
    <definedName name="_xlnm.Print_Area" localSheetId="3">'Результаты'!$A$1:$R$61</definedName>
    <definedName name="_xlnm.Print_Titles" localSheetId="2">'Денежный поток'!$6:$7,'Денежный поток'!$A:$D</definedName>
    <definedName name="_xlnm.Print_Titles" localSheetId="1">'Исходные данные'!$1:$4</definedName>
    <definedName name="_xlnm.Print_Titles" localSheetId="3">'Результаты'!$1:$4</definedName>
    <definedName name="Ramp_Share">'Исходные данные'!$F$26:$H$26</definedName>
    <definedName name="Ramp_Year">'Исходные данные'!$F$25:$H$25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TaxRate">'Исходные данные'!$D$12</definedName>
    <definedName name="VarCost">'Исходные данные'!$D$31</definedName>
    <definedName name="VarCost_Hi">'Исходные данные'!$H$31</definedName>
    <definedName name="VarCost_Lo">'Исходные данные'!$F$31</definedName>
    <definedName name="VarCost_Mean">'Исходные данные'!$I$31</definedName>
    <definedName name="VarCost_ML">'Исходные данные'!$G$31</definedName>
    <definedName name="Volume">'Исходные данные'!$D$19</definedName>
    <definedName name="Volume_Hi">'Исходные данные'!$H$19</definedName>
    <definedName name="Volume_Lo">'Исходные данные'!$F$19</definedName>
    <definedName name="Volume_Mean">'Исходные данные'!$I$19</definedName>
    <definedName name="Volume_ML">'Исходные данные'!$G$19</definedName>
    <definedName name="WACC">'Исходные данные'!$D$14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6" i="4" l="1"/>
  <c r="C115" i="4"/>
  <c r="C114" i="4"/>
  <c r="C113" i="4"/>
  <c r="C112" i="4"/>
  <c r="C111" i="4"/>
  <c r="C110" i="4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D51" i="3"/>
  <c r="G25" i="3"/>
  <c r="F25" i="3"/>
  <c r="F21" i="3"/>
  <c r="F19" i="3"/>
  <c r="F15" i="3"/>
  <c r="F31" i="3" s="1"/>
  <c r="G6" i="3"/>
  <c r="H6" i="3" s="1"/>
  <c r="G23" i="3"/>
  <c r="G15" i="3"/>
  <c r="G31" i="3"/>
  <c r="G32" i="3" s="1"/>
  <c r="D31" i="2" a="1"/>
  <c r="I19" i="2" a="1"/>
  <c r="I11" i="2" a="1"/>
  <c r="D20" i="2" a="1"/>
  <c r="I32" i="2" a="1"/>
  <c r="I31" i="2" a="1"/>
  <c r="D32" i="2" a="1"/>
  <c r="D11" i="2" a="1"/>
  <c r="I20" i="2" a="1"/>
  <c r="D19" i="2" a="1"/>
  <c r="H15" i="3" l="1"/>
  <c r="H31" i="3" s="1"/>
  <c r="I6" i="3"/>
  <c r="H25" i="3"/>
  <c r="H23" i="3"/>
  <c r="H32" i="3"/>
  <c r="H33" i="3"/>
  <c r="F32" i="3"/>
  <c r="J6" i="3"/>
  <c r="G33" i="3"/>
  <c r="D19" i="2"/>
  <c r="I20" i="2"/>
  <c r="D11" i="2"/>
  <c r="D32" i="2"/>
  <c r="I31" i="2"/>
  <c r="I32" i="2"/>
  <c r="D20" i="2"/>
  <c r="I11" i="2"/>
  <c r="D48" i="3" s="1"/>
  <c r="I19" i="2"/>
  <c r="D31" i="2"/>
  <c r="I15" i="3" l="1"/>
  <c r="I31" i="3" s="1"/>
  <c r="I32" i="3" s="1"/>
  <c r="I33" i="3" s="1"/>
  <c r="I25" i="3"/>
  <c r="I23" i="3"/>
  <c r="G19" i="3"/>
  <c r="H19" i="3"/>
  <c r="D11" i="3"/>
  <c r="J21" i="3" s="1"/>
  <c r="F23" i="3"/>
  <c r="F33" i="3"/>
  <c r="K6" i="3"/>
  <c r="J25" i="3"/>
  <c r="J23" i="3"/>
  <c r="J15" i="3"/>
  <c r="J31" i="3" s="1"/>
  <c r="J19" i="3"/>
  <c r="J16" i="3"/>
  <c r="F16" i="3"/>
  <c r="G16" i="3"/>
  <c r="I16" i="3"/>
  <c r="H16" i="3"/>
  <c r="I19" i="3"/>
  <c r="J18" i="3" l="1"/>
  <c r="J17" i="3"/>
  <c r="F34" i="3"/>
  <c r="I21" i="3"/>
  <c r="H21" i="3"/>
  <c r="G21" i="3"/>
  <c r="J32" i="3"/>
  <c r="G18" i="3"/>
  <c r="G17" i="3"/>
  <c r="H17" i="3"/>
  <c r="H18" i="3"/>
  <c r="I17" i="3"/>
  <c r="I18" i="3"/>
  <c r="K23" i="3"/>
  <c r="K25" i="3"/>
  <c r="L6" i="3"/>
  <c r="K19" i="3"/>
  <c r="K21" i="3"/>
  <c r="K15" i="3"/>
  <c r="F18" i="3"/>
  <c r="F17" i="3"/>
  <c r="J20" i="3" l="1"/>
  <c r="G20" i="3"/>
  <c r="I20" i="3"/>
  <c r="L21" i="3"/>
  <c r="L23" i="3"/>
  <c r="M6" i="3"/>
  <c r="L15" i="3"/>
  <c r="L25" i="3"/>
  <c r="L19" i="3"/>
  <c r="G22" i="3"/>
  <c r="G24" i="3" s="1"/>
  <c r="F20" i="3"/>
  <c r="G34" i="3"/>
  <c r="H34" i="3" s="1"/>
  <c r="I34" i="3" s="1"/>
  <c r="J33" i="3"/>
  <c r="K31" i="3"/>
  <c r="K16" i="3"/>
  <c r="J22" i="3"/>
  <c r="J24" i="3" s="1"/>
  <c r="J26" i="3" s="1"/>
  <c r="H20" i="3"/>
  <c r="J34" i="3" l="1"/>
  <c r="L31" i="3"/>
  <c r="L16" i="3"/>
  <c r="H22" i="3"/>
  <c r="H24" i="3" s="1"/>
  <c r="H26" i="3" s="1"/>
  <c r="M21" i="3"/>
  <c r="M19" i="3"/>
  <c r="M23" i="3"/>
  <c r="M15" i="3"/>
  <c r="M25" i="3"/>
  <c r="N6" i="3"/>
  <c r="F22" i="3"/>
  <c r="F24" i="3" s="1"/>
  <c r="K18" i="3"/>
  <c r="K17" i="3"/>
  <c r="G26" i="3"/>
  <c r="K32" i="3"/>
  <c r="K33" i="3"/>
  <c r="K34" i="3" s="1"/>
  <c r="I22" i="3"/>
  <c r="I24" i="3" s="1"/>
  <c r="I26" i="3" s="1"/>
  <c r="F26" i="3" l="1"/>
  <c r="F27" i="3"/>
  <c r="L17" i="3"/>
  <c r="L18" i="3"/>
  <c r="K20" i="3"/>
  <c r="L32" i="3"/>
  <c r="L33" i="3" s="1"/>
  <c r="N15" i="3"/>
  <c r="N21" i="3"/>
  <c r="O6" i="3"/>
  <c r="N19" i="3"/>
  <c r="N25" i="3"/>
  <c r="N23" i="3"/>
  <c r="M31" i="3"/>
  <c r="M16" i="3"/>
  <c r="L34" i="3" l="1"/>
  <c r="K22" i="3"/>
  <c r="K24" i="3" s="1"/>
  <c r="N31" i="3"/>
  <c r="N16" i="3"/>
  <c r="G27" i="3"/>
  <c r="H27" i="3" s="1"/>
  <c r="I27" i="3" s="1"/>
  <c r="J27" i="3" s="1"/>
  <c r="M32" i="3"/>
  <c r="M33" i="3" s="1"/>
  <c r="O23" i="3"/>
  <c r="O21" i="3"/>
  <c r="P6" i="3"/>
  <c r="O19" i="3"/>
  <c r="O25" i="3"/>
  <c r="O15" i="3"/>
  <c r="M18" i="3"/>
  <c r="M17" i="3"/>
  <c r="L20" i="3"/>
  <c r="M20" i="3" l="1"/>
  <c r="N32" i="3"/>
  <c r="N33" i="3" s="1"/>
  <c r="K26" i="3"/>
  <c r="K27" i="3"/>
  <c r="O31" i="3"/>
  <c r="O16" i="3"/>
  <c r="L22" i="3"/>
  <c r="L24" i="3" s="1"/>
  <c r="L26" i="3" s="1"/>
  <c r="P19" i="3"/>
  <c r="D19" i="3" s="1"/>
  <c r="P21" i="3"/>
  <c r="D21" i="3" s="1"/>
  <c r="P25" i="3"/>
  <c r="P15" i="3"/>
  <c r="P23" i="3"/>
  <c r="D23" i="3" s="1"/>
  <c r="D50" i="3"/>
  <c r="N18" i="3"/>
  <c r="N17" i="3"/>
  <c r="M34" i="3"/>
  <c r="N20" i="3" l="1"/>
  <c r="O17" i="3"/>
  <c r="O18" i="3"/>
  <c r="O32" i="3"/>
  <c r="O33" i="3" s="1"/>
  <c r="L27" i="3"/>
  <c r="M22" i="3"/>
  <c r="M24" i="3" s="1"/>
  <c r="N34" i="3"/>
  <c r="P31" i="3"/>
  <c r="P16" i="3"/>
  <c r="D16" i="3" s="1"/>
  <c r="N22" i="3"/>
  <c r="N24" i="3" s="1"/>
  <c r="N26" i="3" s="1"/>
  <c r="M27" i="3" l="1"/>
  <c r="N27" i="3" s="1"/>
  <c r="P17" i="3"/>
  <c r="P18" i="3"/>
  <c r="D18" i="3" s="1"/>
  <c r="O34" i="3"/>
  <c r="P32" i="3"/>
  <c r="D32" i="3" s="1"/>
  <c r="D31" i="3"/>
  <c r="M26" i="3"/>
  <c r="O20" i="3"/>
  <c r="P20" i="3" l="1"/>
  <c r="D20" i="3" s="1"/>
  <c r="P33" i="3"/>
  <c r="P34" i="3" s="1"/>
  <c r="D44" i="3" s="1"/>
  <c r="D17" i="3"/>
  <c r="O22" i="3"/>
  <c r="O24" i="3" s="1"/>
  <c r="P22" i="3"/>
  <c r="D22" i="3" s="1"/>
  <c r="O26" i="3" l="1"/>
  <c r="O27" i="3"/>
  <c r="D40" i="3" a="1"/>
  <c r="D40" i="3" s="1"/>
  <c r="P24" i="3"/>
  <c r="P26" i="3" s="1"/>
  <c r="D42" i="3"/>
  <c r="D12" i="4" s="1"/>
  <c r="D43" i="3"/>
  <c r="D16" i="4" s="1"/>
  <c r="D33" i="3"/>
  <c r="E24" i="4" a="1"/>
  <c r="D24" i="4" a="1"/>
  <c r="G24" i="4" a="1"/>
  <c r="D17" i="4" a="1"/>
  <c r="F24" i="4" a="1"/>
  <c r="F24" i="4" l="1"/>
  <c r="D17" i="4"/>
  <c r="G24" i="4"/>
  <c r="D24" i="4"/>
  <c r="E24" i="4"/>
  <c r="D49" i="3"/>
  <c r="B7" i="4" s="1"/>
  <c r="D26" i="3"/>
  <c r="D39" i="3" s="1" a="1"/>
  <c r="D39" i="3" s="1"/>
  <c r="P27" i="3"/>
  <c r="D41" i="3" s="1" a="1"/>
  <c r="D41" i="3" s="1"/>
  <c r="D24" i="3"/>
  <c r="F25" i="4" a="1"/>
  <c r="E25" i="4" a="1"/>
  <c r="D25" i="4" a="1"/>
  <c r="G25" i="4" a="1"/>
  <c r="C168" i="4" a="1"/>
  <c r="D72" i="4" a="1"/>
  <c r="C150" i="4" a="1"/>
  <c r="C128" i="4" a="1"/>
  <c r="C189" i="4" a="1"/>
  <c r="D115" i="4" a="1"/>
  <c r="C157" i="4" a="1"/>
  <c r="D79" i="4" a="1"/>
  <c r="D82" i="4" a="1"/>
  <c r="D75" i="4" a="1"/>
  <c r="D74" i="4" a="1"/>
  <c r="D92" i="4" a="1"/>
  <c r="C199" i="4" a="1"/>
  <c r="C164" i="4" a="1"/>
  <c r="C205" i="4" a="1"/>
  <c r="C155" i="4" a="1"/>
  <c r="D93" i="4" a="1"/>
  <c r="C133" i="4" a="1"/>
  <c r="C216" i="4" a="1"/>
  <c r="D70" i="4" a="1"/>
  <c r="C194" i="4" a="1"/>
  <c r="D108" i="4" a="1"/>
  <c r="C154" i="4" a="1"/>
  <c r="C195" i="4" a="1"/>
  <c r="D97" i="4" a="1"/>
  <c r="C151" i="4" a="1"/>
  <c r="C212" i="4" a="1"/>
  <c r="G23" i="4" a="1"/>
  <c r="C190" i="4" a="1"/>
  <c r="E23" i="4" a="1"/>
  <c r="D23" i="4" a="1"/>
  <c r="C138" i="4" a="1"/>
  <c r="C137" i="4" a="1"/>
  <c r="C156" i="4" a="1"/>
  <c r="C227" i="4" a="1"/>
  <c r="C222" i="4" a="1"/>
  <c r="D85" i="4" a="1"/>
  <c r="C141" i="4" a="1"/>
  <c r="C192" i="4" a="1"/>
  <c r="C152" i="4" a="1"/>
  <c r="D95" i="4" a="1"/>
  <c r="C163" i="4" a="1"/>
  <c r="C223" i="4" a="1"/>
  <c r="C175" i="4" a="1"/>
  <c r="C127" i="4" a="1"/>
  <c r="C218" i="4" a="1"/>
  <c r="C170" i="4" a="1"/>
  <c r="C130" i="4" a="1"/>
  <c r="D81" i="4" a="1"/>
  <c r="D112" i="4" a="1"/>
  <c r="D116" i="4" a="1"/>
  <c r="D100" i="4" a="1"/>
  <c r="C129" i="4" a="1"/>
  <c r="B6" i="4" a="1"/>
  <c r="C186" i="4" a="1"/>
  <c r="D13" i="4" a="1"/>
  <c r="C135" i="4" a="1"/>
  <c r="C134" i="4" a="1"/>
  <c r="C225" i="4" a="1"/>
  <c r="D91" i="4" a="1"/>
  <c r="C166" i="4" a="1"/>
  <c r="D68" i="4" a="1"/>
  <c r="D88" i="4" a="1"/>
  <c r="B46" i="4" a="1"/>
  <c r="C160" i="4" a="1"/>
  <c r="C139" i="4" a="1"/>
  <c r="D14" i="4" a="1"/>
  <c r="C173" i="4" a="1"/>
  <c r="D107" i="4" a="1"/>
  <c r="C187" i="4" a="1"/>
  <c r="C182" i="4" a="1"/>
  <c r="C217" i="4" a="1"/>
  <c r="C148" i="4" a="1"/>
  <c r="C219" i="4" a="1"/>
  <c r="D114" i="4" a="1"/>
  <c r="C214" i="4" a="1"/>
  <c r="D118" i="4" a="1"/>
  <c r="D77" i="4" a="1"/>
  <c r="D15" i="4" a="1"/>
  <c r="C224" i="4" a="1"/>
  <c r="C184" i="4" a="1"/>
  <c r="C136" i="4" a="1"/>
  <c r="D87" i="4" a="1"/>
  <c r="D106" i="4" a="1"/>
  <c r="C207" i="4" a="1"/>
  <c r="C167" i="4" a="1"/>
  <c r="D110" i="4" a="1"/>
  <c r="C202" i="4" a="1"/>
  <c r="C162" i="4" a="1"/>
  <c r="D113" i="4" a="1"/>
  <c r="C197" i="4" a="1"/>
  <c r="C213" i="4" a="1"/>
  <c r="C209" i="4" a="1"/>
  <c r="D76" i="4" a="1"/>
  <c r="C200" i="4" a="1"/>
  <c r="D111" i="4" a="1"/>
  <c r="C191" i="4" a="1"/>
  <c r="C226" i="4" a="1"/>
  <c r="D89" i="4" a="1"/>
  <c r="D84" i="4" a="1"/>
  <c r="C196" i="4" a="1"/>
  <c r="D96" i="4" a="1"/>
  <c r="C188" i="4" a="1"/>
  <c r="C131" i="4" a="1"/>
  <c r="C171" i="4" a="1"/>
  <c r="D80" i="4" a="1"/>
  <c r="C220" i="4" a="1"/>
  <c r="C180" i="4" a="1"/>
  <c r="C132" i="4" a="1"/>
  <c r="D83" i="4" a="1"/>
  <c r="D94" i="4" a="1"/>
  <c r="C203" i="4" a="1"/>
  <c r="C159" i="4" a="1"/>
  <c r="D102" i="4" a="1"/>
  <c r="C198" i="4" a="1"/>
  <c r="C158" i="4" a="1"/>
  <c r="D109" i="4" a="1"/>
  <c r="C165" i="4" a="1"/>
  <c r="C181" i="4" a="1"/>
  <c r="C177" i="4" a="1"/>
  <c r="C221" i="4" a="1"/>
  <c r="C208" i="4" a="1"/>
  <c r="C144" i="4" a="1"/>
  <c r="D71" i="4" a="1"/>
  <c r="C183" i="4" a="1"/>
  <c r="D98" i="4" a="1"/>
  <c r="C178" i="4" a="1"/>
  <c r="D105" i="4" a="1"/>
  <c r="C185" i="4" a="1"/>
  <c r="C201" i="4" a="1"/>
  <c r="C145" i="4" a="1"/>
  <c r="C193" i="4" a="1"/>
  <c r="C176" i="4" a="1"/>
  <c r="D103" i="4" a="1"/>
  <c r="D86" i="4" a="1"/>
  <c r="C215" i="4" a="1"/>
  <c r="C147" i="4" a="1"/>
  <c r="C210" i="4" a="1"/>
  <c r="C146" i="4" a="1"/>
  <c r="D73" i="4" a="1"/>
  <c r="F23" i="4" a="1"/>
  <c r="C204" i="4" a="1"/>
  <c r="C172" i="4" a="1"/>
  <c r="C140" i="4" a="1"/>
  <c r="D99" i="4" a="1"/>
  <c r="D67" i="4" a="1"/>
  <c r="D78" i="4" a="1"/>
  <c r="C211" i="4" a="1"/>
  <c r="C179" i="4" a="1"/>
  <c r="C143" i="4" a="1"/>
  <c r="D90" i="4" a="1"/>
  <c r="C206" i="4" a="1"/>
  <c r="C174" i="4" a="1"/>
  <c r="C142" i="4" a="1"/>
  <c r="D101" i="4" a="1"/>
  <c r="D69" i="4" a="1"/>
  <c r="C153" i="4" a="1"/>
  <c r="C169" i="4" a="1"/>
  <c r="D104" i="4" a="1"/>
  <c r="C149" i="4" a="1"/>
  <c r="C161" i="4" a="1"/>
  <c r="C161" i="4" l="1"/>
  <c r="C149" i="4"/>
  <c r="D104" i="4"/>
  <c r="C169" i="4"/>
  <c r="C153" i="4"/>
  <c r="D69" i="4"/>
  <c r="D101" i="4"/>
  <c r="C142" i="4"/>
  <c r="C174" i="4"/>
  <c r="C206" i="4"/>
  <c r="D90" i="4"/>
  <c r="C143" i="4"/>
  <c r="C179" i="4"/>
  <c r="C211" i="4"/>
  <c r="D78" i="4"/>
  <c r="D67" i="4"/>
  <c r="D99" i="4"/>
  <c r="C140" i="4"/>
  <c r="C172" i="4"/>
  <c r="C204" i="4"/>
  <c r="F23" i="4"/>
  <c r="D73" i="4"/>
  <c r="C146" i="4"/>
  <c r="C210" i="4"/>
  <c r="C147" i="4"/>
  <c r="C215" i="4"/>
  <c r="D86" i="4"/>
  <c r="D103" i="4"/>
  <c r="C176" i="4"/>
  <c r="C193" i="4"/>
  <c r="C145" i="4"/>
  <c r="C201" i="4"/>
  <c r="C185" i="4"/>
  <c r="D105" i="4"/>
  <c r="C178" i="4"/>
  <c r="D98" i="4"/>
  <c r="C183" i="4"/>
  <c r="D71" i="4"/>
  <c r="C144" i="4"/>
  <c r="C208" i="4"/>
  <c r="C221" i="4"/>
  <c r="C177" i="4"/>
  <c r="C181" i="4"/>
  <c r="C165" i="4"/>
  <c r="D109" i="4"/>
  <c r="C158" i="4"/>
  <c r="C198" i="4"/>
  <c r="D102" i="4"/>
  <c r="C159" i="4"/>
  <c r="C203" i="4"/>
  <c r="D94" i="4"/>
  <c r="D83" i="4"/>
  <c r="C132" i="4"/>
  <c r="C180" i="4"/>
  <c r="C220" i="4"/>
  <c r="D80" i="4"/>
  <c r="C171" i="4"/>
  <c r="C131" i="4"/>
  <c r="C188" i="4"/>
  <c r="D96" i="4"/>
  <c r="C196" i="4"/>
  <c r="D84" i="4"/>
  <c r="D89" i="4"/>
  <c r="C226" i="4"/>
  <c r="C191" i="4"/>
  <c r="D111" i="4"/>
  <c r="C200" i="4"/>
  <c r="D76" i="4"/>
  <c r="C209" i="4"/>
  <c r="C213" i="4"/>
  <c r="C197" i="4"/>
  <c r="D113" i="4"/>
  <c r="C162" i="4"/>
  <c r="C202" i="4"/>
  <c r="D110" i="4"/>
  <c r="C167" i="4"/>
  <c r="C207" i="4"/>
  <c r="D106" i="4"/>
  <c r="D87" i="4"/>
  <c r="C136" i="4"/>
  <c r="C184" i="4"/>
  <c r="C224" i="4"/>
  <c r="D15" i="4"/>
  <c r="D77" i="4"/>
  <c r="D118" i="4"/>
  <c r="C214" i="4"/>
  <c r="D114" i="4"/>
  <c r="C219" i="4"/>
  <c r="C148" i="4"/>
  <c r="C217" i="4"/>
  <c r="C182" i="4"/>
  <c r="C187" i="4"/>
  <c r="D107" i="4"/>
  <c r="C173" i="4"/>
  <c r="D14" i="4"/>
  <c r="C139" i="4"/>
  <c r="C160" i="4"/>
  <c r="D49" i="4"/>
  <c r="E50" i="4"/>
  <c r="C46" i="4"/>
  <c r="D47" i="4"/>
  <c r="F121" i="4" s="1"/>
  <c r="E48" i="4"/>
  <c r="B50" i="4"/>
  <c r="B124" i="4" s="1"/>
  <c r="C47" i="4"/>
  <c r="D50" i="4"/>
  <c r="C49" i="4"/>
  <c r="C50" i="4"/>
  <c r="B49" i="4"/>
  <c r="B123" i="4" s="1"/>
  <c r="C48" i="4"/>
  <c r="G122" i="4" s="1"/>
  <c r="E47" i="4"/>
  <c r="E46" i="4"/>
  <c r="E49" i="4"/>
  <c r="B47" i="4"/>
  <c r="B121" i="4" s="1"/>
  <c r="B48" i="4"/>
  <c r="B122" i="4" s="1"/>
  <c r="B46" i="4"/>
  <c r="B120" i="4" s="1"/>
  <c r="D48" i="4"/>
  <c r="D46" i="4"/>
  <c r="F120" i="4" s="1"/>
  <c r="D88" i="4"/>
  <c r="D68" i="4"/>
  <c r="C166" i="4"/>
  <c r="D91" i="4"/>
  <c r="C225" i="4"/>
  <c r="C134" i="4"/>
  <c r="C135" i="4"/>
  <c r="D13" i="4"/>
  <c r="C186" i="4"/>
  <c r="B6" i="4"/>
  <c r="C129" i="4"/>
  <c r="D100" i="4"/>
  <c r="D116" i="4"/>
  <c r="D112" i="4"/>
  <c r="D81" i="4"/>
  <c r="C130" i="4"/>
  <c r="C170" i="4"/>
  <c r="C218" i="4"/>
  <c r="C127" i="4"/>
  <c r="C175" i="4"/>
  <c r="C223" i="4"/>
  <c r="C163" i="4"/>
  <c r="D95" i="4"/>
  <c r="C152" i="4"/>
  <c r="C192" i="4"/>
  <c r="C141" i="4"/>
  <c r="D85" i="4"/>
  <c r="C222" i="4"/>
  <c r="C227" i="4"/>
  <c r="C156" i="4"/>
  <c r="C137" i="4"/>
  <c r="C138" i="4"/>
  <c r="D23" i="4"/>
  <c r="E23" i="4"/>
  <c r="C190" i="4"/>
  <c r="G23" i="4"/>
  <c r="C212" i="4"/>
  <c r="C151" i="4"/>
  <c r="D97" i="4"/>
  <c r="C195" i="4"/>
  <c r="C154" i="4"/>
  <c r="D108" i="4"/>
  <c r="C194" i="4"/>
  <c r="D70" i="4"/>
  <c r="C216" i="4"/>
  <c r="C133" i="4"/>
  <c r="D93" i="4"/>
  <c r="C155" i="4"/>
  <c r="C205" i="4"/>
  <c r="C164" i="4"/>
  <c r="C199" i="4"/>
  <c r="D92" i="4"/>
  <c r="D74" i="4"/>
  <c r="D75" i="4"/>
  <c r="D82" i="4"/>
  <c r="D79" i="4"/>
  <c r="C157" i="4"/>
  <c r="D115" i="4"/>
  <c r="C189" i="4"/>
  <c r="C128" i="4"/>
  <c r="C150" i="4"/>
  <c r="D72" i="4"/>
  <c r="C168" i="4"/>
  <c r="G25" i="4"/>
  <c r="D25" i="4"/>
  <c r="E25" i="4"/>
  <c r="F25" i="4"/>
  <c r="G121" i="4" l="1"/>
  <c r="C254" i="4"/>
  <c r="D254" i="4" s="1"/>
  <c r="G254" i="4" s="1" a="1"/>
  <c r="G254" i="4" s="1"/>
  <c r="C233" i="4"/>
  <c r="C234" i="4"/>
  <c r="C241" i="4"/>
  <c r="C230" i="4"/>
  <c r="C242" i="4"/>
  <c r="C245" i="4"/>
  <c r="C236" i="4"/>
  <c r="C249" i="4"/>
  <c r="C253" i="4"/>
  <c r="C232" i="4"/>
  <c r="C235" i="4"/>
  <c r="C243" i="4"/>
  <c r="C252" i="4"/>
  <c r="C248" i="4"/>
  <c r="C247" i="4"/>
  <c r="C244" i="4"/>
  <c r="C237" i="4"/>
  <c r="C240" i="4"/>
  <c r="C251" i="4"/>
  <c r="C238" i="4"/>
  <c r="C239" i="4"/>
  <c r="C231" i="4"/>
  <c r="C246" i="4"/>
  <c r="C250" i="4"/>
  <c r="D18" i="4"/>
  <c r="F122" i="4"/>
  <c r="G120" i="4"/>
  <c r="G124" i="4"/>
  <c r="G123" i="4"/>
  <c r="F123" i="4"/>
  <c r="F124" i="4"/>
  <c r="E250" i="4" l="1"/>
  <c r="D250" i="4"/>
  <c r="G250" i="4" s="1" a="1"/>
  <c r="G250" i="4" s="1"/>
  <c r="D247" i="4"/>
  <c r="G247" i="4" s="1" a="1"/>
  <c r="G247" i="4" s="1"/>
  <c r="E247" i="4"/>
  <c r="E248" i="4"/>
  <c r="D248" i="4"/>
  <c r="G248" i="4" s="1" a="1"/>
  <c r="G248" i="4" s="1"/>
  <c r="E252" i="4"/>
  <c r="D252" i="4"/>
  <c r="G252" i="4" s="1" a="1"/>
  <c r="G252" i="4" s="1"/>
  <c r="D243" i="4"/>
  <c r="G243" i="4" s="1" a="1"/>
  <c r="G243" i="4" s="1"/>
  <c r="E243" i="4"/>
  <c r="E241" i="4"/>
  <c r="D241" i="4"/>
  <c r="G241" i="4" s="1" a="1"/>
  <c r="G241" i="4" s="1"/>
  <c r="E246" i="4"/>
  <c r="D246" i="4"/>
  <c r="G246" i="4" s="1" a="1"/>
  <c r="G246" i="4" s="1"/>
  <c r="E236" i="4"/>
  <c r="D236" i="4"/>
  <c r="G236" i="4" s="1" a="1"/>
  <c r="G236" i="4" s="1"/>
  <c r="D231" i="4"/>
  <c r="G231" i="4" s="1" a="1"/>
  <c r="G231" i="4" s="1"/>
  <c r="E231" i="4"/>
  <c r="E245" i="4"/>
  <c r="D245" i="4"/>
  <c r="G245" i="4" s="1" a="1"/>
  <c r="G245" i="4" s="1"/>
  <c r="E239" i="4"/>
  <c r="D239" i="4"/>
  <c r="G239" i="4" s="1" a="1"/>
  <c r="G239" i="4" s="1"/>
  <c r="F238" i="4" s="1"/>
  <c r="D242" i="4"/>
  <c r="G242" i="4" s="1" a="1"/>
  <c r="G242" i="4" s="1"/>
  <c r="E242" i="4"/>
  <c r="E238" i="4"/>
  <c r="D238" i="4"/>
  <c r="G238" i="4" s="1" a="1"/>
  <c r="G238" i="4" s="1"/>
  <c r="D230" i="4"/>
  <c r="G230" i="4" s="1" a="1"/>
  <c r="G230" i="4" s="1"/>
  <c r="E230" i="4"/>
  <c r="E251" i="4"/>
  <c r="D251" i="4"/>
  <c r="G251" i="4" s="1" a="1"/>
  <c r="G251" i="4" s="1"/>
  <c r="F250" i="4" s="1"/>
  <c r="E235" i="4"/>
  <c r="D235" i="4"/>
  <c r="G235" i="4" s="1" a="1"/>
  <c r="G235" i="4" s="1"/>
  <c r="F234" i="4" s="1"/>
  <c r="E240" i="4"/>
  <c r="D240" i="4"/>
  <c r="G240" i="4" s="1" a="1"/>
  <c r="G240" i="4" s="1"/>
  <c r="D232" i="4"/>
  <c r="G232" i="4" s="1" a="1"/>
  <c r="G232" i="4" s="1"/>
  <c r="F231" i="4" s="1"/>
  <c r="E232" i="4"/>
  <c r="D234" i="4"/>
  <c r="G234" i="4" s="1" a="1"/>
  <c r="G234" i="4" s="1"/>
  <c r="F233" i="4" s="1"/>
  <c r="E234" i="4"/>
  <c r="E237" i="4"/>
  <c r="D237" i="4"/>
  <c r="G237" i="4" s="1" a="1"/>
  <c r="G237" i="4" s="1"/>
  <c r="F236" i="4" s="1"/>
  <c r="E253" i="4"/>
  <c r="D253" i="4"/>
  <c r="G253" i="4" s="1" a="1"/>
  <c r="G253" i="4" s="1"/>
  <c r="E233" i="4"/>
  <c r="D233" i="4"/>
  <c r="G233" i="4" s="1" a="1"/>
  <c r="G233" i="4" s="1"/>
  <c r="E244" i="4"/>
  <c r="D244" i="4"/>
  <c r="G244" i="4" s="1" a="1"/>
  <c r="G244" i="4" s="1"/>
  <c r="F243" i="4" s="1"/>
  <c r="E249" i="4"/>
  <c r="D249" i="4"/>
  <c r="G249" i="4" s="1" a="1"/>
  <c r="G249" i="4" s="1"/>
  <c r="F241" i="4" l="1"/>
  <c r="F248" i="4"/>
  <c r="F251" i="4"/>
  <c r="F245" i="4"/>
  <c r="F247" i="4"/>
  <c r="F240" i="4"/>
  <c r="F232" i="4"/>
  <c r="F235" i="4"/>
  <c r="F244" i="4"/>
  <c r="F246" i="4"/>
  <c r="F239" i="4"/>
  <c r="F237" i="4"/>
  <c r="F249" i="4"/>
  <c r="F252" i="4"/>
  <c r="F253" i="4"/>
  <c r="F230" i="4"/>
  <c r="F242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<sst xmlns="http://schemas.openxmlformats.org/spreadsheetml/2006/main" count="322" uniqueCount="240">
  <si>
    <t xml:space="preserve">Оценка инвестиций в новую производственную линию</t>
  </si>
  <si>
    <t xml:space="preserve">Пример МоделРиск  ·  Корпоративные финансы  ·  CF-01</t>
  </si>
  <si>
    <t xml:space="preserve">Бизнес-план говорит: инвестировать. А что говорят риски?  NPV, IRR и срок окупаемости новой производственной линии.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</si>
  <si>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</si>
  <si>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</si>
  <si>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</si>
  <si>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Корпоративные финансы</t>
  </si>
  <si>
    <t xml:space="preserve">Сложность</t>
  </si>
  <si>
    <t xml:space="preserve">★☆☆☆☆   Десять лет денежного потока по пяти трехточечным оценкам; NPV, IRR и срок окупаемости.</t>
  </si>
  <si>
    <t xml:space="preserve">Вопрос бизнеса</t>
  </si>
  <si>
    <t xml:space="preserve">Производитель решает, тратить ли около 40 млн долл. на новую производственную линию. При наиболее вероятных значениях проект зарабатывает больше стоимости капитала 9%. Насколько вероятно, что он, наоборот, уничтожит стоимость, и какие оценки важнее всего?</t>
  </si>
  <si>
    <t xml:space="preserve">Для кого</t>
  </si>
  <si>
    <t xml:space="preserve">Финансовым и стратегическим службам, инициаторам проектов и инвестиционным комитетам; подходит как первая модель в МоделРиск.</t>
  </si>
  <si>
    <t xml:space="preserve">Основные результаты</t>
  </si>
  <si>
    <t xml:space="preserve">NPV и IRR: вариант с наиболее вероятными значениями в сравнении с моделированием, вероятность отрицательного NPV, диапазоны NPV, IRR и срока окупаемости · что определяет NPV.</t>
  </si>
  <si>
    <t xml:space="preserve">Приемы МоделРиск</t>
  </si>
  <si>
    <t xml:space="preserve">Трехточечные оценки (PERT) инвестиций, объема, цены и затрат · десять лет свободного денежного потока с налогом и амортизацией · NPV, IRR и срок окупаемости как результаты · гистограмма, S-кривая и диаграмма «торнадо».</t>
  </si>
  <si>
    <t xml:space="preserve">Файл</t>
  </si>
  <si>
    <t xml:space="preserve">CF-01 Оценка инвестиций в новую производственную линию  ·  Версия 1.0  ·  Ноябрь 2026  ·  создано в МоделРиск</t>
  </si>
  <si>
    <t xml:space="preserve">Вопрос бизнеса</t>
  </si>
  <si>
    <t xml:space="preserve">Производитель промышленных комплектующих рассматривает новую производственную линию. Инженеры оценивают инвестиции примерно в 40 млн долл.; отдел маркетинга рассчитывает продавать около 60 000 единиц в год на полной мощности примерно по 520 долл.; производство ожидает переменные затраты около 300 долл. на единицу и постоянные затраты около 4 млн долл. в год. Производство выходит на полную мощность за два года, линия работает десять лет. При наиболее вероятных значениях линия приносит 11% в год при стоимости капитала 9%: положительный NPV около 4,5 млн долл. Но каждая оценка неопределенна, и большинство из них скорее окажутся хуже, чем лучше: объем и цена могут упасть сильнее, чем вырасти, а затраты — сильнее вырасти. Модель заменяет каждое единичное значение трехточечной оценкой и моделирует денежный поток.</t>
  </si>
  <si>
    <t xml:space="preserve">Как устроена модель</t>
  </si>
  <si>
    <t xml:space="preserve">Дальше три листа, слева направо. Каждый передает данные следующему.</t>
  </si>
  <si>
    <t xml:space="preserve">1  Исходные данные</t>
  </si>
  <si>
    <t xml:space="preserve">Пять неопределенных величин в виде трехточечных оценок: инвестиции, объем продаж на полной мощности, цена, переменные затраты на единицу и постоянные затраты. Выход на мощность, ставка налога и стоимость капитала заданы фиксированно.</t>
  </si>
  <si>
    <t xml:space="preserve">2  Денежный поток</t>
  </si>
  <si>
    <t xml:space="preserve">Год 0 — инвестиции. В каждом году работы выручка = объем × цена; EBITDA = выручка − переменные и постоянные затраты; налог начисляется на EBITDA за вычетом линейной амортизации; свободный денежный поток = EBITDA − налог. NPV дисконтирует свободные денежные потоки по стоимости капитала, IRR — ставка, при которой NPV равен нулю, а год окупаемости — первый год, в котором накопленный денежный поток становится положительным.</t>
  </si>
  <si>
    <t xml:space="preserve">3  Результаты</t>
  </si>
  <si>
    <t xml:space="preserve">NPV и IRR при наиболее вероятных значениях в сравнении с моделированием, вероятность отрицательного NPV, диапазоны NPV, IRR и срока окупаемости и факторы, определяющие NPV.</t>
  </si>
  <si>
    <t xml:space="preserve">Как пользоваться моделью</t>
  </si>
  <si>
    <t xml:space="preserve">Шаг 1</t>
  </si>
  <si>
    <t xml:space="preserve">Введите оценки своего проекта на листе «Исходные данные»: минимум, наиболее вероятное значение и максимум каждой неопределенной величины.</t>
  </si>
  <si>
    <t xml:space="preserve">Шаг 2</t>
  </si>
  <si>
    <t xml:space="preserve">Нажмите F9 на листе «Денежный поток», чтобы увидеть другие возможные денежные потоки.</t>
  </si>
  <si>
    <t xml:space="preserve">Шаг 3</t>
  </si>
  <si>
    <t xml:space="preserve">Запустите моделирование на ленте МоделРиск (уже заданы 10 000 итераций и фиксированное начальное число генератора).</t>
  </si>
  <si>
    <t xml:space="preserve">Шаг 4</t>
  </si>
  <si>
    <t xml:space="preserve">Сравните моделирование с бизнес-планом на единичных значениях и уточните главные факторы до принятия решения.</t>
  </si>
  <si>
    <t xml:space="preserve">Структура модели</t>
  </si>
  <si>
    <t xml:space="preserve">Исходные данные</t>
  </si>
  <si>
    <t xml:space="preserve">Оценки инвестиций, рынка и производства; налог и стоимость капитала.</t>
  </si>
  <si>
    <t xml:space="preserve">Денежный поток</t>
  </si>
  <si>
    <t xml:space="preserve">Десять лет денежного потока, NPV, IRR и срок окупаемости; вариант с наиболее вероятными значениями; результаты и проверки.</t>
  </si>
  <si>
    <t xml:space="preserve">Результаты</t>
  </si>
  <si>
    <t xml:space="preserve">NPV и IRR в сравнении с бизнес-планом, их диапазоны, факторы, определяющие NPV.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</si>
  <si>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</si>
  <si>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</si>
  <si>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</si>
  <si>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</si>
  <si>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</si>
  <si>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</si>
  <si>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</si>
  <si>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</si>
  <si>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</si>
  <si>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</si>
  <si>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</si>
  <si>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</si>
  <si>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Деньги</t>
  </si>
  <si>
    <t xml:space="preserve">Миллионы долларов США (млн долл.) в текущих ценах; цены и затраты на единицу — в долларах за единицу.</t>
  </si>
  <si>
    <t xml:space="preserve">Объемы</t>
  </si>
  <si>
    <t xml:space="preserve">Тысячи единиц в год.</t>
  </si>
  <si>
    <t xml:space="preserve">Годы</t>
  </si>
  <si>
    <t xml:space="preserve">Год 0 — инвестиции; годы с 1-го по 10-й — годы работы; денежные потоки в конце каждого года.</t>
  </si>
  <si>
    <t xml:space="preserve">NPV и IRR</t>
  </si>
  <si>
    <t xml:space="preserve">NPV по стоимости капитала; IRR — ставка дисконтирования, при которой NPV равен нулю.</t>
  </si>
  <si>
    <t xml:space="preserve">Основные допущения и ограничения</t>
  </si>
  <si>
    <t xml:space="preserve">Денежные потоки</t>
  </si>
  <si>
    <t xml:space="preserve">В текущих ценах; без оборотного капитала, инфляции и остаточной стоимости.</t>
  </si>
  <si>
    <t xml:space="preserve">Налог</t>
  </si>
  <si>
    <t xml:space="preserve">25% от EBITDA за вычетом амортизации; убыток в первые годы уменьшает налог группы (отрицательный налог).</t>
  </si>
  <si>
    <t xml:space="preserve">Оценки</t>
  </si>
  <si>
    <t xml:space="preserve">Пять неопределенных величин независимы друг от друга и действуют все десять лет (продажи, меняющиеся во времени, здесь не моделируются).</t>
  </si>
  <si>
    <t xml:space="preserve">Данные</t>
  </si>
  <si>
    <t xml:space="preserve">Проект и все цифры придуманы для этого примера.</t>
  </si>
  <si>
    <t xml:space="preserve">Функции МоделРиск в модели</t>
  </si>
  <si>
    <t>VosePERT</t>
  </si>
  <si>
    <t xml:space="preserve">Пять неопределенных величин по минимуму, наиболее вероятному значению и максимуму.</t>
  </si>
  <si>
    <t>VoseInput, VoseOutput</t>
  </si>
  <si>
    <t xml:space="preserve">Задают имена неопределенных величин для диаграммы «торнадо», а NPV, IRR и срок окупаемости — как результаты.</t>
  </si>
  <si>
    <t xml:space="preserve">ПРОСМОТР, СЧЁТЕСЛИ (Excel)</t>
  </si>
  <si>
    <t xml:space="preserve">Производство в каждом году по профилю выхода на мощность; год окупаемости — как число лет с отрицательным накопленным денежным потоком.</t>
  </si>
  <si>
    <t xml:space="preserve">ЧПС, ВСД (Excel)</t>
  </si>
  <si>
    <t xml:space="preserve">IRR каждого смоделированного денежного потока и NPV варианта с наиболее вероятными значениями.</t>
  </si>
  <si>
    <t>VoseSimMean, VoseSimPercentile, VoseSimProbability</t>
  </si>
  <si>
    <t xml:space="preserve">Статистика моделирования для таблиц и графиков на листе «Результаты».</t>
  </si>
  <si>
    <t>VoseSimSensitivityMean</t>
  </si>
  <si>
    <t xml:space="preserve">Диаграмма «торнадо»: все VoseInput по порядку того, насколько меняется средний NPV в пределах их диапазона.</t>
  </si>
  <si>
    <t xml:space="preserve">Что почитать</t>
  </si>
  <si>
    <t xml:space="preserve">Бюджетирование капиталовложений</t>
  </si>
  <si>
    <t>Brealey, R. A., Myers, S. C. &amp; Allen, F. (2020). Principles of Corporate Finance, 13th edition. McGraw-Hill.</t>
  </si>
  <si>
    <t xml:space="preserve">Анализ рисков</t>
  </si>
  <si>
    <t xml:space="preserve">Анализ рисков инвестиционного проекта: NPV методом Монте-Карло (статья)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</si>
  <si>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</si>
  <si>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Все допущения модели, их неопределенность и обоснование. Меняйте только желтые ячейки.</t>
  </si>
  <si>
    <t xml:space="preserve">◂  Описание</t>
  </si>
  <si>
    <t xml:space="preserve">Далее:  Денежный поток  ▸</t>
  </si>
  <si>
    <t xml:space="preserve">Как читать этот лист:  желтые ячейки — исходные данные.  В оранжевых ячейках распределения МоделРиск, они показывают текущее случайное значение (F9 — выбрать заново).  Мин. / Наиболее вероятное / Макс. — минимум, наиболее вероятное значение и максимум для PERT.  Среднее — среднее значение распределения (VoseMean); если диапазон задан неверно, показывается ✗.  Таблица профиля задает значение с указанного года до следующего.</t>
  </si>
  <si>
    <t xml:space="preserve">1   Инвестиции и финансирование</t>
  </si>
  <si>
    <t xml:space="preserve">Сколько стоит линия и сколько стоят деньги.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</si>
  <si>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</si>
  <si>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</si>
  <si>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</si>
  <si>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</si>
  <si>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Мин.</t>
  </si>
  <si>
    <t xml:space="preserve">Наиболее вероятное</t>
  </si>
  <si>
    <t xml:space="preserve">Макс.</t>
  </si>
  <si>
    <t xml:space="preserve">Среднее</t>
  </si>
  <si>
    <t xml:space="preserve">Обоснование / источник (условно)</t>
  </si>
  <si>
    <t xml:space="preserve">Инвестиции в линию</t>
  </si>
  <si>
    <t xml:space="preserve">млн долл.</t>
  </si>
  <si>
    <t>PERT</t>
  </si>
  <si>
    <t xml:space="preserve">Оценка инженеров; предложения поставщиков основного оборудования.</t>
  </si>
  <si>
    <t xml:space="preserve">Ставка налога</t>
  </si>
  <si>
    <t xml:space="preserve">Константа</t>
  </si>
  <si>
    <t xml:space="preserve">На EBITDA за вычетом амортизации.</t>
  </si>
  <si>
    <t xml:space="preserve">Срок амортизации</t>
  </si>
  <si>
    <t xml:space="preserve">лет</t>
  </si>
  <si>
    <t xml:space="preserve">Линейная, с 1-го года, в пределах 10 лет денежного потока.</t>
  </si>
  <si>
    <t xml:space="preserve">Стоимость капитала</t>
  </si>
  <si>
    <t xml:space="preserve">в год</t>
  </si>
  <si>
    <t xml:space="preserve">Реальная, после налогов: ставка дисконтирования для NPV.</t>
  </si>
  <si>
    <t xml:space="preserve">2   Рынок</t>
  </si>
  <si>
    <t xml:space="preserve">Сколько единиц продает линия и по какой цене.</t>
  </si>
  <si>
    <t xml:space="preserve">Объем продаж на полной мощности</t>
  </si>
  <si>
    <t xml:space="preserve">тыс. единиц в год</t>
  </si>
  <si>
    <t xml:space="preserve">Прогноз маркетинга; мощность линии — 66 000 единиц в год.</t>
  </si>
  <si>
    <t xml:space="preserve">Цена</t>
  </si>
  <si>
    <t xml:space="preserve">долл. за единицу</t>
  </si>
  <si>
    <t xml:space="preserve">Конкуренты могут снизить цены; возможности повысить их мало.</t>
  </si>
  <si>
    <t xml:space="preserve">3   Выход на мощность</t>
  </si>
  <si>
    <t xml:space="preserve">Как быстро линия выходит на полный объем.</t>
  </si>
  <si>
    <t xml:space="preserve">Год работы</t>
  </si>
  <si>
    <t xml:space="preserve">год</t>
  </si>
  <si>
    <t xml:space="preserve">Фиксированное  · профиль</t>
  </si>
  <si>
    <t xml:space="preserve">Пусконаладка и первые покупатели; последняя доля действует начиная со своего года.</t>
  </si>
  <si>
    <t xml:space="preserve">производство, доля полного объема</t>
  </si>
  <si>
    <t xml:space="preserve">доля</t>
  </si>
  <si>
    <t xml:space="preserve">4   Производство</t>
  </si>
  <si>
    <t xml:space="preserve">Во что обходится производство и продажа.</t>
  </si>
  <si>
    <t xml:space="preserve">Переменные затраты</t>
  </si>
  <si>
    <t xml:space="preserve">Материалы и энергия; предложения поставщиков.</t>
  </si>
  <si>
    <t xml:space="preserve">Постоянные затраты</t>
  </si>
  <si>
    <t xml:space="preserve">млн долл. в год</t>
  </si>
  <si>
    <t xml:space="preserve">Персонал, обслуживание и накладные расходы.</t>
  </si>
  <si>
    <t xml:space="preserve">ДЕНЕЖНЫЙ ПОТОК   ·   Инвестиции в году 0, затем десять лет работы (млн долл., текущие цены).</t>
  </si>
  <si>
    <t xml:space="preserve">◂  Исходные данные</t>
  </si>
  <si>
    <t xml:space="preserve">Далее:  Результаты  ▸</t>
  </si>
  <si>
    <t xml:space="preserve">Год</t>
  </si>
  <si>
    <t xml:space="preserve">Итого</t>
  </si>
  <si>
    <t xml:space="preserve">1   Единичные значения этой итерации</t>
  </si>
  <si>
    <t xml:space="preserve">Величина</t>
  </si>
  <si>
    <t xml:space="preserve">Значение</t>
  </si>
  <si>
    <t xml:space="preserve">Как рассчитывается</t>
  </si>
  <si>
    <t xml:space="preserve">Амортизация в год в течение срока амортизации</t>
  </si>
  <si>
    <t xml:space="preserve">Инвестиции ÷ срок амортизации, линейно</t>
  </si>
  <si>
    <t xml:space="preserve">2   Свободный денежный поток</t>
  </si>
  <si>
    <t xml:space="preserve">Выручка за вычетом затрат и налога, за вычетом инвестиций.</t>
  </si>
  <si>
    <t xml:space="preserve">Производство  (профиль выхода на мощность)</t>
  </si>
  <si>
    <t xml:space="preserve">от полного объема</t>
  </si>
  <si>
    <t xml:space="preserve">Продано единиц</t>
  </si>
  <si>
    <t xml:space="preserve">тыс.</t>
  </si>
  <si>
    <t xml:space="preserve">Выручка</t>
  </si>
  <si>
    <t xml:space="preserve">Переменные затраты</t>
  </si>
  <si>
    <t>EBITDA</t>
  </si>
  <si>
    <t xml:space="preserve">Амортизация</t>
  </si>
  <si>
    <t xml:space="preserve">Инвестиции</t>
  </si>
  <si>
    <t xml:space="preserve">Свободный денежный поток</t>
  </si>
  <si>
    <t xml:space="preserve">Коэффициент дисконтирования</t>
  </si>
  <si>
    <t xml:space="preserve">Приведенная стоимость</t>
  </si>
  <si>
    <t xml:space="preserve">Накопленный свободный денежный поток</t>
  </si>
  <si>
    <t xml:space="preserve">3   Бизнес-план: наиболее вероятные значения</t>
  </si>
  <si>
    <t xml:space="preserve">Тот же денежный поток, где каждая оценка равна наиболее вероятному значению, — как в таблице на единичных значениях.</t>
  </si>
  <si>
    <t xml:space="preserve">Свободный денежный поток, наиболее вероятные значения</t>
  </si>
  <si>
    <t xml:space="preserve">4   Значение в этой итерации</t>
  </si>
  <si>
    <t xml:space="preserve">Ключевые результаты, которые МоделРиск записывает в каждой итерации (VoseOutput). Их статистика — на листе «Результаты».</t>
  </si>
  <si>
    <t xml:space="preserve">Результат</t>
  </si>
  <si>
    <t xml:space="preserve">Смысл</t>
  </si>
  <si>
    <t>NPV</t>
  </si>
  <si>
    <t xml:space="preserve">Сумма приведенных стоимостей.</t>
  </si>
  <si>
    <t>IRR</t>
  </si>
  <si>
    <t xml:space="preserve">Ставка дисконтирования, при которой NPV равен нулю.</t>
  </si>
  <si>
    <t xml:space="preserve">Год окупаемости</t>
  </si>
  <si>
    <t xml:space="preserve">Число лет с отрицательным накопленным денежным потоком: первый год, когда он становится положительным (11 — не в пределах 10 лет).</t>
  </si>
  <si>
    <t xml:space="preserve">NPV при наиболее вероятных значениях</t>
  </si>
  <si>
    <t xml:space="preserve">Бизнес-план.</t>
  </si>
  <si>
    <t xml:space="preserve">IRR при наиболее вероятных значениях</t>
  </si>
  <si>
    <t xml:space="preserve">Год окупаемости при наиболее вероятных значениях</t>
  </si>
  <si>
    <t xml:space="preserve">5   Проверки модели</t>
  </si>
  <si>
    <t xml:space="preserve">Везде должно быть «ОК». «ПРОВЕРИТЬ» означает, что исходное значение вышло за пределы, на которые рассчитана модель.</t>
  </si>
  <si>
    <t xml:space="preserve">Все диапазоны на листе «Исходные данные» заданы верно  (нет ✗ в столбце «Среднее»)</t>
  </si>
  <si>
    <t xml:space="preserve">Свободный денежный поток положителен в каждом году работы  (один IRR)</t>
  </si>
  <si>
    <t xml:space="preserve">Срок амортизации укладывается в годы денежного потока</t>
  </si>
  <si>
    <t xml:space="preserve">Годы выхода на мощность идут по порядку  (ПРОСМОТР читает их слева)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</si>
  <si>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</si>
  <si>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Денежный поток</t>
  </si>
  <si>
    <t xml:space="preserve">1   Стоит ли компании инвестировать?</t>
  </si>
  <si>
    <t xml:space="preserve">NPV — распределение</t>
  </si>
  <si>
    <t xml:space="preserve">Бизнес-план (наиболее вероятные значения) в сравнении с моделированием.</t>
  </si>
  <si>
    <t xml:space="preserve">Показатель</t>
  </si>
  <si>
    <t xml:space="preserve">NPV при наиболее вероятных значениях  (бизнес-план)</t>
  </si>
  <si>
    <t xml:space="preserve">Средний NPV  (моделирование)</t>
  </si>
  <si>
    <t xml:space="preserve">Вероятность отрицательного NPV</t>
  </si>
  <si>
    <t xml:space="preserve">вероятность</t>
  </si>
  <si>
    <t xml:space="preserve">Вероятность, что NPV окажется ниже, чем в бизнес-плане</t>
  </si>
  <si>
    <t xml:space="preserve">Средний IRR  (моделирование)</t>
  </si>
  <si>
    <t xml:space="preserve">Вывод</t>
  </si>
  <si>
    <t xml:space="preserve">2   NPV, IRR и срок окупаемости</t>
  </si>
  <si>
    <t xml:space="preserve">10-й процентиль, медиана и 90-й процентиль.</t>
  </si>
  <si>
    <t xml:space="preserve">10-й проц.</t>
  </si>
  <si>
    <t xml:space="preserve">Медиана</t>
  </si>
  <si>
    <t xml:space="preserve">90-й проц.</t>
  </si>
  <si>
    <t xml:space="preserve">NPV — интегральная вероятность</t>
  </si>
  <si>
    <t xml:space="preserve">3   Что определяет NPV</t>
  </si>
  <si>
    <t xml:space="preserve">Что определяет NPV  (млн долл.)</t>
  </si>
  <si>
    <t xml:space="preserve">Самый низкий и самый высокий средний NPV по десяти равным группам значений каждой величины (VoseSimSensitivityMean), отложенные от общего среднего.</t>
  </si>
  <si>
    <t xml:space="preserve">Исходная величина (по степени влияния)</t>
  </si>
  <si>
    <t xml:space="preserve">Наименьшее среднее</t>
  </si>
  <si>
    <t xml:space="preserve">Наибольшее среднее</t>
  </si>
  <si>
    <t xml:space="preserve">Место</t>
  </si>
  <si>
    <t xml:space="preserve">4   Как читать результаты</t>
  </si>
  <si>
    <t xml:space="preserve">•  Когда каждая оценка равна наиболее вероятному значению, линия зарабатывает больше стоимости капитала. Моделирование рассказывает более слабую историю: средний NPV ниже, а в значительной доле возможных вариантов будущего NPV отрицателен.</t>
  </si>
  <si>
    <t xml:space="preserve">•  Разница возникает из-за формы оценок, а не из-за невезения: объем и цена могут упасть сильнее, чем вырасти, а затраты — вырасти сильнее, чем снизиться, поэтому среднее каждой оценки хуже ее наиболее вероятного значения.</t>
  </si>
  <si>
    <t xml:space="preserve">•  IRR и NPV рассказывают одну и ту же историю: если денежный поток один раз становится положительным и дальше остается положительным, IRR ниже стоимости капитала ровно тогда, когда NPV отрицателен, — поэтому вероятность отрицательного NPV равна вероятности, что IRR не дотянет до стоимости капитала.</t>
  </si>
  <si>
    <t xml:space="preserve">•  Диаграмма «торнадо» показывает, над чем работать до принятия решения: договор поставки с первым покупателем уточняет объем и цену, а контракт на оборудование с фиксированной ценой — инвестиции.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</si>
  <si>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</si>
  <si>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</si>
  <si>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</si>
  <si>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</si>
  <si>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 xml:space="preserve">Общее среднее NPV</t>
  </si>
  <si>
    <t xml:space="preserve">Исходная величина (для графика)</t>
  </si>
  <si>
    <t xml:space="preserve">Наибольшее − среднее</t>
  </si>
  <si>
    <t xml:space="preserve">Наименьшее − среднее</t>
  </si>
  <si>
    <t xml:space="preserve">Процентили: NPV</t>
  </si>
  <si>
    <t xml:space="preserve">Гистограмма: NPV</t>
  </si>
  <si>
    <t xml:space="preserve">Граница</t>
  </si>
  <si>
    <t xml:space="preserve">Индекс</t>
  </si>
  <si>
    <t xml:space="preserve">Середина</t>
  </si>
  <si>
    <t xml:space="preserve">Вероятность</t>
  </si>
  <si>
    <t xml:space="preserve">Ниже границы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</si>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</sst>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_);\(#,##0.0\);&quot;–&quot;_)"/>
    <numFmt numFmtId="165" formatCode="#,##0_);\(#,##0\);&quot;–&quot;_)"/>
    <numFmt numFmtId="166" formatCode="0.0%"/>
    <numFmt numFmtId="167" formatCode="#,##0.00_);\(#,##0.00\);&quot;–&quot;_)"/>
    <numFmt numFmtId="168" formatCode="0.000"/>
    <numFmt numFmtId="169" formatCode="#,##0.0_);\(#,##0.0\);&quot;–&quot;_);&quot;–&quot;"/>
    <numFmt numFmtId="170" formatCode="0.0%;\-0.0%;0.0%;&quot;–&quot;"/>
    <numFmt numFmtId="171" formatCode="0;\-0;0;&quot;–&quot;"/>
  </numFmts>
  <fonts count="26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sz val="10"/>
      <color rgb="FF55585F"/>
      <name val="Calibri"/>
    </font>
    <font>
      <b/>
      <sz val="9"/>
      <color rgb="FF111214"/>
      <name val="Calibri"/>
    </font>
    <font>
      <b/>
      <sz val="9"/>
      <color rgb="FF8B8E95"/>
      <name val="Calibri"/>
    </font>
    <font>
      <b/>
      <sz val="10"/>
      <color rgb="FF15803D"/>
      <name val="Calibri"/>
    </font>
    <font>
      <b/>
      <sz val="13"/>
      <color rgb="FF1F2328"/>
      <name val="Calibri"/>
    </font>
    <font>
      <sz val="9"/>
      <color rgb="FF8B8E95"/>
      <name val="Calibri"/>
    </font>
    <font>
      <b/>
      <sz val="11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2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/>
      <right/>
      <top style="thin">
        <color rgb="FF6B6E75"/>
      </top>
      <bottom style="thin">
        <color rgb="FFECEDEF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89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2" fillId="3" borderId="7" xfId="2" applyNumberFormat="1" applyBorder="1">
      <alignment horizontal="right" vertical="center"/>
    </xf>
    <xf numFmtId="164" fontId="1" fillId="2" borderId="7" xfId="1" applyNumberFormat="1" applyBorder="1">
      <alignment horizontal="right" vertical="center"/>
    </xf>
    <xf numFmtId="164" fontId="3" fillId="0" borderId="8" xfId="3" applyNumberFormat="1" applyBorder="1">
      <alignment horizontal="right" vertical="center"/>
    </xf>
    <xf numFmtId="0" fontId="18" fillId="0" borderId="6" xfId="0" applyFont="1" applyBorder="1" applyAlignment="1">
      <alignment horizontal="left" vertical="center" wrapText="1" indent="1"/>
    </xf>
    <xf numFmtId="9" fontId="1" fillId="2" borderId="7" xfId="1" applyNumberFormat="1" applyBorder="1">
      <alignment horizontal="right" vertical="center"/>
    </xf>
    <xf numFmtId="0" fontId="0" fillId="0" borderId="6" xfId="0" applyBorder="1"/>
    <xf numFmtId="165" fontId="1" fillId="2" borderId="7" xfId="1" applyNumberFormat="1" applyBorder="1">
      <alignment horizontal="right" vertical="center"/>
    </xf>
    <xf numFmtId="166" fontId="1" fillId="2" borderId="7" xfId="1" applyNumberFormat="1" applyBorder="1">
      <alignment horizontal="right" vertical="center"/>
    </xf>
    <xf numFmtId="165" fontId="2" fillId="3" borderId="7" xfId="2" applyNumberFormat="1" applyBorder="1">
      <alignment horizontal="right" vertical="center"/>
    </xf>
    <xf numFmtId="165" fontId="3" fillId="0" borderId="8" xfId="3" applyNumberFormat="1" applyBorder="1">
      <alignment horizontal="right" vertical="center"/>
    </xf>
    <xf numFmtId="1" fontId="1" fillId="2" borderId="7" xfId="1" applyNumberFormat="1" applyBorder="1">
      <alignment horizontal="right" vertical="center"/>
    </xf>
    <xf numFmtId="0" fontId="19" fillId="0" borderId="6" xfId="0" applyFont="1" applyBorder="1" applyAlignment="1">
      <alignment horizontal="left" vertical="center" indent="3"/>
    </xf>
    <xf numFmtId="167" fontId="2" fillId="3" borderId="7" xfId="2" applyNumberFormat="1" applyBorder="1">
      <alignment horizontal="right" vertical="center"/>
    </xf>
    <xf numFmtId="167" fontId="1" fillId="2" borderId="7" xfId="1" applyNumberFormat="1" applyBorder="1">
      <alignment horizontal="right" vertical="center"/>
    </xf>
    <xf numFmtId="167" fontId="3" fillId="0" borderId="8" xfId="3" applyNumberFormat="1" applyBorder="1">
      <alignment horizontal="right" vertical="center"/>
    </xf>
    <xf numFmtId="0" fontId="17" fillId="7" borderId="0" xfId="0" applyFont="1" applyFill="1" applyAlignment="1">
      <alignment horizontal="left" vertical="center" indent="1"/>
    </xf>
    <xf numFmtId="0" fontId="0" fillId="7" borderId="0" xfId="0" applyFill="1"/>
    <xf numFmtId="0" fontId="17" fillId="7" borderId="0" xfId="0" applyFont="1" applyFill="1" applyAlignment="1">
      <alignment horizontal="right" vertical="center"/>
    </xf>
    <xf numFmtId="0" fontId="21" fillId="7" borderId="0" xfId="0" applyFont="1" applyFill="1" applyAlignment="1">
      <alignment horizontal="right" vertical="center"/>
    </xf>
    <xf numFmtId="1" fontId="20" fillId="7" borderId="0" xfId="0" applyNumberFormat="1" applyFont="1" applyFill="1" applyAlignment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9" fontId="3" fillId="0" borderId="8" xfId="3" applyNumberFormat="1" applyBorder="1">
      <alignment horizontal="right" vertical="center"/>
    </xf>
    <xf numFmtId="164" fontId="12" fillId="0" borderId="8" xfId="3" applyNumberFormat="1" applyFont="1" applyBorder="1">
      <alignment horizontal="right" vertical="center"/>
    </xf>
    <xf numFmtId="167" fontId="12" fillId="0" borderId="8" xfId="3" applyNumberFormat="1" applyFont="1" applyBorder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0" fontId="12" fillId="0" borderId="9" xfId="0" applyFont="1" applyBorder="1" applyAlignment="1">
      <alignment horizontal="left" vertical="center" indent="1"/>
    </xf>
    <xf numFmtId="0" fontId="18" fillId="0" borderId="9" xfId="0" applyFont="1" applyBorder="1" applyAlignment="1">
      <alignment horizontal="left" vertical="center" indent="1"/>
    </xf>
    <xf numFmtId="167" fontId="12" fillId="0" borderId="9" xfId="3" applyNumberFormat="1" applyFont="1" applyBorder="1">
      <alignment horizontal="right" vertical="center"/>
    </xf>
    <xf numFmtId="0" fontId="0" fillId="0" borderId="9" xfId="0" applyBorder="1"/>
    <xf numFmtId="168" fontId="3" fillId="0" borderId="8" xfId="3" applyNumberFormat="1" applyBorder="1">
      <alignment horizontal="right" vertical="center"/>
    </xf>
    <xf numFmtId="167" fontId="4" fillId="4" borderId="10" xfId="4" applyNumberFormat="1" applyBorder="1">
      <alignment horizontal="right" vertical="center"/>
    </xf>
    <xf numFmtId="166" fontId="4" fillId="4" borderId="10" xfId="4" applyNumberFormat="1" applyBorder="1">
      <alignment horizontal="right" vertical="center"/>
    </xf>
    <xf numFmtId="1" fontId="4" fillId="4" borderId="10" xfId="4" applyNumberFormat="1" applyBorder="1">
      <alignment horizontal="right" vertical="center"/>
    </xf>
    <xf numFmtId="166" fontId="3" fillId="0" borderId="8" xfId="3" applyNumberFormat="1" applyBorder="1">
      <alignment horizontal="right" vertical="center"/>
    </xf>
    <xf numFmtId="1" fontId="3" fillId="0" borderId="8" xfId="3" applyNumberFormat="1" applyBorder="1">
      <alignment horizontal="right" vertical="center"/>
    </xf>
    <xf numFmtId="0" fontId="22" fillId="0" borderId="6" xfId="0" applyFont="1" applyBorder="1" applyAlignment="1">
      <alignment horizontal="center" vertical="center"/>
    </xf>
    <xf numFmtId="0" fontId="15" fillId="5" borderId="11" xfId="0" applyFont="1" applyFill="1" applyBorder="1" applyAlignment="1">
      <alignment horizontal="left" vertical="center" indent="1"/>
    </xf>
    <xf numFmtId="0" fontId="0" fillId="5" borderId="11" xfId="0" applyFill="1" applyBorder="1"/>
    <xf numFmtId="0" fontId="18" fillId="0" borderId="0" xfId="0" applyFont="1" applyAlignment="1">
      <alignment horizontal="left" vertical="center" indent="1"/>
    </xf>
    <xf numFmtId="0" fontId="25" fillId="0" borderId="5" xfId="0" applyFont="1" applyBorder="1"/>
    <xf numFmtId="0" fontId="19" fillId="0" borderId="6" xfId="0" applyFont="1" applyBorder="1" applyAlignment="1">
      <alignment horizontal="left" vertical="center" indent="1"/>
    </xf>
    <xf numFmtId="169" fontId="23" fillId="5" borderId="7" xfId="5" applyNumberFormat="1" applyFont="1" applyBorder="1">
      <alignment horizontal="right" vertical="center"/>
    </xf>
    <xf numFmtId="170" fontId="1" fillId="5" borderId="7" xfId="5" applyNumberFormat="1" applyBorder="1">
      <alignment horizontal="right" vertical="center"/>
    </xf>
    <xf numFmtId="169" fontId="1" fillId="5" borderId="7" xfId="5" applyNumberFormat="1" applyBorder="1">
      <alignment horizontal="right" vertical="center"/>
    </xf>
    <xf numFmtId="171" fontId="1" fillId="5" borderId="7" xfId="5" applyNumberFormat="1" applyBorder="1">
      <alignment horizontal="right" vertical="center"/>
    </xf>
    <xf numFmtId="0" fontId="17" fillId="7" borderId="4" xfId="0" applyFont="1" applyFill="1" applyBorder="1" applyAlignment="1">
      <alignment horizontal="center" vertical="center" wrapText="1"/>
    </xf>
    <xf numFmtId="171" fontId="1" fillId="5" borderId="7" xfId="5" applyNumberFormat="1" applyBorder="1" applyAlignment="1">
      <alignment horizontal="center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0" fontId="3" fillId="0" borderId="0" xfId="0" applyFont="1" applyAlignment="1">
      <alignment horizontal="left" vertical="center" indent="1"/>
    </xf>
    <xf numFmtId="169" fontId="1" fillId="5" borderId="1" xfId="5" applyNumberFormat="1">
      <alignment horizontal="right" vertical="center"/>
    </xf>
    <xf numFmtId="0" fontId="19" fillId="0" borderId="0" xfId="0" applyFont="1" applyAlignment="1">
      <alignment horizontal="left" vertical="center" indent="1"/>
    </xf>
    <xf numFmtId="164" fontId="3" fillId="0" borderId="2" xfId="3" applyNumberFormat="1">
      <alignment horizontal="right" vertical="center"/>
    </xf>
    <xf numFmtId="166" fontId="3" fillId="0" borderId="2" xfId="3" applyNumberFormat="1">
      <alignment horizontal="right" vertical="center"/>
    </xf>
    <xf numFmtId="0" fontId="24" fillId="0" borderId="0" xfId="0" applyFont="1"/>
    <xf numFmtId="1" fontId="3" fillId="0" borderId="2" xfId="3" applyNumberFormat="1">
      <alignment horizontal="right" vertical="center"/>
    </xf>
    <xf numFmtId="0" fontId="16" fillId="0" borderId="0" xfId="0" applyFont="1"/>
    <xf numFmtId="0" fontId="0" fillId="0" borderId="0" xfId="0"/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11">
    <dxf>
      <font>
        <color rgb="FF8B8E95"/>
      </font>
    </dxf>
    <dxf>
      <font>
        <color rgb="FF8B8E95"/>
      </font>
    </dxf>
    <dxf>
      <font>
        <color rgb="FFB91C1C"/>
      </font>
    </dxf>
    <dxf>
      <font>
        <color rgb="FF15803D"/>
      </font>
    </dxf>
    <dxf>
      <font>
        <color rgb="FF8B8E95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NPV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1"/>
          <c:cat>
            <c:numRef>
              <c:f>'Результаты'!$E$230:$E$253</c:f>
              <c:numCache>
                <c:formatCode>#,##0.00</c:formatCode>
                <c:ptCount val="24"/>
                <c:pt idx="0">
                  <c:v>-10.893359371742871</c:v>
                </c:pt>
                <c:pt idx="1">
                  <c:v>-9.8404618377402286</c:v>
                </c:pt>
                <c:pt idx="2">
                  <c:v>-8.7875643037375859</c:v>
                </c:pt>
                <c:pt idx="3">
                  <c:v>-7.7346667697349414</c:v>
                </c:pt>
                <c:pt idx="4">
                  <c:v>-6.6817692357322995</c:v>
                </c:pt>
                <c:pt idx="5">
                  <c:v>-5.6288717017296559</c:v>
                </c:pt>
                <c:pt idx="6">
                  <c:v>-4.5759741677270123</c:v>
                </c:pt>
                <c:pt idx="7">
                  <c:v>-3.52307663372437</c:v>
                </c:pt>
                <c:pt idx="8">
                  <c:v>-2.4701790997217277</c:v>
                </c:pt>
                <c:pt idx="9">
                  <c:v>-1.4172815657190849</c:v>
                </c:pt>
                <c:pt idx="10">
                  <c:v>-0.36438403171644129</c:v>
                </c:pt>
                <c:pt idx="11">
                  <c:v>0.68851350228620323</c:v>
                </c:pt>
                <c:pt idx="12">
                  <c:v>1.741411036288846</c:v>
                </c:pt>
                <c:pt idx="13">
                  <c:v>2.7943085702914887</c:v>
                </c:pt>
                <c:pt idx="14">
                  <c:v>3.8472061042941315</c:v>
                </c:pt>
                <c:pt idx="15">
                  <c:v>4.9001036382967733</c:v>
                </c:pt>
                <c:pt idx="16">
                  <c:v>5.9530011722994178</c:v>
                </c:pt>
                <c:pt idx="17">
                  <c:v>7.0058987063020606</c:v>
                </c:pt>
                <c:pt idx="18">
                  <c:v>8.0587962403047033</c:v>
                </c:pt>
                <c:pt idx="19">
                  <c:v>9.1116937743073461</c:v>
                </c:pt>
                <c:pt idx="20">
                  <c:v>10.164591308309989</c:v>
                </c:pt>
                <c:pt idx="21">
                  <c:v>11.217488842312633</c:v>
                </c:pt>
                <c:pt idx="22">
                  <c:v>12.270386376315276</c:v>
                </c:pt>
                <c:pt idx="23">
                  <c:v>13.323283910317921</c:v>
                </c:pt>
              </c:numCache>
            </c:numRef>
          </c:cat>
          <c:val>
            <c:numRef>
              <c:f>'Результаты'!$F$230:$F$253</c:f>
              <c:numCache>
                <c:formatCode>0.0%</c:formatCode>
                <c:ptCount val="24"/>
                <c:pt idx="0">
                  <c:v>5.3349702328684403E-3</c:v>
                </c:pt>
                <c:pt idx="1">
                  <c:v>8.7160913439739054E-3</c:v>
                </c:pt>
                <c:pt idx="2">
                  <c:v>1.1389867897974339E-2</c:v>
                </c:pt>
                <c:pt idx="3">
                  <c:v>1.8140274461051008E-2</c:v>
                </c:pt>
                <c:pt idx="4">
                  <c:v>2.3353144236916049E-2</c:v>
                </c:pt>
                <c:pt idx="5">
                  <c:v>3.0572408814870958E-2</c:v>
                </c:pt>
                <c:pt idx="6">
                  <c:v>4.0549453449844688E-2</c:v>
                </c:pt>
                <c:pt idx="7">
                  <c:v>5.0580814083877601E-2</c:v>
                </c:pt>
                <c:pt idx="8">
                  <c:v>6.396724751369165E-2</c:v>
                </c:pt>
                <c:pt idx="9">
                  <c:v>6.5760914007605753E-2</c:v>
                </c:pt>
                <c:pt idx="10">
                  <c:v>7.2879534740951879E-2</c:v>
                </c:pt>
                <c:pt idx="11">
                  <c:v>7.7220972167920454E-2</c:v>
                </c:pt>
                <c:pt idx="12">
                  <c:v>7.7343127104170795E-2</c:v>
                </c:pt>
                <c:pt idx="13">
                  <c:v>7.7328913171420766E-2</c:v>
                </c:pt>
                <c:pt idx="14">
                  <c:v>7.240915012345206E-2</c:v>
                </c:pt>
                <c:pt idx="15">
                  <c:v>6.7700501814148217E-2</c:v>
                </c:pt>
                <c:pt idx="16">
                  <c:v>6.0350519756712573E-2</c:v>
                </c:pt>
                <c:pt idx="17">
                  <c:v>5.2506967115410585E-2</c:v>
                </c:pt>
                <c:pt idx="18">
                  <c:v>3.6957808218321286E-2</c:v>
                </c:pt>
                <c:pt idx="19">
                  <c:v>3.1196916834627775E-2</c:v>
                </c:pt>
                <c:pt idx="20">
                  <c:v>1.9884192484777574E-2</c:v>
                </c:pt>
                <c:pt idx="21">
                  <c:v>1.2843199054099363E-2</c:v>
                </c:pt>
                <c:pt idx="22">
                  <c:v>8.3714566111003919E-3</c:v>
                </c:pt>
                <c:pt idx="23">
                  <c:v>4.6415547602118856E-3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600-4855-8957-5E3B3CCFA9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NPV (млн долл.)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between"/>
      </c:valAx>
    </c:plotArea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NPV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'Результаты'!$D$67:$D$116</c:f>
              <c:numCache>
                <c:formatCode>#,##0.00</c:formatCode>
                <c:ptCount val="50"/>
                <c:pt idx="0">
                  <c:v>-10.407374766741793</c:v>
                </c:pt>
                <c:pt idx="1">
                  <c:v>-8.2906304508260007</c:v>
                </c:pt>
                <c:pt idx="2">
                  <c:v>-7.1399281031756709</c:v>
                </c:pt>
                <c:pt idx="3">
                  <c:v>-6.2234735475236809</c:v>
                </c:pt>
                <c:pt idx="4">
                  <c:v>-5.5378327496165065</c:v>
                </c:pt>
                <c:pt idx="5">
                  <c:v>-4.9156182532993391</c:v>
                </c:pt>
                <c:pt idx="6">
                  <c:v>-4.3842973876425129</c:v>
                </c:pt>
                <c:pt idx="7">
                  <c:v>-3.8937484113000234</c:v>
                </c:pt>
                <c:pt idx="8">
                  <c:v>-3.4390860268732197</c:v>
                </c:pt>
                <c:pt idx="9">
                  <c:v>-3.0681549559628807</c:v>
                </c:pt>
                <c:pt idx="10">
                  <c:v>-2.6954954771713613</c:v>
                </c:pt>
                <c:pt idx="11">
                  <c:v>-2.3684498120616202</c:v>
                </c:pt>
                <c:pt idx="12">
                  <c:v>-2.046757434576846</c:v>
                </c:pt>
                <c:pt idx="13">
                  <c:v>-1.7485252688791553</c:v>
                </c:pt>
                <c:pt idx="14">
                  <c:v>-1.4017564131571576</c:v>
                </c:pt>
                <c:pt idx="15">
                  <c:v>-1.0826152830685665</c:v>
                </c:pt>
                <c:pt idx="16">
                  <c:v>-0.79731481502778134</c:v>
                </c:pt>
                <c:pt idx="17">
                  <c:v>-0.51957503483458245</c:v>
                </c:pt>
                <c:pt idx="18">
                  <c:v>-0.23711093914805126</c:v>
                </c:pt>
                <c:pt idx="19">
                  <c:v>7.3030047419630595E-2</c:v>
                </c:pt>
                <c:pt idx="20">
                  <c:v>0.36586711446105369</c:v>
                </c:pt>
                <c:pt idx="21">
                  <c:v>0.61878595360804844</c:v>
                </c:pt>
                <c:pt idx="22">
                  <c:v>0.88309664151324041</c:v>
                </c:pt>
                <c:pt idx="23">
                  <c:v>1.1727097424202384</c:v>
                </c:pt>
                <c:pt idx="24">
                  <c:v>1.4407651203705103</c:v>
                </c:pt>
                <c:pt idx="25">
                  <c:v>1.7049899659055732</c:v>
                </c:pt>
                <c:pt idx="26">
                  <c:v>2.0101134019929701</c:v>
                </c:pt>
                <c:pt idx="27">
                  <c:v>2.2560057970291694</c:v>
                </c:pt>
                <c:pt idx="28">
                  <c:v>2.5366589724057356</c:v>
                </c:pt>
                <c:pt idx="29">
                  <c:v>2.7900625833708932</c:v>
                </c:pt>
                <c:pt idx="30">
                  <c:v>3.0564505014285546</c:v>
                </c:pt>
                <c:pt idx="31">
                  <c:v>3.3506149439159199</c:v>
                </c:pt>
                <c:pt idx="32">
                  <c:v>3.6690048253013674</c:v>
                </c:pt>
                <c:pt idx="33">
                  <c:v>3.9540798046178014</c:v>
                </c:pt>
                <c:pt idx="34">
                  <c:v>4.2321494511728091</c:v>
                </c:pt>
                <c:pt idx="35">
                  <c:v>4.4942521883238333</c:v>
                </c:pt>
                <c:pt idx="36">
                  <c:v>4.8016218339194836</c:v>
                </c:pt>
                <c:pt idx="37">
                  <c:v>5.1296691839370947</c:v>
                </c:pt>
                <c:pt idx="38">
                  <c:v>5.4585322289780187</c:v>
                </c:pt>
                <c:pt idx="39">
                  <c:v>5.7744788180853348</c:v>
                </c:pt>
                <c:pt idx="40">
                  <c:v>6.1402363081891078</c:v>
                </c:pt>
                <c:pt idx="41">
                  <c:v>6.5040143090600875</c:v>
                </c:pt>
                <c:pt idx="42">
                  <c:v>6.8730414503223223</c:v>
                </c:pt>
                <c:pt idx="43">
                  <c:v>7.30155042561187</c:v>
                </c:pt>
                <c:pt idx="44">
                  <c:v>7.7393367144345238</c:v>
                </c:pt>
                <c:pt idx="45">
                  <c:v>8.3393472674624594</c:v>
                </c:pt>
                <c:pt idx="46">
                  <c:v>8.9360378467412911</c:v>
                </c:pt>
                <c:pt idx="47">
                  <c:v>9.665138192192563</c:v>
                </c:pt>
                <c:pt idx="48">
                  <c:v>10.743527995861154</c:v>
                </c:pt>
                <c:pt idx="49">
                  <c:v>12.715524865070364</c:v>
                </c:pt>
              </c:numCache>
            </c:numRef>
          </c:xVal>
          <c:yVal>
            <c:numRef>
              <c:f>'Результаты'!$B$67:$B$116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038-4822-8FF8-969D83D744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NPV (млн долл.)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Накопленная 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Наибольшее среднее по группе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'Результаты'!$B$120:$B$124</c:f>
              <c:strCache>
                <c:ptCount val="5"/>
                <c:pt idx="0">
                  <c:v>Объем продаж</c:v>
                </c:pt>
                <c:pt idx="1">
                  <c:v>Цена</c:v>
                </c:pt>
                <c:pt idx="2">
                  <c:v>Переменные затраты</c:v>
                </c:pt>
                <c:pt idx="3">
                  <c:v>Инвестиции</c:v>
                </c:pt>
                <c:pt idx="4">
                  <c:v>Постоянные затраты</c:v>
                </c:pt>
              </c:strCache>
            </c:strRef>
          </c:cat>
          <c:val>
            <c:numRef>
              <c:f>'Результаты'!$F$120:$F$124</c:f>
              <c:numCache>
                <c:formatCode>#,##0.0_);\(#,##0.0\);"–"_)</c:formatCode>
                <c:ptCount val="5"/>
                <c:pt idx="0">
                  <c:v>4.8029524951249094</c:v>
                </c:pt>
                <c:pt idx="1">
                  <c:v>4.4474529409437373</c:v>
                </c:pt>
                <c:pt idx="2">
                  <c:v>3.1084443617036408</c:v>
                </c:pt>
                <c:pt idx="3">
                  <c:v>2.5326698897021691</c:v>
                </c:pt>
                <c:pt idx="4">
                  <c:v>1.6643725663432225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8D-4BC5-8D3A-50242B9243C8}"/>
            </c:ext>
          </c:extLst>
        </c:ser>
        <c:ser>
          <c:idx val="1"/>
          <c:order val="1"/>
          <c:tx>
            <c:v>Наименьшее среднее по группе</c:v>
          </c:tx>
          <c:spPr>
            <a:solidFill>
              <a:srgbClr val="E85F2E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'Результаты'!$B$120:$B$124</c:f>
              <c:strCache>
                <c:ptCount val="5"/>
                <c:pt idx="0">
                  <c:v>Объем продаж</c:v>
                </c:pt>
                <c:pt idx="1">
                  <c:v>Цена</c:v>
                </c:pt>
                <c:pt idx="2">
                  <c:v>Переменные затраты</c:v>
                </c:pt>
                <c:pt idx="3">
                  <c:v>Инвестиции</c:v>
                </c:pt>
                <c:pt idx="4">
                  <c:v>Постоянные затраты</c:v>
                </c:pt>
              </c:strCache>
            </c:strRef>
          </c:cat>
          <c:val>
            <c:numRef>
              <c:f>'Результаты'!$G$120:$G$124</c:f>
              <c:numCache>
                <c:formatCode>#,##0.0_);\(#,##0.0\);"–"_)</c:formatCode>
                <c:ptCount val="5"/>
                <c:pt idx="0">
                  <c:v>-5.8953871084451093</c:v>
                </c:pt>
                <c:pt idx="1">
                  <c:v>-5.3142746446637341</c:v>
                </c:pt>
                <c:pt idx="2">
                  <c:v>-3.8372751780699641</c:v>
                </c:pt>
                <c:pt idx="3">
                  <c:v>-3.1054656598590777</c:v>
                </c:pt>
                <c:pt idx="4">
                  <c:v>-2.1609340580775509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8D-4BC5-8D3A-50242B924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10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numFmt formatCode="#,##0.0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376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27</xdr:row>
      <xdr:rowOff>0</xdr:rowOff>
    </xdr:from>
    <xdr:ext cx="6263999" cy="2664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8</xdr:col>
      <xdr:colOff>0</xdr:colOff>
      <xdr:row>43</xdr:row>
      <xdr:rowOff>0</xdr:rowOff>
    </xdr:from>
    <xdr:ext cx="6263999" cy="216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74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26.25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26.25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70.05" customHeight="1" x14ac:dyDescent="0.45">
      <c r="B16" s="86" t="s">
        <v>20</v>
      </c>
      <c r="C16" s="85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26.25" x14ac:dyDescent="0.45">
      <c r="B28" s="9" t="s">
        <v>23</v>
      </c>
      <c r="C28" s="10" t="s">
        <v>24</v>
      </c>
    </row>
    <row r="29" spans="2:3" ht="39.4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x14ac:dyDescent="0.45">
      <c r="B54" s="9" t="s">
        <v>63</v>
      </c>
      <c r="C54" s="10" t="s">
        <v>64</v>
      </c>
    </row>
    <row r="55" spans="2:3" ht="12" customHeight="1" x14ac:dyDescent="0.45"/>
    <row r="56" spans="2:3" ht="22.05" customHeight="1" x14ac:dyDescent="0.5">
      <c r="B56" s="7" t="s">
        <v>65</v>
      </c>
      <c r="C56" s="8"/>
    </row>
    <row r="57" spans="2:3" x14ac:dyDescent="0.45">
      <c r="B57" s="9" t="s">
        <v>66</v>
      </c>
      <c r="C57" s="10" t="s">
        <v>67</v>
      </c>
    </row>
    <row r="58" spans="2:3" x14ac:dyDescent="0.45">
      <c r="B58" s="9" t="s">
        <v>68</v>
      </c>
      <c r="C58" s="10" t="s">
        <v>69</v>
      </c>
    </row>
    <row r="59" spans="2:3" x14ac:dyDescent="0.45">
      <c r="B59" s="9" t="s">
        <v>70</v>
      </c>
      <c r="C59" s="10" t="s">
        <v>71</v>
      </c>
    </row>
    <row r="60" spans="2:3" x14ac:dyDescent="0.45">
      <c r="B60" s="9" t="s">
        <v>72</v>
      </c>
      <c r="C60" s="10" t="s">
        <v>73</v>
      </c>
    </row>
    <row r="61" spans="2:3" ht="12" customHeight="1" x14ac:dyDescent="0.45"/>
    <row r="62" spans="2:3" ht="22.05" customHeight="1" x14ac:dyDescent="0.5">
      <c r="B62" s="7" t="s">
        <v>74</v>
      </c>
      <c r="C62" s="8"/>
    </row>
    <row r="63" spans="2:3" x14ac:dyDescent="0.45">
      <c r="B63" s="20" t="s">
        <v>75</v>
      </c>
      <c r="C63" s="10" t="s">
        <v>76</v>
      </c>
    </row>
    <row r="64" spans="2:3" x14ac:dyDescent="0.45">
      <c r="B64" s="20" t="s">
        <v>77</v>
      </c>
      <c r="C64" s="10" t="s">
        <v>78</v>
      </c>
    </row>
    <row r="65" spans="2:3" x14ac:dyDescent="0.45">
      <c r="B65" s="20" t="s">
        <v>79</v>
      </c>
      <c r="C65" s="10" t="s">
        <v>80</v>
      </c>
    </row>
    <row r="66" spans="2:3" x14ac:dyDescent="0.45">
      <c r="B66" s="20" t="s">
        <v>81</v>
      </c>
      <c r="C66" s="10" t="s">
        <v>82</v>
      </c>
    </row>
    <row r="67" spans="2:3" ht="39.4" x14ac:dyDescent="0.45">
      <c r="B67" s="20" t="s">
        <v>83</v>
      </c>
      <c r="C67" s="10" t="s">
        <v>84</v>
      </c>
    </row>
    <row r="68" spans="2:3" x14ac:dyDescent="0.45">
      <c r="B68" s="20" t="s">
        <v>85</v>
      </c>
      <c r="C68" s="10" t="s">
        <v>86</v>
      </c>
    </row>
    <row r="69" spans="2:3" ht="12" customHeight="1" x14ac:dyDescent="0.45"/>
    <row r="70" spans="2:3" ht="22.05" customHeight="1" x14ac:dyDescent="0.5">
      <c r="B70" s="7" t="s">
        <v>87</v>
      </c>
      <c r="C70" s="8"/>
    </row>
    <row r="71" spans="2:3" x14ac:dyDescent="0.45">
      <c r="B71" s="9" t="s">
        <v>88</v>
      </c>
      <c r="C71" s="10" t="s">
        <v>89</v>
      </c>
    </row>
    <row r="72" spans="2:3" x14ac:dyDescent="0.45">
      <c r="B72" s="9" t="s">
        <v>90</v>
      </c>
      <c r="C72" s="10" t="s">
        <v>91</v>
      </c>
    </row>
    <row r="73" spans="2:3" ht="16.05" customHeight="1" x14ac:dyDescent="0.45"/>
    <row r="74" spans="2:3" x14ac:dyDescent="0.45">
      <c r="B74" s="84" t="s">
        <v>92</v>
      </c>
      <c r="C74" s="85"/>
    </row>
  </sheetData>
  <mergeCells count="2">
    <mergeCell ref="B74:C74"/>
    <mergeCell ref="B16:C16"/>
  </mergeCells>
  <hyperlinks>
    <hyperlink ref="D4" location="'Исходные данные'!A1" display="Далее:  Исходные данные  ▸" xr:uid="{00000000-0004-0000-0000-000000000000}"/>
    <hyperlink ref="B39" location="'Исходные данные'!A1" display="Исходные данные" xr:uid="{00000000-0004-0000-0000-000001000000}"/>
    <hyperlink ref="B40" location="'Денежный поток'!A1" display="Денежный поток" xr:uid="{00000000-0004-0000-0000-000002000000}"/>
    <hyperlink ref="B41" location="'Результаты'!A1" display="Результаты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33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93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94</v>
      </c>
      <c r="C4" s="5"/>
      <c r="D4" s="5"/>
      <c r="E4" s="5"/>
      <c r="F4" s="5"/>
      <c r="G4" s="5"/>
      <c r="H4" s="5"/>
      <c r="I4" s="5"/>
      <c r="J4" s="6" t="s">
        <v>95</v>
      </c>
    </row>
    <row r="5" spans="1:10" ht="8" customHeight="1" x14ac:dyDescent="0.45"/>
    <row r="6" spans="1:10" ht="30" customHeight="1" x14ac:dyDescent="0.45">
      <c r="B6" s="87" t="s">
        <v>96</v>
      </c>
      <c r="C6" s="85"/>
      <c r="D6" s="85"/>
      <c r="E6" s="85"/>
      <c r="F6" s="85"/>
      <c r="G6" s="85"/>
      <c r="H6" s="85"/>
      <c r="I6" s="85"/>
      <c r="J6" s="85"/>
    </row>
    <row r="7" spans="1:10" ht="6" customHeight="1" x14ac:dyDescent="0.45"/>
    <row r="8" spans="1:10" ht="22.05" customHeight="1" x14ac:dyDescent="0.5">
      <c r="B8" s="7" t="s">
        <v>97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98</v>
      </c>
    </row>
    <row r="10" spans="1:10" ht="18" customHeight="1" x14ac:dyDescent="0.45">
      <c r="B10" s="23" t="s">
        <v>99</v>
      </c>
      <c r="C10" s="23" t="s">
        <v>100</v>
      </c>
      <c r="D10" s="24" t="s">
        <v>101</v>
      </c>
      <c r="E10" s="23" t="s">
        <v>102</v>
      </c>
      <c r="F10" s="24" t="s">
        <v>103</v>
      </c>
      <c r="G10" s="24" t="s">
        <v>104</v>
      </c>
      <c r="H10" s="24" t="s">
        <v>105</v>
      </c>
      <c r="I10" s="24" t="s">
        <v>106</v>
      </c>
      <c r="J10" s="23" t="s">
        <v>107</v>
      </c>
    </row>
    <row r="11" spans="1:10" x14ac:dyDescent="0.45">
      <c r="B11" s="25" t="s">
        <v>108</v>
      </c>
      <c r="C11" s="26" t="s">
        <v>109</v>
      </c>
      <c r="D11" s="27" cm="1">
        <f t="array" aca="1" ref="D11" ca="1">_xll.VoseInput("Инвестиции","млн долл.")+_xll.VosePERT(F11,G11,H11)</f>
        <v>41.221356799115718</v>
      </c>
      <c r="E11" s="26" t="s">
        <v>110</v>
      </c>
      <c r="F11" s="28">
        <v>36</v>
      </c>
      <c r="G11" s="28">
        <v>40</v>
      </c>
      <c r="H11" s="28">
        <v>46</v>
      </c>
      <c r="I11" s="29" cm="1">
        <f t="array" ref="I11">IF(AND(F11&lt;=G11,G11&lt;=H11,F11&lt;H11),_xll.VoseMean(_xll.VosePERTObject(F11,G11,H11)),"✗ диапазон")</f>
        <v>40.333333333333336</v>
      </c>
      <c r="J11" s="30" t="s">
        <v>111</v>
      </c>
    </row>
    <row r="12" spans="1:10" x14ac:dyDescent="0.45">
      <c r="B12" s="25" t="s">
        <v>112</v>
      </c>
      <c r="C12" s="26"/>
      <c r="D12" s="31">
        <v>0.25</v>
      </c>
      <c r="E12" s="26" t="s">
        <v>113</v>
      </c>
      <c r="F12" s="32"/>
      <c r="G12" s="32"/>
      <c r="H12" s="32"/>
      <c r="I12" s="32"/>
      <c r="J12" s="30" t="s">
        <v>114</v>
      </c>
    </row>
    <row r="13" spans="1:10" x14ac:dyDescent="0.45">
      <c r="B13" s="25" t="s">
        <v>115</v>
      </c>
      <c r="C13" s="26" t="s">
        <v>116</v>
      </c>
      <c r="D13" s="33">
        <v>10</v>
      </c>
      <c r="E13" s="26" t="s">
        <v>113</v>
      </c>
      <c r="F13" s="32"/>
      <c r="G13" s="32"/>
      <c r="H13" s="32"/>
      <c r="I13" s="32"/>
      <c r="J13" s="30" t="s">
        <v>117</v>
      </c>
    </row>
    <row r="14" spans="1:10" x14ac:dyDescent="0.45">
      <c r="B14" s="25" t="s">
        <v>118</v>
      </c>
      <c r="C14" s="26" t="s">
        <v>119</v>
      </c>
      <c r="D14" s="34">
        <v>0.09</v>
      </c>
      <c r="E14" s="26" t="s">
        <v>113</v>
      </c>
      <c r="F14" s="32"/>
      <c r="G14" s="32"/>
      <c r="H14" s="32"/>
      <c r="I14" s="32"/>
      <c r="J14" s="30" t="s">
        <v>120</v>
      </c>
    </row>
    <row r="15" spans="1:10" ht="8" customHeight="1" x14ac:dyDescent="0.45"/>
    <row r="16" spans="1:10" ht="22.05" customHeight="1" x14ac:dyDescent="0.5">
      <c r="B16" s="7" t="s">
        <v>121</v>
      </c>
      <c r="C16" s="8"/>
      <c r="D16" s="8"/>
      <c r="E16" s="8"/>
      <c r="F16" s="8"/>
      <c r="G16" s="8"/>
      <c r="H16" s="8"/>
      <c r="I16" s="8"/>
      <c r="J16" s="8"/>
    </row>
    <row r="17" spans="2:10" ht="18" customHeight="1" x14ac:dyDescent="0.45">
      <c r="B17" s="13" t="s">
        <v>122</v>
      </c>
    </row>
    <row r="18" spans="2:10" ht="18" customHeight="1" x14ac:dyDescent="0.45">
      <c r="B18" s="23" t="s">
        <v>99</v>
      </c>
      <c r="C18" s="23" t="s">
        <v>100</v>
      </c>
      <c r="D18" s="24" t="s">
        <v>101</v>
      </c>
      <c r="E18" s="23" t="s">
        <v>102</v>
      </c>
      <c r="F18" s="24" t="s">
        <v>103</v>
      </c>
      <c r="G18" s="24" t="s">
        <v>104</v>
      </c>
      <c r="H18" s="24" t="s">
        <v>105</v>
      </c>
      <c r="I18" s="24" t="s">
        <v>106</v>
      </c>
      <c r="J18" s="23" t="s">
        <v>107</v>
      </c>
    </row>
    <row r="19" spans="2:10" x14ac:dyDescent="0.45">
      <c r="B19" s="25" t="s">
        <v>123</v>
      </c>
      <c r="C19" s="26" t="s">
        <v>124</v>
      </c>
      <c r="D19" s="27" cm="1">
        <f t="array" aca="1" ref="D19" ca="1">_xll.VoseInput("Объем продаж","тыс. единиц в год")+_xll.VosePERT(F19,G19,H19)</f>
        <v>57.424549937225621</v>
      </c>
      <c r="E19" s="26" t="s">
        <v>110</v>
      </c>
      <c r="F19" s="28">
        <v>48</v>
      </c>
      <c r="G19" s="28">
        <v>60</v>
      </c>
      <c r="H19" s="28">
        <v>66</v>
      </c>
      <c r="I19" s="29" cm="1">
        <f t="array" ref="I19">IF(AND(F19&lt;=G19,G19&lt;=H19,F19&lt;H19),_xll.VoseMean(_xll.VosePERTObject(F19,G19,H19)),"✗ диапазон")</f>
        <v>59</v>
      </c>
      <c r="J19" s="30" t="s">
        <v>125</v>
      </c>
    </row>
    <row r="20" spans="2:10" x14ac:dyDescent="0.45">
      <c r="B20" s="25" t="s">
        <v>126</v>
      </c>
      <c r="C20" s="26" t="s">
        <v>127</v>
      </c>
      <c r="D20" s="35" cm="1">
        <f t="array" aca="1" ref="D20" ca="1">_xll.VoseInput("Цена","долл. за единицу")+_xll.VosePERT(F20,G20,H20)</f>
        <v>520.48734057437423</v>
      </c>
      <c r="E20" s="26" t="s">
        <v>110</v>
      </c>
      <c r="F20" s="33">
        <v>480</v>
      </c>
      <c r="G20" s="33">
        <v>520</v>
      </c>
      <c r="H20" s="33">
        <v>540</v>
      </c>
      <c r="I20" s="36" cm="1">
        <f t="array" ref="I20">IF(AND(F20&lt;=G20,G20&lt;=H20,F20&lt;H20),_xll.VoseMean(_xll.VosePERTObject(F20,G20,H20)),"✗ диапазон")</f>
        <v>516.66666666666663</v>
      </c>
      <c r="J20" s="30" t="s">
        <v>128</v>
      </c>
    </row>
    <row r="21" spans="2:10" ht="8" customHeight="1" x14ac:dyDescent="0.45"/>
    <row r="22" spans="2:10" ht="22.05" customHeight="1" x14ac:dyDescent="0.5">
      <c r="B22" s="7" t="s">
        <v>129</v>
      </c>
      <c r="C22" s="8"/>
      <c r="D22" s="8"/>
      <c r="E22" s="8"/>
      <c r="F22" s="8"/>
      <c r="G22" s="8"/>
      <c r="H22" s="8"/>
      <c r="I22" s="8"/>
      <c r="J22" s="8"/>
    </row>
    <row r="23" spans="2:10" ht="18" customHeight="1" x14ac:dyDescent="0.45">
      <c r="B23" s="13" t="s">
        <v>130</v>
      </c>
    </row>
    <row r="24" spans="2:10" ht="18" customHeight="1" x14ac:dyDescent="0.45">
      <c r="B24" s="23" t="s">
        <v>99</v>
      </c>
      <c r="C24" s="23" t="s">
        <v>100</v>
      </c>
      <c r="D24" s="24"/>
      <c r="E24" s="23" t="s">
        <v>102</v>
      </c>
      <c r="F24" s="24" t="s">
        <v>30</v>
      </c>
      <c r="G24" s="24" t="s">
        <v>32</v>
      </c>
      <c r="H24" s="24" t="s">
        <v>34</v>
      </c>
      <c r="I24" s="5"/>
      <c r="J24" s="23" t="s">
        <v>107</v>
      </c>
    </row>
    <row r="25" spans="2:10" x14ac:dyDescent="0.45">
      <c r="B25" s="25" t="s">
        <v>131</v>
      </c>
      <c r="C25" s="26" t="s">
        <v>132</v>
      </c>
      <c r="D25" s="32"/>
      <c r="E25" s="26" t="s">
        <v>133</v>
      </c>
      <c r="F25" s="37">
        <v>1</v>
      </c>
      <c r="G25" s="37">
        <v>2</v>
      </c>
      <c r="H25" s="37">
        <v>3</v>
      </c>
      <c r="I25" s="32"/>
      <c r="J25" s="30" t="s">
        <v>134</v>
      </c>
    </row>
    <row r="26" spans="2:10" x14ac:dyDescent="0.45">
      <c r="B26" s="38" t="s">
        <v>135</v>
      </c>
      <c r="C26" s="26" t="s">
        <v>136</v>
      </c>
      <c r="D26" s="32"/>
      <c r="E26" s="26" t="s">
        <v>113</v>
      </c>
      <c r="F26" s="31">
        <v>0.5</v>
      </c>
      <c r="G26" s="31">
        <v>0.8</v>
      </c>
      <c r="H26" s="31">
        <v>1</v>
      </c>
      <c r="I26" s="32"/>
      <c r="J26" s="30"/>
    </row>
    <row r="27" spans="2:10" ht="8" customHeight="1" x14ac:dyDescent="0.45"/>
    <row r="28" spans="2:10" ht="22.05" customHeight="1" x14ac:dyDescent="0.5">
      <c r="B28" s="7" t="s">
        <v>137</v>
      </c>
      <c r="C28" s="8"/>
      <c r="D28" s="8"/>
      <c r="E28" s="8"/>
      <c r="F28" s="8"/>
      <c r="G28" s="8"/>
      <c r="H28" s="8"/>
      <c r="I28" s="8"/>
      <c r="J28" s="8"/>
    </row>
    <row r="29" spans="2:10" ht="18" customHeight="1" x14ac:dyDescent="0.45">
      <c r="B29" s="13" t="s">
        <v>138</v>
      </c>
    </row>
    <row r="30" spans="2:10" ht="18" customHeight="1" x14ac:dyDescent="0.45">
      <c r="B30" s="23" t="s">
        <v>99</v>
      </c>
      <c r="C30" s="23" t="s">
        <v>100</v>
      </c>
      <c r="D30" s="24" t="s">
        <v>101</v>
      </c>
      <c r="E30" s="23" t="s">
        <v>102</v>
      </c>
      <c r="F30" s="24" t="s">
        <v>103</v>
      </c>
      <c r="G30" s="24" t="s">
        <v>104</v>
      </c>
      <c r="H30" s="24" t="s">
        <v>105</v>
      </c>
      <c r="I30" s="24" t="s">
        <v>106</v>
      </c>
      <c r="J30" s="23" t="s">
        <v>107</v>
      </c>
    </row>
    <row r="31" spans="2:10" x14ac:dyDescent="0.45">
      <c r="B31" s="25" t="s">
        <v>139</v>
      </c>
      <c r="C31" s="26" t="s">
        <v>127</v>
      </c>
      <c r="D31" s="35" cm="1">
        <f t="array" aca="1" ref="D31" ca="1">_xll.VoseInput("Переменные затраты","долл. за единицу")+_xll.VosePERT(F31,G31,H31)</f>
        <v>311.16695794069858</v>
      </c>
      <c r="E31" s="26" t="s">
        <v>110</v>
      </c>
      <c r="F31" s="33">
        <v>285</v>
      </c>
      <c r="G31" s="33">
        <v>300</v>
      </c>
      <c r="H31" s="33">
        <v>330</v>
      </c>
      <c r="I31" s="36" cm="1">
        <f t="array" ref="I31">IF(AND(F31&lt;=G31,G31&lt;=H31,F31&lt;H31),_xll.VoseMean(_xll.VosePERTObject(F31,G31,H31)),"✗ диапазон")</f>
        <v>302.5</v>
      </c>
      <c r="J31" s="30" t="s">
        <v>140</v>
      </c>
    </row>
    <row r="32" spans="2:10" x14ac:dyDescent="0.45">
      <c r="B32" s="25" t="s">
        <v>141</v>
      </c>
      <c r="C32" s="26" t="s">
        <v>142</v>
      </c>
      <c r="D32" s="39" cm="1">
        <f t="array" aca="1" ref="D32" ca="1">_xll.VoseInput("Постоянные затраты","млн долл. в год")+_xll.VosePERT(F32,G32,H32)</f>
        <v>3.9799801525584138</v>
      </c>
      <c r="E32" s="26" t="s">
        <v>110</v>
      </c>
      <c r="F32" s="40">
        <v>3.6</v>
      </c>
      <c r="G32" s="40">
        <v>4</v>
      </c>
      <c r="H32" s="40">
        <v>4.8</v>
      </c>
      <c r="I32" s="41" cm="1">
        <f t="array" ref="I32">IF(AND(F32&lt;=G32,G32&lt;=H32,F32&lt;H32),_xll.VoseMean(_xll.VosePERTObject(F32,G32,H32)),"✗ диапазон")</f>
        <v>4.0666666666666673</v>
      </c>
      <c r="J32" s="30" t="s">
        <v>143</v>
      </c>
    </row>
    <row r="33" ht="8" customHeight="1" x14ac:dyDescent="0.45"/>
  </sheetData>
  <mergeCells count="1">
    <mergeCell ref="B6:J6"/>
  </mergeCells>
  <conditionalFormatting sqref="I11">
    <cfRule type="expression" dxfId="10" priority="1">
      <formula>LEFT($I11,1)="✗"</formula>
    </cfRule>
  </conditionalFormatting>
  <conditionalFormatting sqref="I19:I20">
    <cfRule type="expression" dxfId="9" priority="2">
      <formula>LEFT($I19,1)="✗"</formula>
    </cfRule>
  </conditionalFormatting>
  <conditionalFormatting sqref="I31:I32">
    <cfRule type="expression" dxfId="8" priority="4">
      <formula>LEFT($I31,1)="✗"</formula>
    </cfRule>
  </conditionalFormatting>
  <dataValidations count="5">
    <dataValidation type="custom" showErrorMessage="1" errorTitle="Диапазон PERT" error="Мин. должно быть меньше макс., наиболее вероятное — между ними." sqref="F11:H11 F31:H32 F19:H20" xr:uid="{00000000-0002-0000-0100-000000000000}">
      <formula1>AND($F11&lt;=$G11,$G11&lt;=$H11,$F11&lt;$H11)</formula1>
    </dataValidation>
    <dataValidation type="decimal" showErrorMessage="1" errorTitle="Вероятность" error="Введите значение от 0% до 100%." sqref="D12 D14" xr:uid="{00000000-0002-0000-0100-000001000000}">
      <formula1>0</formula1>
      <formula2>1</formula2>
    </dataValidation>
    <dataValidation type="decimal" operator="greaterThan" showErrorMessage="1" errorTitle="Положительное значение" error="Введите значение больше нуля." sqref="D13" xr:uid="{00000000-0002-0000-0100-000002000000}">
      <formula1>0</formula1>
    </dataValidation>
    <dataValidation type="whole" showErrorMessage="1" errorTitle="Год" error="Введите целое число лет." sqref="F25:H25" xr:uid="{00000000-0002-0000-0100-000006000000}">
      <formula1>-100</formula1>
      <formula2>1000</formula2>
    </dataValidation>
    <dataValidation type="decimal" showErrorMessage="1" errorTitle="Доля" error="Введите значение от 0% до 100%." sqref="F26:H26" xr:uid="{00000000-0002-0000-0100-000007000000}">
      <formula1>0</formula1>
      <formula2>1</formula2>
    </dataValidation>
  </dataValidations>
  <hyperlinks>
    <hyperlink ref="B4" location="'Описание'!A1" display="◂  Описание" xr:uid="{00000000-0004-0000-0100-000000000000}"/>
    <hyperlink ref="J4" location="'Денежный поток'!A1" display="Далее:  Денежный поток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P52"/>
  <sheetViews>
    <sheetView showGridLines="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2" customWidth="1"/>
    <col min="2" max="2" width="44" customWidth="1"/>
    <col min="3" max="3" width="11" customWidth="1"/>
    <col min="4" max="4" width="10" customWidth="1"/>
    <col min="5" max="5" width="3" customWidth="1"/>
    <col min="6" max="16" width="8.3984375" customWidth="1"/>
  </cols>
  <sheetData>
    <row r="1" spans="1:16" ht="6" customHeight="1" x14ac:dyDescent="0.45"/>
    <row r="2" spans="1:16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3" t="s">
        <v>1</v>
      </c>
    </row>
    <row r="3" spans="1:16" ht="20" customHeight="1" x14ac:dyDescent="0.45">
      <c r="A3" s="1"/>
      <c r="B3" s="4" t="s">
        <v>144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20" customHeight="1" x14ac:dyDescent="0.45">
      <c r="A4" s="5"/>
      <c r="B4" s="22" t="s">
        <v>145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6" t="s">
        <v>146</v>
      </c>
    </row>
    <row r="5" spans="1:16" ht="8" customHeight="1" x14ac:dyDescent="0.45"/>
    <row r="6" spans="1:16" ht="16.05" customHeight="1" x14ac:dyDescent="0.45">
      <c r="B6" s="42" t="s">
        <v>147</v>
      </c>
      <c r="C6" s="43"/>
      <c r="D6" s="44" t="s">
        <v>148</v>
      </c>
      <c r="E6" s="45"/>
      <c r="F6" s="46">
        <v>0</v>
      </c>
      <c r="G6" s="46">
        <f t="shared" ref="G6:P6" si="0">F6+1</f>
        <v>1</v>
      </c>
      <c r="H6" s="46">
        <f t="shared" si="0"/>
        <v>2</v>
      </c>
      <c r="I6" s="46">
        <f t="shared" si="0"/>
        <v>3</v>
      </c>
      <c r="J6" s="46">
        <f t="shared" si="0"/>
        <v>4</v>
      </c>
      <c r="K6" s="46">
        <f t="shared" si="0"/>
        <v>5</v>
      </c>
      <c r="L6" s="46">
        <f t="shared" si="0"/>
        <v>6</v>
      </c>
      <c r="M6" s="46">
        <f t="shared" si="0"/>
        <v>7</v>
      </c>
      <c r="N6" s="46">
        <f t="shared" si="0"/>
        <v>8</v>
      </c>
      <c r="O6" s="46">
        <f t="shared" si="0"/>
        <v>9</v>
      </c>
      <c r="P6" s="46">
        <f t="shared" si="0"/>
        <v>10</v>
      </c>
    </row>
    <row r="7" spans="1:16" ht="16.05" customHeight="1" x14ac:dyDescent="0.4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ht="6" customHeight="1" x14ac:dyDescent="0.45"/>
    <row r="9" spans="1:16" ht="22.05" customHeight="1" x14ac:dyDescent="0.5">
      <c r="B9" s="7" t="s">
        <v>149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pans="1:16" ht="18" customHeight="1" x14ac:dyDescent="0.45">
      <c r="B10" s="47" t="s">
        <v>150</v>
      </c>
      <c r="C10" s="47" t="s">
        <v>100</v>
      </c>
      <c r="D10" s="48" t="s">
        <v>151</v>
      </c>
      <c r="E10" s="5"/>
      <c r="F10" s="47" t="s">
        <v>152</v>
      </c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x14ac:dyDescent="0.45">
      <c r="B11" s="25" t="s">
        <v>153</v>
      </c>
      <c r="C11" s="26" t="s">
        <v>109</v>
      </c>
      <c r="D11" s="41">
        <f ca="1">Capex/DepLife</f>
        <v>4.1221356799115716</v>
      </c>
      <c r="E11" s="32"/>
      <c r="F11" s="26" t="s">
        <v>154</v>
      </c>
      <c r="G11" s="32"/>
      <c r="H11" s="32"/>
      <c r="I11" s="32"/>
      <c r="J11" s="32"/>
      <c r="K11" s="32"/>
      <c r="L11" s="32"/>
      <c r="M11" s="32"/>
      <c r="N11" s="32"/>
      <c r="O11" s="32"/>
      <c r="P11" s="32"/>
    </row>
    <row r="12" spans="1:16" ht="8" customHeight="1" x14ac:dyDescent="0.45"/>
    <row r="13" spans="1:16" ht="22.05" customHeight="1" x14ac:dyDescent="0.5">
      <c r="B13" s="7" t="s">
        <v>155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6" ht="18" customHeight="1" x14ac:dyDescent="0.45">
      <c r="B14" s="13" t="s">
        <v>156</v>
      </c>
    </row>
    <row r="15" spans="1:16" x14ac:dyDescent="0.45">
      <c r="B15" s="25" t="s">
        <v>157</v>
      </c>
      <c r="C15" s="26" t="s">
        <v>158</v>
      </c>
      <c r="D15" s="32"/>
      <c r="E15" s="32"/>
      <c r="F15" s="49">
        <f t="shared" ref="F15:P15" si="1">IF(F$6=0,0,LOOKUP(F$6,Ramp_Year,Ramp_Share))</f>
        <v>0</v>
      </c>
      <c r="G15" s="49">
        <f t="shared" si="1"/>
        <v>0.5</v>
      </c>
      <c r="H15" s="49">
        <f t="shared" si="1"/>
        <v>0.8</v>
      </c>
      <c r="I15" s="49">
        <f t="shared" si="1"/>
        <v>1</v>
      </c>
      <c r="J15" s="49">
        <f t="shared" si="1"/>
        <v>1</v>
      </c>
      <c r="K15" s="49">
        <f t="shared" si="1"/>
        <v>1</v>
      </c>
      <c r="L15" s="49">
        <f t="shared" si="1"/>
        <v>1</v>
      </c>
      <c r="M15" s="49">
        <f t="shared" si="1"/>
        <v>1</v>
      </c>
      <c r="N15" s="49">
        <f t="shared" si="1"/>
        <v>1</v>
      </c>
      <c r="O15" s="49">
        <f t="shared" si="1"/>
        <v>1</v>
      </c>
      <c r="P15" s="49">
        <f t="shared" si="1"/>
        <v>1</v>
      </c>
    </row>
    <row r="16" spans="1:16" x14ac:dyDescent="0.45">
      <c r="B16" s="25" t="s">
        <v>159</v>
      </c>
      <c r="C16" s="26" t="s">
        <v>160</v>
      </c>
      <c r="D16" s="50">
        <f t="shared" ref="D16:D24" ca="1" si="2">SUM(F16:P16)</f>
        <v>534.0483144161982</v>
      </c>
      <c r="E16" s="32"/>
      <c r="F16" s="29">
        <f t="shared" ref="F16:P16" ca="1" si="3">Volume*F15</f>
        <v>0</v>
      </c>
      <c r="G16" s="29">
        <f t="shared" ca="1" si="3"/>
        <v>28.71227496861281</v>
      </c>
      <c r="H16" s="29">
        <f t="shared" ca="1" si="3"/>
        <v>45.939639949780499</v>
      </c>
      <c r="I16" s="29">
        <f t="shared" ca="1" si="3"/>
        <v>57.424549937225621</v>
      </c>
      <c r="J16" s="29">
        <f t="shared" ca="1" si="3"/>
        <v>57.424549937225621</v>
      </c>
      <c r="K16" s="29">
        <f t="shared" ca="1" si="3"/>
        <v>57.424549937225621</v>
      </c>
      <c r="L16" s="29">
        <f t="shared" ca="1" si="3"/>
        <v>57.424549937225621</v>
      </c>
      <c r="M16" s="29">
        <f t="shared" ca="1" si="3"/>
        <v>57.424549937225621</v>
      </c>
      <c r="N16" s="29">
        <f t="shared" ca="1" si="3"/>
        <v>57.424549937225621</v>
      </c>
      <c r="O16" s="29">
        <f t="shared" ca="1" si="3"/>
        <v>57.424549937225621</v>
      </c>
      <c r="P16" s="29">
        <f t="shared" ca="1" si="3"/>
        <v>57.424549937225621</v>
      </c>
    </row>
    <row r="17" spans="2:16" x14ac:dyDescent="0.45">
      <c r="B17" s="25" t="s">
        <v>161</v>
      </c>
      <c r="C17" s="26" t="s">
        <v>109</v>
      </c>
      <c r="D17" s="51">
        <f t="shared" ca="1" si="2"/>
        <v>277.96538690871427</v>
      </c>
      <c r="E17" s="32"/>
      <c r="F17" s="41">
        <f t="shared" ref="F17:P17" ca="1" si="4">F16*Price/1000</f>
        <v>0</v>
      </c>
      <c r="G17" s="41">
        <f t="shared" ca="1" si="4"/>
        <v>14.944375640253456</v>
      </c>
      <c r="H17" s="41">
        <f t="shared" ca="1" si="4"/>
        <v>23.911001024405529</v>
      </c>
      <c r="I17" s="41">
        <f t="shared" ca="1" si="4"/>
        <v>29.888751280506913</v>
      </c>
      <c r="J17" s="41">
        <f t="shared" ca="1" si="4"/>
        <v>29.888751280506913</v>
      </c>
      <c r="K17" s="41">
        <f t="shared" ca="1" si="4"/>
        <v>29.888751280506913</v>
      </c>
      <c r="L17" s="41">
        <f t="shared" ca="1" si="4"/>
        <v>29.888751280506913</v>
      </c>
      <c r="M17" s="41">
        <f t="shared" ca="1" si="4"/>
        <v>29.888751280506913</v>
      </c>
      <c r="N17" s="41">
        <f t="shared" ca="1" si="4"/>
        <v>29.888751280506913</v>
      </c>
      <c r="O17" s="41">
        <f t="shared" ca="1" si="4"/>
        <v>29.888751280506913</v>
      </c>
      <c r="P17" s="41">
        <f t="shared" ca="1" si="4"/>
        <v>29.888751280506913</v>
      </c>
    </row>
    <row r="18" spans="2:16" x14ac:dyDescent="0.45">
      <c r="B18" s="25" t="s">
        <v>162</v>
      </c>
      <c r="C18" s="26" t="s">
        <v>109</v>
      </c>
      <c r="D18" s="51">
        <f t="shared" ca="1" si="2"/>
        <v>166.17818939024616</v>
      </c>
      <c r="E18" s="32"/>
      <c r="F18" s="41">
        <f t="shared" ref="F18:P18" ca="1" si="5">F16*VarCost/1000</f>
        <v>0</v>
      </c>
      <c r="G18" s="41">
        <f t="shared" ca="1" si="5"/>
        <v>8.9343112575401147</v>
      </c>
      <c r="H18" s="41">
        <f t="shared" ca="1" si="5"/>
        <v>14.294898012064184</v>
      </c>
      <c r="I18" s="41">
        <f t="shared" ca="1" si="5"/>
        <v>17.868622515080229</v>
      </c>
      <c r="J18" s="41">
        <f t="shared" ca="1" si="5"/>
        <v>17.868622515080229</v>
      </c>
      <c r="K18" s="41">
        <f t="shared" ca="1" si="5"/>
        <v>17.868622515080229</v>
      </c>
      <c r="L18" s="41">
        <f t="shared" ca="1" si="5"/>
        <v>17.868622515080229</v>
      </c>
      <c r="M18" s="41">
        <f t="shared" ca="1" si="5"/>
        <v>17.868622515080229</v>
      </c>
      <c r="N18" s="41">
        <f t="shared" ca="1" si="5"/>
        <v>17.868622515080229</v>
      </c>
      <c r="O18" s="41">
        <f t="shared" ca="1" si="5"/>
        <v>17.868622515080229</v>
      </c>
      <c r="P18" s="41">
        <f t="shared" ca="1" si="5"/>
        <v>17.868622515080229</v>
      </c>
    </row>
    <row r="19" spans="2:16" x14ac:dyDescent="0.45">
      <c r="B19" s="25" t="s">
        <v>141</v>
      </c>
      <c r="C19" s="26" t="s">
        <v>109</v>
      </c>
      <c r="D19" s="51">
        <f t="shared" ca="1" si="2"/>
        <v>39.799801525584137</v>
      </c>
      <c r="E19" s="32"/>
      <c r="F19" s="41">
        <f t="shared" ref="F19:P19" si="6">IF(F$6&gt;=1,FixedCost,0)</f>
        <v>0</v>
      </c>
      <c r="G19" s="41">
        <f t="shared" ca="1" si="6"/>
        <v>3.9799801525584138</v>
      </c>
      <c r="H19" s="41">
        <f t="shared" ca="1" si="6"/>
        <v>3.9799801525584138</v>
      </c>
      <c r="I19" s="41">
        <f t="shared" ca="1" si="6"/>
        <v>3.9799801525584138</v>
      </c>
      <c r="J19" s="41">
        <f t="shared" ca="1" si="6"/>
        <v>3.9799801525584138</v>
      </c>
      <c r="K19" s="41">
        <f t="shared" ca="1" si="6"/>
        <v>3.9799801525584138</v>
      </c>
      <c r="L19" s="41">
        <f t="shared" ca="1" si="6"/>
        <v>3.9799801525584138</v>
      </c>
      <c r="M19" s="41">
        <f t="shared" ca="1" si="6"/>
        <v>3.9799801525584138</v>
      </c>
      <c r="N19" s="41">
        <f t="shared" ca="1" si="6"/>
        <v>3.9799801525584138</v>
      </c>
      <c r="O19" s="41">
        <f t="shared" ca="1" si="6"/>
        <v>3.9799801525584138</v>
      </c>
      <c r="P19" s="41">
        <f t="shared" ca="1" si="6"/>
        <v>3.9799801525584138</v>
      </c>
    </row>
    <row r="20" spans="2:16" x14ac:dyDescent="0.45">
      <c r="B20" s="52" t="s">
        <v>163</v>
      </c>
      <c r="C20" s="26" t="s">
        <v>109</v>
      </c>
      <c r="D20" s="51">
        <f t="shared" ca="1" si="2"/>
        <v>71.987395992884032</v>
      </c>
      <c r="E20" s="32"/>
      <c r="F20" s="51">
        <f t="shared" ref="F20:P20" ca="1" si="7">F17-F18-F19</f>
        <v>0</v>
      </c>
      <c r="G20" s="51">
        <f t="shared" ca="1" si="7"/>
        <v>2.030084230154928</v>
      </c>
      <c r="H20" s="51">
        <f t="shared" ca="1" si="7"/>
        <v>5.6361228597829314</v>
      </c>
      <c r="I20" s="51">
        <f t="shared" ca="1" si="7"/>
        <v>8.0401486128682702</v>
      </c>
      <c r="J20" s="51">
        <f t="shared" ca="1" si="7"/>
        <v>8.0401486128682702</v>
      </c>
      <c r="K20" s="51">
        <f t="shared" ca="1" si="7"/>
        <v>8.0401486128682702</v>
      </c>
      <c r="L20" s="51">
        <f t="shared" ca="1" si="7"/>
        <v>8.0401486128682702</v>
      </c>
      <c r="M20" s="51">
        <f t="shared" ca="1" si="7"/>
        <v>8.0401486128682702</v>
      </c>
      <c r="N20" s="51">
        <f t="shared" ca="1" si="7"/>
        <v>8.0401486128682702</v>
      </c>
      <c r="O20" s="51">
        <f t="shared" ca="1" si="7"/>
        <v>8.0401486128682702</v>
      </c>
      <c r="P20" s="51">
        <f t="shared" ca="1" si="7"/>
        <v>8.0401486128682702</v>
      </c>
    </row>
    <row r="21" spans="2:16" x14ac:dyDescent="0.45">
      <c r="B21" s="25" t="s">
        <v>164</v>
      </c>
      <c r="C21" s="26" t="s">
        <v>109</v>
      </c>
      <c r="D21" s="51">
        <f t="shared" ca="1" si="2"/>
        <v>41.221356799115718</v>
      </c>
      <c r="E21" s="32"/>
      <c r="F21" s="41">
        <f t="shared" ref="F21:P21" si="8">IF(AND(F$6&gt;=1,F$6&lt;=DepLife),Depreciation,0)</f>
        <v>0</v>
      </c>
      <c r="G21" s="41">
        <f t="shared" ca="1" si="8"/>
        <v>4.1221356799115716</v>
      </c>
      <c r="H21" s="41">
        <f t="shared" ca="1" si="8"/>
        <v>4.1221356799115716</v>
      </c>
      <c r="I21" s="41">
        <f t="shared" ca="1" si="8"/>
        <v>4.1221356799115716</v>
      </c>
      <c r="J21" s="41">
        <f t="shared" ca="1" si="8"/>
        <v>4.1221356799115716</v>
      </c>
      <c r="K21" s="41">
        <f t="shared" ca="1" si="8"/>
        <v>4.1221356799115716</v>
      </c>
      <c r="L21" s="41">
        <f t="shared" ca="1" si="8"/>
        <v>4.1221356799115716</v>
      </c>
      <c r="M21" s="41">
        <f t="shared" ca="1" si="8"/>
        <v>4.1221356799115716</v>
      </c>
      <c r="N21" s="41">
        <f t="shared" ca="1" si="8"/>
        <v>4.1221356799115716</v>
      </c>
      <c r="O21" s="41">
        <f t="shared" ca="1" si="8"/>
        <v>4.1221356799115716</v>
      </c>
      <c r="P21" s="41">
        <f t="shared" ca="1" si="8"/>
        <v>4.1221356799115716</v>
      </c>
    </row>
    <row r="22" spans="2:16" x14ac:dyDescent="0.45">
      <c r="B22" s="25" t="s">
        <v>68</v>
      </c>
      <c r="C22" s="26" t="s">
        <v>109</v>
      </c>
      <c r="D22" s="51">
        <f t="shared" ca="1" si="2"/>
        <v>7.6915097984420777</v>
      </c>
      <c r="E22" s="32"/>
      <c r="F22" s="41">
        <f t="shared" ref="F22:P22" ca="1" si="9">TaxRate*(F20-F21)</f>
        <v>0</v>
      </c>
      <c r="G22" s="41">
        <f t="shared" ca="1" si="9"/>
        <v>-0.5230128624391609</v>
      </c>
      <c r="H22" s="41">
        <f t="shared" ca="1" si="9"/>
        <v>0.37849679496783994</v>
      </c>
      <c r="I22" s="41">
        <f t="shared" ca="1" si="9"/>
        <v>0.97950323323917465</v>
      </c>
      <c r="J22" s="41">
        <f t="shared" ca="1" si="9"/>
        <v>0.97950323323917465</v>
      </c>
      <c r="K22" s="41">
        <f t="shared" ca="1" si="9"/>
        <v>0.97950323323917465</v>
      </c>
      <c r="L22" s="41">
        <f t="shared" ca="1" si="9"/>
        <v>0.97950323323917465</v>
      </c>
      <c r="M22" s="41">
        <f t="shared" ca="1" si="9"/>
        <v>0.97950323323917465</v>
      </c>
      <c r="N22" s="41">
        <f t="shared" ca="1" si="9"/>
        <v>0.97950323323917465</v>
      </c>
      <c r="O22" s="41">
        <f t="shared" ca="1" si="9"/>
        <v>0.97950323323917465</v>
      </c>
      <c r="P22" s="41">
        <f t="shared" ca="1" si="9"/>
        <v>0.97950323323917465</v>
      </c>
    </row>
    <row r="23" spans="2:16" x14ac:dyDescent="0.45">
      <c r="B23" s="25" t="s">
        <v>165</v>
      </c>
      <c r="C23" s="26" t="s">
        <v>109</v>
      </c>
      <c r="D23" s="51">
        <f t="shared" ca="1" si="2"/>
        <v>41.221356799115718</v>
      </c>
      <c r="E23" s="32"/>
      <c r="F23" s="41">
        <f t="shared" ref="F23:P23" ca="1" si="10">IF(F$6=0,Capex,0)</f>
        <v>41.221356799115718</v>
      </c>
      <c r="G23" s="41">
        <f t="shared" si="10"/>
        <v>0</v>
      </c>
      <c r="H23" s="41">
        <f t="shared" si="10"/>
        <v>0</v>
      </c>
      <c r="I23" s="41">
        <f t="shared" si="10"/>
        <v>0</v>
      </c>
      <c r="J23" s="41">
        <f t="shared" si="10"/>
        <v>0</v>
      </c>
      <c r="K23" s="41">
        <f t="shared" si="10"/>
        <v>0</v>
      </c>
      <c r="L23" s="41">
        <f t="shared" si="10"/>
        <v>0</v>
      </c>
      <c r="M23" s="41">
        <f t="shared" si="10"/>
        <v>0</v>
      </c>
      <c r="N23" s="41">
        <f t="shared" si="10"/>
        <v>0</v>
      </c>
      <c r="O23" s="41">
        <f t="shared" si="10"/>
        <v>0</v>
      </c>
      <c r="P23" s="41">
        <f t="shared" si="10"/>
        <v>0</v>
      </c>
    </row>
    <row r="24" spans="2:16" x14ac:dyDescent="0.45">
      <c r="B24" s="53" t="s">
        <v>166</v>
      </c>
      <c r="C24" s="54" t="s">
        <v>109</v>
      </c>
      <c r="D24" s="55">
        <f t="shared" ca="1" si="2"/>
        <v>23.074529395326216</v>
      </c>
      <c r="E24" s="56"/>
      <c r="F24" s="55">
        <f t="shared" ref="F24:P24" ca="1" si="11">F20-F22-F23</f>
        <v>-41.221356799115718</v>
      </c>
      <c r="G24" s="55">
        <f t="shared" ca="1" si="11"/>
        <v>2.553097092594089</v>
      </c>
      <c r="H24" s="55">
        <f t="shared" ca="1" si="11"/>
        <v>5.2576260648150912</v>
      </c>
      <c r="I24" s="55">
        <f t="shared" ca="1" si="11"/>
        <v>7.0606453796290953</v>
      </c>
      <c r="J24" s="55">
        <f t="shared" ca="1" si="11"/>
        <v>7.0606453796290953</v>
      </c>
      <c r="K24" s="55">
        <f t="shared" ca="1" si="11"/>
        <v>7.0606453796290953</v>
      </c>
      <c r="L24" s="55">
        <f t="shared" ca="1" si="11"/>
        <v>7.0606453796290953</v>
      </c>
      <c r="M24" s="55">
        <f t="shared" ca="1" si="11"/>
        <v>7.0606453796290953</v>
      </c>
      <c r="N24" s="55">
        <f t="shared" ca="1" si="11"/>
        <v>7.0606453796290953</v>
      </c>
      <c r="O24" s="55">
        <f t="shared" ca="1" si="11"/>
        <v>7.0606453796290953</v>
      </c>
      <c r="P24" s="55">
        <f t="shared" ca="1" si="11"/>
        <v>7.0606453796290953</v>
      </c>
    </row>
    <row r="25" spans="2:16" x14ac:dyDescent="0.45">
      <c r="B25" s="25" t="s">
        <v>167</v>
      </c>
      <c r="C25" s="26"/>
      <c r="D25" s="32"/>
      <c r="E25" s="32"/>
      <c r="F25" s="57">
        <f t="shared" ref="F25:P25" si="12">1/(1+WACC)^F$6</f>
        <v>1</v>
      </c>
      <c r="G25" s="57">
        <f t="shared" si="12"/>
        <v>0.9174311926605504</v>
      </c>
      <c r="H25" s="57">
        <f t="shared" si="12"/>
        <v>0.84167999326655996</v>
      </c>
      <c r="I25" s="57">
        <f t="shared" si="12"/>
        <v>0.77218348006106419</v>
      </c>
      <c r="J25" s="57">
        <f t="shared" si="12"/>
        <v>0.7084252110651964</v>
      </c>
      <c r="K25" s="57">
        <f t="shared" si="12"/>
        <v>0.64993138629834524</v>
      </c>
      <c r="L25" s="57">
        <f t="shared" si="12"/>
        <v>0.5962673268792158</v>
      </c>
      <c r="M25" s="57">
        <f t="shared" si="12"/>
        <v>0.54703424484331731</v>
      </c>
      <c r="N25" s="57">
        <f t="shared" si="12"/>
        <v>0.50186627967276809</v>
      </c>
      <c r="O25" s="57">
        <f t="shared" si="12"/>
        <v>0.46042777951630098</v>
      </c>
      <c r="P25" s="57">
        <f t="shared" si="12"/>
        <v>0.42241080689568894</v>
      </c>
    </row>
    <row r="26" spans="2:16" x14ac:dyDescent="0.45">
      <c r="B26" s="25" t="s">
        <v>168</v>
      </c>
      <c r="C26" s="26" t="s">
        <v>109</v>
      </c>
      <c r="D26" s="51">
        <f ca="1">SUM(F26:P26)</f>
        <v>-1.5614822890879685</v>
      </c>
      <c r="E26" s="32"/>
      <c r="F26" s="41">
        <f t="shared" ref="F26:P26" ca="1" si="13">F24*F25</f>
        <v>-41.221356799115718</v>
      </c>
      <c r="G26" s="41">
        <f t="shared" ca="1" si="13"/>
        <v>2.3422909106367786</v>
      </c>
      <c r="H26" s="41">
        <f t="shared" ca="1" si="13"/>
        <v>4.4252386708316562</v>
      </c>
      <c r="I26" s="41">
        <f t="shared" ca="1" si="13"/>
        <v>5.4521137207190682</v>
      </c>
      <c r="J26" s="41">
        <f t="shared" ca="1" si="13"/>
        <v>5.0019391933202453</v>
      </c>
      <c r="K26" s="41">
        <f t="shared" ca="1" si="13"/>
        <v>4.5889350397433439</v>
      </c>
      <c r="L26" s="41">
        <f t="shared" ca="1" si="13"/>
        <v>4.2100321465535266</v>
      </c>
      <c r="M26" s="41">
        <f t="shared" ca="1" si="13"/>
        <v>3.8624148133518594</v>
      </c>
      <c r="N26" s="41">
        <f t="shared" ca="1" si="13"/>
        <v>3.5434998287631734</v>
      </c>
      <c r="O26" s="41">
        <f t="shared" ca="1" si="13"/>
        <v>3.2509172740946544</v>
      </c>
      <c r="P26" s="41">
        <f t="shared" ca="1" si="13"/>
        <v>2.982492912013444</v>
      </c>
    </row>
    <row r="27" spans="2:16" x14ac:dyDescent="0.45">
      <c r="B27" s="25" t="s">
        <v>169</v>
      </c>
      <c r="C27" s="26" t="s">
        <v>109</v>
      </c>
      <c r="D27" s="32"/>
      <c r="E27" s="32"/>
      <c r="F27" s="41">
        <f ca="1">F24</f>
        <v>-41.221356799115718</v>
      </c>
      <c r="G27" s="41">
        <f t="shared" ref="G27:P27" ca="1" si="14">F27+G24</f>
        <v>-38.668259706521631</v>
      </c>
      <c r="H27" s="41">
        <f t="shared" ca="1" si="14"/>
        <v>-33.410633641706539</v>
      </c>
      <c r="I27" s="41">
        <f t="shared" ca="1" si="14"/>
        <v>-26.349988262077446</v>
      </c>
      <c r="J27" s="41">
        <f t="shared" ca="1" si="14"/>
        <v>-19.289342882448352</v>
      </c>
      <c r="K27" s="41">
        <f t="shared" ca="1" si="14"/>
        <v>-12.228697502819257</v>
      </c>
      <c r="L27" s="41">
        <f t="shared" ca="1" si="14"/>
        <v>-5.1680521231901615</v>
      </c>
      <c r="M27" s="41">
        <f t="shared" ca="1" si="14"/>
        <v>1.8925932564389338</v>
      </c>
      <c r="N27" s="41">
        <f t="shared" ca="1" si="14"/>
        <v>8.9532386360680292</v>
      </c>
      <c r="O27" s="41">
        <f t="shared" ca="1" si="14"/>
        <v>16.013884015697123</v>
      </c>
      <c r="P27" s="41">
        <f t="shared" ca="1" si="14"/>
        <v>23.074529395326216</v>
      </c>
    </row>
    <row r="28" spans="2:16" ht="8" customHeight="1" x14ac:dyDescent="0.45"/>
    <row r="29" spans="2:16" ht="22.05" customHeight="1" x14ac:dyDescent="0.5">
      <c r="B29" s="7" t="s">
        <v>170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spans="2:16" ht="18" customHeight="1" x14ac:dyDescent="0.45">
      <c r="B30" s="13" t="s">
        <v>171</v>
      </c>
    </row>
    <row r="31" spans="2:16" x14ac:dyDescent="0.45">
      <c r="B31" s="25" t="s">
        <v>163</v>
      </c>
      <c r="C31" s="26" t="s">
        <v>109</v>
      </c>
      <c r="D31" s="51">
        <f>SUM(F31:P31)</f>
        <v>82.76</v>
      </c>
      <c r="E31" s="32"/>
      <c r="F31" s="41">
        <f t="shared" ref="F31:P31" si="15">Volume_ML*F15*(Price_ML-VarCost_ML)/1000-IF(F$6&gt;=1,FixedCost_ML,0)</f>
        <v>0</v>
      </c>
      <c r="G31" s="41">
        <f t="shared" si="15"/>
        <v>2.5999999999999996</v>
      </c>
      <c r="H31" s="41">
        <f t="shared" si="15"/>
        <v>6.5600000000000005</v>
      </c>
      <c r="I31" s="41">
        <f t="shared" si="15"/>
        <v>9.1999999999999993</v>
      </c>
      <c r="J31" s="41">
        <f t="shared" si="15"/>
        <v>9.1999999999999993</v>
      </c>
      <c r="K31" s="41">
        <f t="shared" si="15"/>
        <v>9.1999999999999993</v>
      </c>
      <c r="L31" s="41">
        <f t="shared" si="15"/>
        <v>9.1999999999999993</v>
      </c>
      <c r="M31" s="41">
        <f t="shared" si="15"/>
        <v>9.1999999999999993</v>
      </c>
      <c r="N31" s="41">
        <f t="shared" si="15"/>
        <v>9.1999999999999993</v>
      </c>
      <c r="O31" s="41">
        <f t="shared" si="15"/>
        <v>9.1999999999999993</v>
      </c>
      <c r="P31" s="41">
        <f t="shared" si="15"/>
        <v>9.1999999999999993</v>
      </c>
    </row>
    <row r="32" spans="2:16" x14ac:dyDescent="0.45">
      <c r="B32" s="25" t="s">
        <v>68</v>
      </c>
      <c r="C32" s="26" t="s">
        <v>109</v>
      </c>
      <c r="D32" s="51">
        <f>SUM(F32:P32)</f>
        <v>10.690000000000001</v>
      </c>
      <c r="E32" s="32"/>
      <c r="F32" s="41">
        <f t="shared" ref="F32:P32" si="16">TaxRate*(F31-IF(AND(F$6&gt;=1,F$6&lt;=DepLife),Capex_ML/DepLife,0))</f>
        <v>0</v>
      </c>
      <c r="G32" s="41">
        <f t="shared" si="16"/>
        <v>-0.35000000000000009</v>
      </c>
      <c r="H32" s="41">
        <f t="shared" si="16"/>
        <v>0.64000000000000012</v>
      </c>
      <c r="I32" s="41">
        <f t="shared" si="16"/>
        <v>1.2999999999999998</v>
      </c>
      <c r="J32" s="41">
        <f t="shared" si="16"/>
        <v>1.2999999999999998</v>
      </c>
      <c r="K32" s="41">
        <f t="shared" si="16"/>
        <v>1.2999999999999998</v>
      </c>
      <c r="L32" s="41">
        <f t="shared" si="16"/>
        <v>1.2999999999999998</v>
      </c>
      <c r="M32" s="41">
        <f t="shared" si="16"/>
        <v>1.2999999999999998</v>
      </c>
      <c r="N32" s="41">
        <f t="shared" si="16"/>
        <v>1.2999999999999998</v>
      </c>
      <c r="O32" s="41">
        <f t="shared" si="16"/>
        <v>1.2999999999999998</v>
      </c>
      <c r="P32" s="41">
        <f t="shared" si="16"/>
        <v>1.2999999999999998</v>
      </c>
    </row>
    <row r="33" spans="2:16" x14ac:dyDescent="0.45">
      <c r="B33" s="53" t="s">
        <v>172</v>
      </c>
      <c r="C33" s="54" t="s">
        <v>109</v>
      </c>
      <c r="D33" s="55">
        <f>SUM(F33:P33)</f>
        <v>32.07</v>
      </c>
      <c r="E33" s="56"/>
      <c r="F33" s="55">
        <f t="shared" ref="F33:P33" si="17">F31-F32-IF(F$6=0,Capex_ML,0)</f>
        <v>-40</v>
      </c>
      <c r="G33" s="55">
        <f t="shared" si="17"/>
        <v>2.9499999999999997</v>
      </c>
      <c r="H33" s="55">
        <f t="shared" si="17"/>
        <v>5.92</v>
      </c>
      <c r="I33" s="55">
        <f t="shared" si="17"/>
        <v>7.8999999999999995</v>
      </c>
      <c r="J33" s="55">
        <f t="shared" si="17"/>
        <v>7.8999999999999995</v>
      </c>
      <c r="K33" s="55">
        <f t="shared" si="17"/>
        <v>7.8999999999999995</v>
      </c>
      <c r="L33" s="55">
        <f t="shared" si="17"/>
        <v>7.8999999999999995</v>
      </c>
      <c r="M33" s="55">
        <f t="shared" si="17"/>
        <v>7.8999999999999995</v>
      </c>
      <c r="N33" s="55">
        <f t="shared" si="17"/>
        <v>7.8999999999999995</v>
      </c>
      <c r="O33" s="55">
        <f t="shared" si="17"/>
        <v>7.8999999999999995</v>
      </c>
      <c r="P33" s="55">
        <f t="shared" si="17"/>
        <v>7.8999999999999995</v>
      </c>
    </row>
    <row r="34" spans="2:16" x14ac:dyDescent="0.45">
      <c r="B34" s="25" t="s">
        <v>169</v>
      </c>
      <c r="C34" s="26" t="s">
        <v>109</v>
      </c>
      <c r="D34" s="32"/>
      <c r="E34" s="32"/>
      <c r="F34" s="41">
        <f>F33</f>
        <v>-40</v>
      </c>
      <c r="G34" s="41">
        <f t="shared" ref="G34:P34" si="18">F34+G33</f>
        <v>-37.049999999999997</v>
      </c>
      <c r="H34" s="41">
        <f t="shared" si="18"/>
        <v>-31.129999999999995</v>
      </c>
      <c r="I34" s="41">
        <f t="shared" si="18"/>
        <v>-23.229999999999997</v>
      </c>
      <c r="J34" s="41">
        <f t="shared" si="18"/>
        <v>-15.329999999999998</v>
      </c>
      <c r="K34" s="41">
        <f t="shared" si="18"/>
        <v>-7.4299999999999988</v>
      </c>
      <c r="L34" s="41">
        <f t="shared" si="18"/>
        <v>0.47000000000000064</v>
      </c>
      <c r="M34" s="41">
        <f t="shared" si="18"/>
        <v>8.370000000000001</v>
      </c>
      <c r="N34" s="41">
        <f t="shared" si="18"/>
        <v>16.27</v>
      </c>
      <c r="O34" s="41">
        <f t="shared" si="18"/>
        <v>24.169999999999998</v>
      </c>
      <c r="P34" s="41">
        <f t="shared" si="18"/>
        <v>32.07</v>
      </c>
    </row>
    <row r="35" spans="2:16" ht="8" customHeight="1" x14ac:dyDescent="0.45"/>
    <row r="36" spans="2:16" ht="22.05" customHeight="1" x14ac:dyDescent="0.5">
      <c r="B36" s="7" t="s">
        <v>173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ht="18" customHeight="1" x14ac:dyDescent="0.45">
      <c r="B37" s="13" t="s">
        <v>174</v>
      </c>
    </row>
    <row r="38" spans="2:16" ht="18" customHeight="1" x14ac:dyDescent="0.45">
      <c r="B38" s="47" t="s">
        <v>175</v>
      </c>
      <c r="C38" s="47" t="s">
        <v>100</v>
      </c>
      <c r="D38" s="48" t="s">
        <v>151</v>
      </c>
      <c r="E38" s="5"/>
      <c r="F38" s="47" t="s">
        <v>176</v>
      </c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2:16" x14ac:dyDescent="0.45">
      <c r="B39" s="25" t="s">
        <v>177</v>
      </c>
      <c r="C39" s="26" t="s">
        <v>109</v>
      </c>
      <c r="D39" s="58" cm="1">
        <f t="array" aca="1" ref="D39" ca="1">_xll.VoseOutput("NPV","млн долл.")+D26</f>
        <v>-1.5614822890879685</v>
      </c>
      <c r="E39" s="32"/>
      <c r="F39" s="26" t="s">
        <v>178</v>
      </c>
      <c r="G39" s="32"/>
      <c r="H39" s="32"/>
      <c r="I39" s="32"/>
      <c r="J39" s="32"/>
      <c r="K39" s="32"/>
      <c r="L39" s="32"/>
      <c r="M39" s="32"/>
      <c r="N39" s="32"/>
      <c r="O39" s="32"/>
      <c r="P39" s="32"/>
    </row>
    <row r="40" spans="2:16" x14ac:dyDescent="0.45">
      <c r="B40" s="25" t="s">
        <v>179</v>
      </c>
      <c r="C40" s="26"/>
      <c r="D40" s="59" cm="1">
        <f t="array" aca="1" ref="D40" ca="1">_xll.VoseOutput("IRR","%")+IRR(F24:P24,0.1)</f>
        <v>8.2125931996218648E-2</v>
      </c>
      <c r="E40" s="32"/>
      <c r="F40" s="26" t="s">
        <v>180</v>
      </c>
      <c r="G40" s="32"/>
      <c r="H40" s="32"/>
      <c r="I40" s="32"/>
      <c r="J40" s="32"/>
      <c r="K40" s="32"/>
      <c r="L40" s="32"/>
      <c r="M40" s="32"/>
      <c r="N40" s="32"/>
      <c r="O40" s="32"/>
      <c r="P40" s="32"/>
    </row>
    <row r="41" spans="2:16" x14ac:dyDescent="0.45">
      <c r="B41" s="25" t="s">
        <v>181</v>
      </c>
      <c r="C41" s="26" t="s">
        <v>132</v>
      </c>
      <c r="D41" s="60" cm="1">
        <f t="array" aca="1" ref="D41" ca="1">_xll.VoseOutput("Год окупаемости","год")+COUNTIF(F27:P27,"&lt;0")</f>
        <v>7</v>
      </c>
      <c r="E41" s="32"/>
      <c r="F41" s="26" t="s">
        <v>182</v>
      </c>
      <c r="G41" s="32"/>
      <c r="H41" s="32"/>
      <c r="I41" s="32"/>
      <c r="J41" s="32"/>
      <c r="K41" s="32"/>
      <c r="L41" s="32"/>
      <c r="M41" s="32"/>
      <c r="N41" s="32"/>
      <c r="O41" s="32"/>
      <c r="P41" s="32"/>
    </row>
    <row r="42" spans="2:16" x14ac:dyDescent="0.45">
      <c r="B42" s="25" t="s">
        <v>183</v>
      </c>
      <c r="C42" s="26" t="s">
        <v>109</v>
      </c>
      <c r="D42" s="41">
        <f>SUMPRODUCT(F33:P33,F25:P25)</f>
        <v>4.4916850488186419</v>
      </c>
      <c r="E42" s="32"/>
      <c r="F42" s="26" t="s">
        <v>184</v>
      </c>
      <c r="G42" s="32"/>
      <c r="H42" s="32"/>
      <c r="I42" s="32"/>
      <c r="J42" s="32"/>
      <c r="K42" s="32"/>
      <c r="L42" s="32"/>
      <c r="M42" s="32"/>
      <c r="N42" s="32"/>
      <c r="O42" s="32"/>
      <c r="P42" s="32"/>
    </row>
    <row r="43" spans="2:16" x14ac:dyDescent="0.45">
      <c r="B43" s="25" t="s">
        <v>185</v>
      </c>
      <c r="C43" s="26"/>
      <c r="D43" s="61">
        <f>IRR(F33:P33,0.1)</f>
        <v>0.11245665804065519</v>
      </c>
      <c r="E43" s="32"/>
      <c r="F43" s="26"/>
      <c r="G43" s="32"/>
      <c r="H43" s="32"/>
      <c r="I43" s="32"/>
      <c r="J43" s="32"/>
      <c r="K43" s="32"/>
      <c r="L43" s="32"/>
      <c r="M43" s="32"/>
      <c r="N43" s="32"/>
      <c r="O43" s="32"/>
      <c r="P43" s="32"/>
    </row>
    <row r="44" spans="2:16" x14ac:dyDescent="0.45">
      <c r="B44" s="25" t="s">
        <v>186</v>
      </c>
      <c r="C44" s="26" t="s">
        <v>132</v>
      </c>
      <c r="D44" s="62">
        <f>COUNTIF(F34:P34,"&lt;0")</f>
        <v>6</v>
      </c>
      <c r="E44" s="32"/>
      <c r="F44" s="26"/>
      <c r="G44" s="32"/>
      <c r="H44" s="32"/>
      <c r="I44" s="32"/>
      <c r="J44" s="32"/>
      <c r="K44" s="32"/>
      <c r="L44" s="32"/>
      <c r="M44" s="32"/>
      <c r="N44" s="32"/>
      <c r="O44" s="32"/>
      <c r="P44" s="32"/>
    </row>
    <row r="45" spans="2:16" ht="8" customHeight="1" x14ac:dyDescent="0.45"/>
    <row r="46" spans="2:16" ht="22.05" customHeight="1" x14ac:dyDescent="0.5">
      <c r="B46" s="7" t="s">
        <v>187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ht="18" customHeight="1" x14ac:dyDescent="0.45">
      <c r="B47" s="13" t="s">
        <v>188</v>
      </c>
    </row>
    <row r="48" spans="2:16" x14ac:dyDescent="0.45">
      <c r="B48" s="25" t="s">
        <v>189</v>
      </c>
      <c r="C48" s="32"/>
      <c r="D48" s="63" t="str">
        <f>IF(COUNTIF(InputMeans,"✗*")=0,"ОК","ПРОВЕРИТЬ")</f>
        <v>ОК</v>
      </c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</row>
    <row r="49" spans="2:16" x14ac:dyDescent="0.45">
      <c r="B49" s="25" t="s">
        <v>190</v>
      </c>
      <c r="C49" s="32"/>
      <c r="D49" s="63" t="str">
        <f ca="1">IF(MIN(G24:P24)&gt;0,"ОК","ПРОВЕРИТЬ")</f>
        <v>ОК</v>
      </c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</row>
    <row r="50" spans="2:16" x14ac:dyDescent="0.45">
      <c r="B50" s="25" t="s">
        <v>191</v>
      </c>
      <c r="C50" s="32"/>
      <c r="D50" s="63" t="str">
        <f>IF(AND(DepLife&gt;=1,DepLife&lt;=MAX(F6:P6)),"ОК","ПРОВЕРИТЬ")</f>
        <v>ОК</v>
      </c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</row>
    <row r="51" spans="2:16" x14ac:dyDescent="0.45">
      <c r="B51" s="25" t="s">
        <v>192</v>
      </c>
      <c r="C51" s="32"/>
      <c r="D51" s="63" t="str">
        <f>IF(AND(INDEX(Ramp_Year,1)&lt;INDEX(Ramp_Year,2),INDEX(Ramp_Year,2)&lt;INDEX(Ramp_Year,3)),"ОК","ПРОВЕРИТЬ")</f>
        <v>ОК</v>
      </c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</row>
    <row r="52" spans="2:16" ht="14" customHeight="1" x14ac:dyDescent="0.45"/>
  </sheetData>
  <conditionalFormatting sqref="D48:D51">
    <cfRule type="expression" dxfId="7" priority="1">
      <formula>D48="CHECK"</formula>
    </cfRule>
  </conditionalFormatting>
  <hyperlinks>
    <hyperlink ref="B4" location="'Исходные данные'!A1" display="◂  Исходные данные" xr:uid="{00000000-0004-0000-0200-000000000000}"/>
    <hyperlink ref="P4" location="'Результаты'!A1" display="Далее:  Результаты  ▸" xr:uid="{00000000-0004-0000-0200-000001000000}"/>
  </hyperlinks>
  <printOptions horizontalCentered="1"/>
  <pageMargins left="0.4" right="0.4" top="0.5" bottom="0.6" header="0.25" footer="0.25"/>
  <pageSetup paperSize="9" scale="60" fitToHeight="0" orientation="landscape" r:id="rId1"/>
  <headerFooter>
    <oddFooter>&amp;L&amp;K3F5876&amp;8&amp;F · &amp;A&amp;R&amp;K3F5876&amp;8Page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254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193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194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64" t="str" cm="1">
        <f t="array" aca="1" ref="B6" ca="1">IF(ISNUMBER(_xll.VoseSimMean(NPV)),"✔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65"/>
      <c r="D6" s="65"/>
      <c r="E6" s="65"/>
      <c r="F6" s="65"/>
      <c r="G6" s="65"/>
    </row>
    <row r="7" spans="1:18" x14ac:dyDescent="0.45">
      <c r="B7" s="66" t="str">
        <f ca="1"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195</v>
      </c>
      <c r="C9" s="8"/>
      <c r="D9" s="8"/>
      <c r="E9" s="8"/>
      <c r="F9" s="8"/>
      <c r="G9" s="8"/>
      <c r="I9" s="67" t="s">
        <v>196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197</v>
      </c>
    </row>
    <row r="11" spans="1:18" ht="18" customHeight="1" x14ac:dyDescent="0.45">
      <c r="B11" s="23" t="s">
        <v>198</v>
      </c>
      <c r="C11" s="23" t="s">
        <v>100</v>
      </c>
      <c r="D11" s="24" t="s">
        <v>151</v>
      </c>
      <c r="E11" s="5"/>
      <c r="F11" s="5"/>
      <c r="G11" s="5"/>
    </row>
    <row r="12" spans="1:18" x14ac:dyDescent="0.45">
      <c r="B12" s="68" t="s">
        <v>199</v>
      </c>
      <c r="C12" s="26" t="s">
        <v>109</v>
      </c>
      <c r="D12" s="29">
        <f>NPV_ML</f>
        <v>4.4916850488186419</v>
      </c>
      <c r="E12" s="32"/>
      <c r="F12" s="32"/>
      <c r="G12" s="32"/>
    </row>
    <row r="13" spans="1:18" ht="22.05" customHeight="1" x14ac:dyDescent="0.45">
      <c r="B13" s="52" t="s">
        <v>200</v>
      </c>
      <c r="C13" s="26" t="s">
        <v>109</v>
      </c>
      <c r="D13" s="69" cm="1">
        <f t="array" aca="1" ref="D13" ca="1">_xll.VoseSimMean(NPV)</f>
        <v>1.4911832988389968</v>
      </c>
      <c r="E13" s="32"/>
      <c r="F13" s="32"/>
      <c r="G13" s="32"/>
    </row>
    <row r="14" spans="1:18" x14ac:dyDescent="0.45">
      <c r="B14" s="52" t="s">
        <v>201</v>
      </c>
      <c r="C14" s="26" t="s">
        <v>202</v>
      </c>
      <c r="D14" s="70" cm="1">
        <f t="array" aca="1" ref="D14" ca="1">_xll.VoseSimProbability(NPV,0)</f>
        <v>0.38476152384761525</v>
      </c>
      <c r="E14" s="32"/>
      <c r="F14" s="32"/>
      <c r="G14" s="32"/>
    </row>
    <row r="15" spans="1:18" x14ac:dyDescent="0.45">
      <c r="B15" s="25" t="s">
        <v>203</v>
      </c>
      <c r="C15" s="26" t="s">
        <v>202</v>
      </c>
      <c r="D15" s="70" cm="1">
        <f t="array" aca="1" ref="D15" ca="1">_xll.VoseSimProbability(NPV,NPV_ML)</f>
        <v>0.70952904709529052</v>
      </c>
      <c r="E15" s="32"/>
      <c r="F15" s="32"/>
      <c r="G15" s="32"/>
    </row>
    <row r="16" spans="1:18" x14ac:dyDescent="0.45">
      <c r="B16" s="68" t="s">
        <v>185</v>
      </c>
      <c r="C16" s="26"/>
      <c r="D16" s="61">
        <f>IRR_ML</f>
        <v>0.11245665804065519</v>
      </c>
      <c r="E16" s="32"/>
      <c r="F16" s="32"/>
      <c r="G16" s="32"/>
    </row>
    <row r="17" spans="2:18" x14ac:dyDescent="0.45">
      <c r="B17" s="25" t="s">
        <v>204</v>
      </c>
      <c r="C17" s="26"/>
      <c r="D17" s="70" cm="1">
        <f t="array" aca="1" ref="D17" ca="1">_xll.VoseSimMean(IRR)</f>
        <v>9.7093252327560081E-2</v>
      </c>
      <c r="E17" s="32"/>
      <c r="F17" s="32"/>
      <c r="G17" s="32"/>
    </row>
    <row r="18" spans="2:18" x14ac:dyDescent="0.45">
      <c r="B18" s="25" t="s">
        <v>205</v>
      </c>
      <c r="C18" s="32"/>
      <c r="D18" s="52" t="str">
        <f ca="1">IF(ISNUMBER(D13),IF(D13&gt;0,"Инвестировать, но отрицателен в "&amp;TEXT(D14,"0%")&amp;" вариантов будущего","Не инвестировать: в среднем отрицателен"),"–")</f>
        <v>Инвестировать, но NPV отрицателен в 38% вариантов будущего</v>
      </c>
      <c r="E18" s="32"/>
      <c r="F18" s="32"/>
      <c r="G18" s="32"/>
    </row>
    <row r="19" spans="2:18" ht="8" customHeight="1" x14ac:dyDescent="0.45"/>
    <row r="20" spans="2:18" ht="22.05" customHeight="1" x14ac:dyDescent="0.5">
      <c r="B20" s="7" t="s">
        <v>206</v>
      </c>
      <c r="C20" s="8"/>
      <c r="D20" s="8"/>
      <c r="E20" s="8"/>
      <c r="F20" s="8"/>
      <c r="G20" s="8"/>
    </row>
    <row r="21" spans="2:18" ht="18" customHeight="1" x14ac:dyDescent="0.45">
      <c r="B21" s="13" t="s">
        <v>207</v>
      </c>
    </row>
    <row r="22" spans="2:18" ht="18" customHeight="1" x14ac:dyDescent="0.45">
      <c r="B22" s="23" t="s">
        <v>198</v>
      </c>
      <c r="C22" s="23" t="s">
        <v>100</v>
      </c>
      <c r="D22" s="24" t="s">
        <v>208</v>
      </c>
      <c r="E22" s="24" t="s">
        <v>209</v>
      </c>
      <c r="F22" s="24" t="s">
        <v>210</v>
      </c>
      <c r="G22" s="24" t="s">
        <v>106</v>
      </c>
    </row>
    <row r="23" spans="2:18" x14ac:dyDescent="0.45">
      <c r="B23" s="25" t="s">
        <v>177</v>
      </c>
      <c r="C23" s="26" t="s">
        <v>109</v>
      </c>
      <c r="D23" s="71" cm="1">
        <f t="array" aca="1" ref="D23" ca="1">_xll.VoseSimPercentile(NPV,0.1)</f>
        <v>-5.1649157618963901</v>
      </c>
      <c r="E23" s="71" cm="1">
        <f t="array" aca="1" ref="E23" ca="1">_xll.VoseSimPercentile(NPV,0.5)</f>
        <v>1.5816619582928992</v>
      </c>
      <c r="F23" s="71" cm="1">
        <f t="array" aca="1" ref="F23" ca="1">_xll.VoseSimPercentile(NPV,0.9)</f>
        <v>8.0039572640475001</v>
      </c>
      <c r="G23" s="71" cm="1">
        <f t="array" aca="1" ref="G23" ca="1">_xll.VoseSimMean(NPV)</f>
        <v>1.4911832988389968</v>
      </c>
    </row>
    <row r="24" spans="2:18" x14ac:dyDescent="0.45">
      <c r="B24" s="25" t="s">
        <v>179</v>
      </c>
      <c r="C24" s="26"/>
      <c r="D24" s="70" cm="1">
        <f t="array" aca="1" ref="D24" ca="1">_xll.VoseSimPercentile(IRR,0.1)</f>
        <v>6.2872478129784248E-2</v>
      </c>
      <c r="E24" s="70" cm="1">
        <f t="array" aca="1" ref="E24" ca="1">_xll.VoseSimPercentile(IRR,0.5)</f>
        <v>9.7954073308466727E-2</v>
      </c>
      <c r="F24" s="70" cm="1">
        <f t="array" aca="1" ref="F24" ca="1">_xll.VoseSimPercentile(IRR,0.9)</f>
        <v>0.12958809109206992</v>
      </c>
      <c r="G24" s="70" cm="1">
        <f t="array" aca="1" ref="G24" ca="1">_xll.VoseSimMean(IRR)</f>
        <v>9.7093252327560081E-2</v>
      </c>
    </row>
    <row r="25" spans="2:18" x14ac:dyDescent="0.45">
      <c r="B25" s="25" t="s">
        <v>181</v>
      </c>
      <c r="C25" s="26" t="s">
        <v>132</v>
      </c>
      <c r="D25" s="72" cm="1">
        <f t="array" aca="1" ref="D25" ca="1">_xll.VoseSimPercentile(Payback,0.1)</f>
        <v>6</v>
      </c>
      <c r="E25" s="72" cm="1">
        <f t="array" aca="1" ref="E25" ca="1">_xll.VoseSimPercentile(Payback,0.5)</f>
        <v>7</v>
      </c>
      <c r="F25" s="72" cm="1">
        <f t="array" aca="1" ref="F25" ca="1">_xll.VoseSimPercentile(Payback,0.9)</f>
        <v>8</v>
      </c>
      <c r="G25" s="72" cm="1">
        <f t="array" aca="1" ref="G25" ca="1">_xll.VoseSimMean(Payback)</f>
        <v>6.8743999999999996</v>
      </c>
    </row>
    <row r="26" spans="2:18" ht="8" customHeight="1" x14ac:dyDescent="0.45"/>
    <row r="27" spans="2:18" x14ac:dyDescent="0.45">
      <c r="I27" s="67" t="s">
        <v>211</v>
      </c>
      <c r="J27" s="8"/>
      <c r="K27" s="8"/>
      <c r="L27" s="8"/>
      <c r="M27" s="8"/>
      <c r="N27" s="8"/>
      <c r="O27" s="8"/>
      <c r="P27" s="8"/>
      <c r="Q27" s="8"/>
      <c r="R27" s="8"/>
    </row>
    <row r="43" spans="2:18" ht="22.05" customHeight="1" x14ac:dyDescent="0.5">
      <c r="B43" s="7" t="s">
        <v>212</v>
      </c>
      <c r="C43" s="8"/>
      <c r="D43" s="8"/>
      <c r="E43" s="8"/>
      <c r="F43" s="8"/>
      <c r="G43" s="8"/>
      <c r="I43" s="67" t="s">
        <v>213</v>
      </c>
      <c r="J43" s="8"/>
      <c r="K43" s="8"/>
      <c r="L43" s="8"/>
      <c r="M43" s="8"/>
      <c r="N43" s="8"/>
      <c r="O43" s="8"/>
      <c r="P43" s="8"/>
      <c r="Q43" s="8"/>
      <c r="R43" s="8"/>
    </row>
    <row r="44" spans="2:18" ht="18" customHeight="1" x14ac:dyDescent="0.45">
      <c r="B44" s="13" t="s">
        <v>214</v>
      </c>
    </row>
    <row r="45" spans="2:18" ht="18" customHeight="1" x14ac:dyDescent="0.45">
      <c r="B45" s="23" t="s">
        <v>215</v>
      </c>
      <c r="C45" s="24" t="s">
        <v>216</v>
      </c>
      <c r="D45" s="24" t="s">
        <v>217</v>
      </c>
      <c r="E45" s="73" t="s">
        <v>218</v>
      </c>
      <c r="F45" s="5"/>
      <c r="G45" s="5"/>
    </row>
    <row r="46" spans="2:18" x14ac:dyDescent="0.45">
      <c r="B46" s="25" t="str">
        <f t="array" aca="1" ref="B46:E50" ca="1">_xll.VoseSimSensitivityMean(NPV,10,1,FALSE)</f>
        <v>Объем продаж</v>
      </c>
      <c r="C46" s="71">
        <f ca="1"/>
        <v>-4.4042038096061127</v>
      </c>
      <c r="D46" s="71">
        <f ca="1"/>
        <v>6.294135793963906</v>
      </c>
      <c r="E46" s="74">
        <f ca="1"/>
        <v>1</v>
      </c>
      <c r="F46" s="32"/>
      <c r="G46" s="32"/>
    </row>
    <row r="47" spans="2:18" x14ac:dyDescent="0.45">
      <c r="B47" s="25" t="str">
        <f ca="1"/>
        <v>Цена</v>
      </c>
      <c r="C47" s="71">
        <f ca="1"/>
        <v>-3.8230913458247371</v>
      </c>
      <c r="D47" s="71">
        <f ca="1"/>
        <v>5.9386362397827339</v>
      </c>
      <c r="E47" s="74">
        <f ca="1"/>
        <v>2</v>
      </c>
      <c r="F47" s="32"/>
      <c r="G47" s="32"/>
    </row>
    <row r="48" spans="2:18" x14ac:dyDescent="0.45">
      <c r="B48" s="25" t="str">
        <f ca="1"/>
        <v>Переменные затраты</v>
      </c>
      <c r="C48" s="71">
        <f ca="1"/>
        <v>-2.3460918792309671</v>
      </c>
      <c r="D48" s="71">
        <f ca="1"/>
        <v>4.5996276605426374</v>
      </c>
      <c r="E48" s="74">
        <f ca="1"/>
        <v>3</v>
      </c>
      <c r="F48" s="32"/>
      <c r="G48" s="32"/>
    </row>
    <row r="49" spans="2:7" x14ac:dyDescent="0.45">
      <c r="B49" s="25" t="str">
        <f ca="1"/>
        <v>Инвестиции</v>
      </c>
      <c r="C49" s="71">
        <f ca="1"/>
        <v>-1.6142823610200809</v>
      </c>
      <c r="D49" s="71">
        <f ca="1"/>
        <v>4.0238531885411657</v>
      </c>
      <c r="E49" s="74">
        <f ca="1"/>
        <v>4</v>
      </c>
      <c r="F49" s="32"/>
      <c r="G49" s="32"/>
    </row>
    <row r="50" spans="2:7" x14ac:dyDescent="0.45">
      <c r="B50" s="25" t="str">
        <f ca="1"/>
        <v>Постоянные затраты</v>
      </c>
      <c r="C50" s="71">
        <f ca="1"/>
        <v>-0.66975075923855421</v>
      </c>
      <c r="D50" s="71">
        <f ca="1"/>
        <v>3.1555558651822193</v>
      </c>
      <c r="E50" s="74">
        <f ca="1"/>
        <v>5</v>
      </c>
      <c r="F50" s="32"/>
      <c r="G50" s="32"/>
    </row>
    <row r="57" spans="2:7" ht="22.05" customHeight="1" x14ac:dyDescent="0.5">
      <c r="B57" s="7" t="s">
        <v>219</v>
      </c>
      <c r="C57" s="8"/>
      <c r="D57" s="8"/>
      <c r="E57" s="8"/>
      <c r="F57" s="8"/>
      <c r="G57" s="8"/>
    </row>
    <row r="58" spans="2:7" ht="32" customHeight="1" x14ac:dyDescent="0.45">
      <c r="B58" s="86" t="s">
        <v>220</v>
      </c>
      <c r="C58" s="85"/>
      <c r="D58" s="85"/>
      <c r="E58" s="85"/>
      <c r="F58" s="85"/>
      <c r="G58" s="85"/>
    </row>
    <row r="59" spans="2:7" ht="32" customHeight="1" x14ac:dyDescent="0.45">
      <c r="B59" s="86" t="s">
        <v>221</v>
      </c>
      <c r="C59" s="85"/>
      <c r="D59" s="85"/>
      <c r="E59" s="85"/>
      <c r="F59" s="85"/>
      <c r="G59" s="85"/>
    </row>
    <row r="60" spans="2:7" ht="32" customHeight="1" x14ac:dyDescent="0.45">
      <c r="B60" s="86" t="s">
        <v>222</v>
      </c>
      <c r="C60" s="85"/>
      <c r="D60" s="85"/>
      <c r="E60" s="85"/>
      <c r="F60" s="85"/>
      <c r="G60" s="85"/>
    </row>
    <row r="61" spans="2:7" ht="32" customHeight="1" x14ac:dyDescent="0.45">
      <c r="B61" s="86" t="s">
        <v>223</v>
      </c>
      <c r="C61" s="85"/>
      <c r="D61" s="85"/>
      <c r="E61" s="85"/>
      <c r="F61" s="85"/>
      <c r="G61" s="85"/>
    </row>
    <row r="62" spans="2:7" ht="14" customHeight="1" x14ac:dyDescent="0.45"/>
    <row r="63" spans="2:7" ht="14" customHeight="1" x14ac:dyDescent="0.45"/>
    <row r="64" spans="2:7" ht="22.05" customHeight="1" x14ac:dyDescent="0.5">
      <c r="B64" s="7" t="s">
        <v>224</v>
      </c>
      <c r="C64" s="8"/>
      <c r="D64" s="8"/>
      <c r="E64" s="8"/>
      <c r="F64" s="8"/>
      <c r="G64" s="8"/>
    </row>
    <row r="65" spans="2:7" ht="18" customHeight="1" x14ac:dyDescent="0.45">
      <c r="B65" s="13" t="s">
        <v>225</v>
      </c>
    </row>
    <row r="66" spans="2:7" ht="28.05" hidden="1" customHeight="1" outlineLevel="1" x14ac:dyDescent="0.45">
      <c r="B66" s="24" t="s">
        <v>226</v>
      </c>
      <c r="C66" s="24" t="s">
        <v>227</v>
      </c>
      <c r="D66" s="24" t="s">
        <v>177</v>
      </c>
      <c r="E66" s="5"/>
      <c r="F66" s="5"/>
      <c r="G66" s="5"/>
    </row>
    <row r="67" spans="2:7" hidden="1" outlineLevel="1" x14ac:dyDescent="0.45">
      <c r="B67" s="75">
        <v>0.01</v>
      </c>
      <c r="C67" s="75">
        <f t="shared" ref="C67:C98" si="0">1-B67</f>
        <v>0.99</v>
      </c>
      <c r="D67" s="76" cm="1">
        <f t="array" aca="1" ref="D67" ca="1">IF(ISNUMBER(_xll.VoseSimPercentile(NPV,$B67)),_xll.VoseSimPercentile(NPV,$B67),NA())</f>
        <v>-10.407374766741793</v>
      </c>
    </row>
    <row r="68" spans="2:7" hidden="1" outlineLevel="1" x14ac:dyDescent="0.45">
      <c r="B68" s="75">
        <v>0.03</v>
      </c>
      <c r="C68" s="75">
        <f t="shared" si="0"/>
        <v>0.97</v>
      </c>
      <c r="D68" s="76" cm="1">
        <f t="array" aca="1" ref="D68" ca="1">IF(ISNUMBER(_xll.VoseSimPercentile(NPV,$B68)),_xll.VoseSimPercentile(NPV,$B68),NA())</f>
        <v>-8.2906304508260007</v>
      </c>
    </row>
    <row r="69" spans="2:7" hidden="1" outlineLevel="1" x14ac:dyDescent="0.45">
      <c r="B69" s="75">
        <v>0.05</v>
      </c>
      <c r="C69" s="75">
        <f t="shared" si="0"/>
        <v>0.95</v>
      </c>
      <c r="D69" s="76" cm="1">
        <f t="array" aca="1" ref="D69" ca="1">IF(ISNUMBER(_xll.VoseSimPercentile(NPV,$B69)),_xll.VoseSimPercentile(NPV,$B69),NA())</f>
        <v>-7.1399281031756709</v>
      </c>
    </row>
    <row r="70" spans="2:7" hidden="1" outlineLevel="1" x14ac:dyDescent="0.45">
      <c r="B70" s="75">
        <v>7.0000000000000007E-2</v>
      </c>
      <c r="C70" s="75">
        <f t="shared" si="0"/>
        <v>0.92999999999999994</v>
      </c>
      <c r="D70" s="76" cm="1">
        <f t="array" aca="1" ref="D70" ca="1">IF(ISNUMBER(_xll.VoseSimPercentile(NPV,$B70)),_xll.VoseSimPercentile(NPV,$B70),NA())</f>
        <v>-6.2234735475236809</v>
      </c>
    </row>
    <row r="71" spans="2:7" hidden="1" outlineLevel="1" x14ac:dyDescent="0.45">
      <c r="B71" s="75">
        <v>0.09</v>
      </c>
      <c r="C71" s="75">
        <f t="shared" si="0"/>
        <v>0.91</v>
      </c>
      <c r="D71" s="76" cm="1">
        <f t="array" aca="1" ref="D71" ca="1">IF(ISNUMBER(_xll.VoseSimPercentile(NPV,$B71)),_xll.VoseSimPercentile(NPV,$B71),NA())</f>
        <v>-5.5378327496165065</v>
      </c>
    </row>
    <row r="72" spans="2:7" hidden="1" outlineLevel="1" x14ac:dyDescent="0.45">
      <c r="B72" s="75">
        <v>0.11</v>
      </c>
      <c r="C72" s="75">
        <f t="shared" si="0"/>
        <v>0.89</v>
      </c>
      <c r="D72" s="76" cm="1">
        <f t="array" aca="1" ref="D72" ca="1">IF(ISNUMBER(_xll.VoseSimPercentile(NPV,$B72)),_xll.VoseSimPercentile(NPV,$B72),NA())</f>
        <v>-4.9156182532993391</v>
      </c>
    </row>
    <row r="73" spans="2:7" hidden="1" outlineLevel="1" x14ac:dyDescent="0.45">
      <c r="B73" s="75">
        <v>0.13</v>
      </c>
      <c r="C73" s="75">
        <f t="shared" si="0"/>
        <v>0.87</v>
      </c>
      <c r="D73" s="76" cm="1">
        <f t="array" aca="1" ref="D73" ca="1">IF(ISNUMBER(_xll.VoseSimPercentile(NPV,$B73)),_xll.VoseSimPercentile(NPV,$B73),NA())</f>
        <v>-4.3842973876425129</v>
      </c>
    </row>
    <row r="74" spans="2:7" hidden="1" outlineLevel="1" x14ac:dyDescent="0.45">
      <c r="B74" s="75">
        <v>0.15</v>
      </c>
      <c r="C74" s="75">
        <f t="shared" si="0"/>
        <v>0.85</v>
      </c>
      <c r="D74" s="76" cm="1">
        <f t="array" aca="1" ref="D74" ca="1">IF(ISNUMBER(_xll.VoseSimPercentile(NPV,$B74)),_xll.VoseSimPercentile(NPV,$B74),NA())</f>
        <v>-3.8937484113000234</v>
      </c>
    </row>
    <row r="75" spans="2:7" hidden="1" outlineLevel="1" x14ac:dyDescent="0.45">
      <c r="B75" s="75">
        <v>0.17</v>
      </c>
      <c r="C75" s="75">
        <f t="shared" si="0"/>
        <v>0.83</v>
      </c>
      <c r="D75" s="76" cm="1">
        <f t="array" aca="1" ref="D75" ca="1">IF(ISNUMBER(_xll.VoseSimPercentile(NPV,$B75)),_xll.VoseSimPercentile(NPV,$B75),NA())</f>
        <v>-3.4390860268732197</v>
      </c>
    </row>
    <row r="76" spans="2:7" hidden="1" outlineLevel="1" x14ac:dyDescent="0.45">
      <c r="B76" s="75">
        <v>0.19</v>
      </c>
      <c r="C76" s="75">
        <f t="shared" si="0"/>
        <v>0.81</v>
      </c>
      <c r="D76" s="76" cm="1">
        <f t="array" aca="1" ref="D76" ca="1">IF(ISNUMBER(_xll.VoseSimPercentile(NPV,$B76)),_xll.VoseSimPercentile(NPV,$B76),NA())</f>
        <v>-3.0681549559628807</v>
      </c>
    </row>
    <row r="77" spans="2:7" hidden="1" outlineLevel="1" x14ac:dyDescent="0.45">
      <c r="B77" s="75">
        <v>0.21</v>
      </c>
      <c r="C77" s="75">
        <f t="shared" si="0"/>
        <v>0.79</v>
      </c>
      <c r="D77" s="76" cm="1">
        <f t="array" aca="1" ref="D77" ca="1">IF(ISNUMBER(_xll.VoseSimPercentile(NPV,$B77)),_xll.VoseSimPercentile(NPV,$B77),NA())</f>
        <v>-2.6954954771713613</v>
      </c>
    </row>
    <row r="78" spans="2:7" hidden="1" outlineLevel="1" x14ac:dyDescent="0.45">
      <c r="B78" s="75">
        <v>0.23</v>
      </c>
      <c r="C78" s="75">
        <f t="shared" si="0"/>
        <v>0.77</v>
      </c>
      <c r="D78" s="76" cm="1">
        <f t="array" aca="1" ref="D78" ca="1">IF(ISNUMBER(_xll.VoseSimPercentile(NPV,$B78)),_xll.VoseSimPercentile(NPV,$B78),NA())</f>
        <v>-2.3684498120616202</v>
      </c>
    </row>
    <row r="79" spans="2:7" hidden="1" outlineLevel="1" x14ac:dyDescent="0.45">
      <c r="B79" s="75">
        <v>0.25</v>
      </c>
      <c r="C79" s="75">
        <f t="shared" si="0"/>
        <v>0.75</v>
      </c>
      <c r="D79" s="76" cm="1">
        <f t="array" aca="1" ref="D79" ca="1">IF(ISNUMBER(_xll.VoseSimPercentile(NPV,$B79)),_xll.VoseSimPercentile(NPV,$B79),NA())</f>
        <v>-2.046757434576846</v>
      </c>
    </row>
    <row r="80" spans="2:7" hidden="1" outlineLevel="1" x14ac:dyDescent="0.45">
      <c r="B80" s="75">
        <v>0.27</v>
      </c>
      <c r="C80" s="75">
        <f t="shared" si="0"/>
        <v>0.73</v>
      </c>
      <c r="D80" s="76" cm="1">
        <f t="array" aca="1" ref="D80" ca="1">IF(ISNUMBER(_xll.VoseSimPercentile(NPV,$B80)),_xll.VoseSimPercentile(NPV,$B80),NA())</f>
        <v>-1.7485252688791553</v>
      </c>
    </row>
    <row r="81" spans="2:4" hidden="1" outlineLevel="1" x14ac:dyDescent="0.45">
      <c r="B81" s="75">
        <v>0.28999999999999998</v>
      </c>
      <c r="C81" s="75">
        <f t="shared" si="0"/>
        <v>0.71</v>
      </c>
      <c r="D81" s="76" cm="1">
        <f t="array" aca="1" ref="D81" ca="1">IF(ISNUMBER(_xll.VoseSimPercentile(NPV,$B81)),_xll.VoseSimPercentile(NPV,$B81),NA())</f>
        <v>-1.4017564131571576</v>
      </c>
    </row>
    <row r="82" spans="2:4" hidden="1" outlineLevel="1" x14ac:dyDescent="0.45">
      <c r="B82" s="75">
        <v>0.31</v>
      </c>
      <c r="C82" s="75">
        <f t="shared" si="0"/>
        <v>0.69</v>
      </c>
      <c r="D82" s="76" cm="1">
        <f t="array" aca="1" ref="D82" ca="1">IF(ISNUMBER(_xll.VoseSimPercentile(NPV,$B82)),_xll.VoseSimPercentile(NPV,$B82),NA())</f>
        <v>-1.0826152830685665</v>
      </c>
    </row>
    <row r="83" spans="2:4" hidden="1" outlineLevel="1" x14ac:dyDescent="0.45">
      <c r="B83" s="75">
        <v>0.33</v>
      </c>
      <c r="C83" s="75">
        <f t="shared" si="0"/>
        <v>0.66999999999999993</v>
      </c>
      <c r="D83" s="76" cm="1">
        <f t="array" aca="1" ref="D83" ca="1">IF(ISNUMBER(_xll.VoseSimPercentile(NPV,$B83)),_xll.VoseSimPercentile(NPV,$B83),NA())</f>
        <v>-0.79731481502778134</v>
      </c>
    </row>
    <row r="84" spans="2:4" hidden="1" outlineLevel="1" x14ac:dyDescent="0.45">
      <c r="B84" s="75">
        <v>0.35</v>
      </c>
      <c r="C84" s="75">
        <f t="shared" si="0"/>
        <v>0.65</v>
      </c>
      <c r="D84" s="76" cm="1">
        <f t="array" aca="1" ref="D84" ca="1">IF(ISNUMBER(_xll.VoseSimPercentile(NPV,$B84)),_xll.VoseSimPercentile(NPV,$B84),NA())</f>
        <v>-0.51957503483458245</v>
      </c>
    </row>
    <row r="85" spans="2:4" hidden="1" outlineLevel="1" x14ac:dyDescent="0.45">
      <c r="B85" s="75">
        <v>0.37</v>
      </c>
      <c r="C85" s="75">
        <f t="shared" si="0"/>
        <v>0.63</v>
      </c>
      <c r="D85" s="76" cm="1">
        <f t="array" aca="1" ref="D85" ca="1">IF(ISNUMBER(_xll.VoseSimPercentile(NPV,$B85)),_xll.VoseSimPercentile(NPV,$B85),NA())</f>
        <v>-0.23711093914805126</v>
      </c>
    </row>
    <row r="86" spans="2:4" hidden="1" outlineLevel="1" x14ac:dyDescent="0.45">
      <c r="B86" s="75">
        <v>0.39</v>
      </c>
      <c r="C86" s="75">
        <f t="shared" si="0"/>
        <v>0.61</v>
      </c>
      <c r="D86" s="76" cm="1">
        <f t="array" aca="1" ref="D86" ca="1">IF(ISNUMBER(_xll.VoseSimPercentile(NPV,$B86)),_xll.VoseSimPercentile(NPV,$B86),NA())</f>
        <v>7.3030047419630595E-2</v>
      </c>
    </row>
    <row r="87" spans="2:4" hidden="1" outlineLevel="1" x14ac:dyDescent="0.45">
      <c r="B87" s="75">
        <v>0.41</v>
      </c>
      <c r="C87" s="75">
        <f t="shared" si="0"/>
        <v>0.59000000000000008</v>
      </c>
      <c r="D87" s="76" cm="1">
        <f t="array" aca="1" ref="D87" ca="1">IF(ISNUMBER(_xll.VoseSimPercentile(NPV,$B87)),_xll.VoseSimPercentile(NPV,$B87),NA())</f>
        <v>0.36586711446105369</v>
      </c>
    </row>
    <row r="88" spans="2:4" hidden="1" outlineLevel="1" x14ac:dyDescent="0.45">
      <c r="B88" s="75">
        <v>0.43</v>
      </c>
      <c r="C88" s="75">
        <f t="shared" si="0"/>
        <v>0.57000000000000006</v>
      </c>
      <c r="D88" s="76" cm="1">
        <f t="array" aca="1" ref="D88" ca="1">IF(ISNUMBER(_xll.VoseSimPercentile(NPV,$B88)),_xll.VoseSimPercentile(NPV,$B88),NA())</f>
        <v>0.61878595360804844</v>
      </c>
    </row>
    <row r="89" spans="2:4" hidden="1" outlineLevel="1" x14ac:dyDescent="0.45">
      <c r="B89" s="75">
        <v>0.45</v>
      </c>
      <c r="C89" s="75">
        <f t="shared" si="0"/>
        <v>0.55000000000000004</v>
      </c>
      <c r="D89" s="76" cm="1">
        <f t="array" aca="1" ref="D89" ca="1">IF(ISNUMBER(_xll.VoseSimPercentile(NPV,$B89)),_xll.VoseSimPercentile(NPV,$B89),NA())</f>
        <v>0.88309664151324041</v>
      </c>
    </row>
    <row r="90" spans="2:4" hidden="1" outlineLevel="1" x14ac:dyDescent="0.45">
      <c r="B90" s="75">
        <v>0.47</v>
      </c>
      <c r="C90" s="75">
        <f t="shared" si="0"/>
        <v>0.53</v>
      </c>
      <c r="D90" s="76" cm="1">
        <f t="array" aca="1" ref="D90" ca="1">IF(ISNUMBER(_xll.VoseSimPercentile(NPV,$B90)),_xll.VoseSimPercentile(NPV,$B90),NA())</f>
        <v>1.1727097424202384</v>
      </c>
    </row>
    <row r="91" spans="2:4" hidden="1" outlineLevel="1" x14ac:dyDescent="0.45">
      <c r="B91" s="75">
        <v>0.49</v>
      </c>
      <c r="C91" s="75">
        <f t="shared" si="0"/>
        <v>0.51</v>
      </c>
      <c r="D91" s="76" cm="1">
        <f t="array" aca="1" ref="D91" ca="1">IF(ISNUMBER(_xll.VoseSimPercentile(NPV,$B91)),_xll.VoseSimPercentile(NPV,$B91),NA())</f>
        <v>1.4407651203705103</v>
      </c>
    </row>
    <row r="92" spans="2:4" hidden="1" outlineLevel="1" x14ac:dyDescent="0.45">
      <c r="B92" s="75">
        <v>0.51</v>
      </c>
      <c r="C92" s="75">
        <f t="shared" si="0"/>
        <v>0.49</v>
      </c>
      <c r="D92" s="76" cm="1">
        <f t="array" aca="1" ref="D92" ca="1">IF(ISNUMBER(_xll.VoseSimPercentile(NPV,$B92)),_xll.VoseSimPercentile(NPV,$B92),NA())</f>
        <v>1.7049899659055732</v>
      </c>
    </row>
    <row r="93" spans="2:4" hidden="1" outlineLevel="1" x14ac:dyDescent="0.45">
      <c r="B93" s="75">
        <v>0.53</v>
      </c>
      <c r="C93" s="75">
        <f t="shared" si="0"/>
        <v>0.47</v>
      </c>
      <c r="D93" s="76" cm="1">
        <f t="array" aca="1" ref="D93" ca="1">IF(ISNUMBER(_xll.VoseSimPercentile(NPV,$B93)),_xll.VoseSimPercentile(NPV,$B93),NA())</f>
        <v>2.0101134019929701</v>
      </c>
    </row>
    <row r="94" spans="2:4" hidden="1" outlineLevel="1" x14ac:dyDescent="0.45">
      <c r="B94" s="75">
        <v>0.55000000000000004</v>
      </c>
      <c r="C94" s="75">
        <f t="shared" si="0"/>
        <v>0.44999999999999996</v>
      </c>
      <c r="D94" s="76" cm="1">
        <f t="array" aca="1" ref="D94" ca="1">IF(ISNUMBER(_xll.VoseSimPercentile(NPV,$B94)),_xll.VoseSimPercentile(NPV,$B94),NA())</f>
        <v>2.2560057970291694</v>
      </c>
    </row>
    <row r="95" spans="2:4" hidden="1" outlineLevel="1" x14ac:dyDescent="0.45">
      <c r="B95" s="75">
        <v>0.56999999999999995</v>
      </c>
      <c r="C95" s="75">
        <f t="shared" si="0"/>
        <v>0.43000000000000005</v>
      </c>
      <c r="D95" s="76" cm="1">
        <f t="array" aca="1" ref="D95" ca="1">IF(ISNUMBER(_xll.VoseSimPercentile(NPV,$B95)),_xll.VoseSimPercentile(NPV,$B95),NA())</f>
        <v>2.5366589724057356</v>
      </c>
    </row>
    <row r="96" spans="2:4" hidden="1" outlineLevel="1" x14ac:dyDescent="0.45">
      <c r="B96" s="75">
        <v>0.59</v>
      </c>
      <c r="C96" s="75">
        <f t="shared" si="0"/>
        <v>0.41000000000000003</v>
      </c>
      <c r="D96" s="76" cm="1">
        <f t="array" aca="1" ref="D96" ca="1">IF(ISNUMBER(_xll.VoseSimPercentile(NPV,$B96)),_xll.VoseSimPercentile(NPV,$B96),NA())</f>
        <v>2.7900625833708932</v>
      </c>
    </row>
    <row r="97" spans="2:4" hidden="1" outlineLevel="1" x14ac:dyDescent="0.45">
      <c r="B97" s="75">
        <v>0.61</v>
      </c>
      <c r="C97" s="75">
        <f t="shared" si="0"/>
        <v>0.39</v>
      </c>
      <c r="D97" s="76" cm="1">
        <f t="array" aca="1" ref="D97" ca="1">IF(ISNUMBER(_xll.VoseSimPercentile(NPV,$B97)),_xll.VoseSimPercentile(NPV,$B97),NA())</f>
        <v>3.0564505014285546</v>
      </c>
    </row>
    <row r="98" spans="2:4" hidden="1" outlineLevel="1" x14ac:dyDescent="0.45">
      <c r="B98" s="75">
        <v>0.63</v>
      </c>
      <c r="C98" s="75">
        <f t="shared" si="0"/>
        <v>0.37</v>
      </c>
      <c r="D98" s="76" cm="1">
        <f t="array" aca="1" ref="D98" ca="1">IF(ISNUMBER(_xll.VoseSimPercentile(NPV,$B98)),_xll.VoseSimPercentile(NPV,$B98),NA())</f>
        <v>3.3506149439159199</v>
      </c>
    </row>
    <row r="99" spans="2:4" hidden="1" outlineLevel="1" x14ac:dyDescent="0.45">
      <c r="B99" s="75">
        <v>0.65</v>
      </c>
      <c r="C99" s="75">
        <f t="shared" ref="C99:C130" si="1">1-B99</f>
        <v>0.35</v>
      </c>
      <c r="D99" s="76" cm="1">
        <f t="array" aca="1" ref="D99" ca="1">IF(ISNUMBER(_xll.VoseSimPercentile(NPV,$B99)),_xll.VoseSimPercentile(NPV,$B99),NA())</f>
        <v>3.6690048253013674</v>
      </c>
    </row>
    <row r="100" spans="2:4" hidden="1" outlineLevel="1" x14ac:dyDescent="0.45">
      <c r="B100" s="75">
        <v>0.67</v>
      </c>
      <c r="C100" s="75">
        <f t="shared" si="1"/>
        <v>0.32999999999999996</v>
      </c>
      <c r="D100" s="76" cm="1">
        <f t="array" aca="1" ref="D100" ca="1">IF(ISNUMBER(_xll.VoseSimPercentile(NPV,$B100)),_xll.VoseSimPercentile(NPV,$B100),NA())</f>
        <v>3.9540798046178014</v>
      </c>
    </row>
    <row r="101" spans="2:4" hidden="1" outlineLevel="1" x14ac:dyDescent="0.45">
      <c r="B101" s="75">
        <v>0.69</v>
      </c>
      <c r="C101" s="75">
        <f t="shared" si="1"/>
        <v>0.31000000000000005</v>
      </c>
      <c r="D101" s="76" cm="1">
        <f t="array" aca="1" ref="D101" ca="1">IF(ISNUMBER(_xll.VoseSimPercentile(NPV,$B101)),_xll.VoseSimPercentile(NPV,$B101),NA())</f>
        <v>4.2321494511728091</v>
      </c>
    </row>
    <row r="102" spans="2:4" hidden="1" outlineLevel="1" x14ac:dyDescent="0.45">
      <c r="B102" s="75">
        <v>0.71</v>
      </c>
      <c r="C102" s="75">
        <f t="shared" si="1"/>
        <v>0.29000000000000004</v>
      </c>
      <c r="D102" s="76" cm="1">
        <f t="array" aca="1" ref="D102" ca="1">IF(ISNUMBER(_xll.VoseSimPercentile(NPV,$B102)),_xll.VoseSimPercentile(NPV,$B102),NA())</f>
        <v>4.4942521883238333</v>
      </c>
    </row>
    <row r="103" spans="2:4" hidden="1" outlineLevel="1" x14ac:dyDescent="0.45">
      <c r="B103" s="75">
        <v>0.73</v>
      </c>
      <c r="C103" s="75">
        <f t="shared" si="1"/>
        <v>0.27</v>
      </c>
      <c r="D103" s="76" cm="1">
        <f t="array" aca="1" ref="D103" ca="1">IF(ISNUMBER(_xll.VoseSimPercentile(NPV,$B103)),_xll.VoseSimPercentile(NPV,$B103),NA())</f>
        <v>4.8016218339194836</v>
      </c>
    </row>
    <row r="104" spans="2:4" hidden="1" outlineLevel="1" x14ac:dyDescent="0.45">
      <c r="B104" s="75">
        <v>0.75</v>
      </c>
      <c r="C104" s="75">
        <f t="shared" si="1"/>
        <v>0.25</v>
      </c>
      <c r="D104" s="76" cm="1">
        <f t="array" aca="1" ref="D104" ca="1">IF(ISNUMBER(_xll.VoseSimPercentile(NPV,$B104)),_xll.VoseSimPercentile(NPV,$B104),NA())</f>
        <v>5.1296691839370947</v>
      </c>
    </row>
    <row r="105" spans="2:4" hidden="1" outlineLevel="1" x14ac:dyDescent="0.45">
      <c r="B105" s="75">
        <v>0.77</v>
      </c>
      <c r="C105" s="75">
        <f t="shared" si="1"/>
        <v>0.22999999999999998</v>
      </c>
      <c r="D105" s="76" cm="1">
        <f t="array" aca="1" ref="D105" ca="1">IF(ISNUMBER(_xll.VoseSimPercentile(NPV,$B105)),_xll.VoseSimPercentile(NPV,$B105),NA())</f>
        <v>5.4585322289780187</v>
      </c>
    </row>
    <row r="106" spans="2:4" hidden="1" outlineLevel="1" x14ac:dyDescent="0.45">
      <c r="B106" s="75">
        <v>0.79</v>
      </c>
      <c r="C106" s="75">
        <f t="shared" si="1"/>
        <v>0.20999999999999996</v>
      </c>
      <c r="D106" s="76" cm="1">
        <f t="array" aca="1" ref="D106" ca="1">IF(ISNUMBER(_xll.VoseSimPercentile(NPV,$B106)),_xll.VoseSimPercentile(NPV,$B106),NA())</f>
        <v>5.7744788180853348</v>
      </c>
    </row>
    <row r="107" spans="2:4" hidden="1" outlineLevel="1" x14ac:dyDescent="0.45">
      <c r="B107" s="75">
        <v>0.81</v>
      </c>
      <c r="C107" s="75">
        <f t="shared" si="1"/>
        <v>0.18999999999999995</v>
      </c>
      <c r="D107" s="76" cm="1">
        <f t="array" aca="1" ref="D107" ca="1">IF(ISNUMBER(_xll.VoseSimPercentile(NPV,$B107)),_xll.VoseSimPercentile(NPV,$B107),NA())</f>
        <v>6.1402363081891078</v>
      </c>
    </row>
    <row r="108" spans="2:4" hidden="1" outlineLevel="1" x14ac:dyDescent="0.45">
      <c r="B108" s="75">
        <v>0.83</v>
      </c>
      <c r="C108" s="75">
        <f t="shared" si="1"/>
        <v>0.17000000000000004</v>
      </c>
      <c r="D108" s="76" cm="1">
        <f t="array" aca="1" ref="D108" ca="1">IF(ISNUMBER(_xll.VoseSimPercentile(NPV,$B108)),_xll.VoseSimPercentile(NPV,$B108),NA())</f>
        <v>6.5040143090600875</v>
      </c>
    </row>
    <row r="109" spans="2:4" hidden="1" outlineLevel="1" x14ac:dyDescent="0.45">
      <c r="B109" s="75">
        <v>0.85</v>
      </c>
      <c r="C109" s="75">
        <f t="shared" si="1"/>
        <v>0.15000000000000002</v>
      </c>
      <c r="D109" s="76" cm="1">
        <f t="array" aca="1" ref="D109" ca="1">IF(ISNUMBER(_xll.VoseSimPercentile(NPV,$B109)),_xll.VoseSimPercentile(NPV,$B109),NA())</f>
        <v>6.8730414503223223</v>
      </c>
    </row>
    <row r="110" spans="2:4" hidden="1" outlineLevel="1" x14ac:dyDescent="0.45">
      <c r="B110" s="75">
        <v>0.87</v>
      </c>
      <c r="C110" s="75">
        <f t="shared" si="1"/>
        <v>0.13</v>
      </c>
      <c r="D110" s="76" cm="1">
        <f t="array" aca="1" ref="D110" ca="1">IF(ISNUMBER(_xll.VoseSimPercentile(NPV,$B110)),_xll.VoseSimPercentile(NPV,$B110),NA())</f>
        <v>7.30155042561187</v>
      </c>
    </row>
    <row r="111" spans="2:4" hidden="1" outlineLevel="1" x14ac:dyDescent="0.45">
      <c r="B111" s="75">
        <v>0.89</v>
      </c>
      <c r="C111" s="75">
        <f t="shared" si="1"/>
        <v>0.10999999999999999</v>
      </c>
      <c r="D111" s="76" cm="1">
        <f t="array" aca="1" ref="D111" ca="1">IF(ISNUMBER(_xll.VoseSimPercentile(NPV,$B111)),_xll.VoseSimPercentile(NPV,$B111),NA())</f>
        <v>7.7393367144345238</v>
      </c>
    </row>
    <row r="112" spans="2:4" hidden="1" outlineLevel="1" x14ac:dyDescent="0.45">
      <c r="B112" s="75">
        <v>0.91</v>
      </c>
      <c r="C112" s="75">
        <f t="shared" si="1"/>
        <v>8.9999999999999969E-2</v>
      </c>
      <c r="D112" s="76" cm="1">
        <f t="array" aca="1" ref="D112" ca="1">IF(ISNUMBER(_xll.VoseSimPercentile(NPV,$B112)),_xll.VoseSimPercentile(NPV,$B112),NA())</f>
        <v>8.3393472674624594</v>
      </c>
    </row>
    <row r="113" spans="2:7" hidden="1" outlineLevel="1" x14ac:dyDescent="0.45">
      <c r="B113" s="75">
        <v>0.93</v>
      </c>
      <c r="C113" s="75">
        <f t="shared" si="1"/>
        <v>6.9999999999999951E-2</v>
      </c>
      <c r="D113" s="76" cm="1">
        <f t="array" aca="1" ref="D113" ca="1">IF(ISNUMBER(_xll.VoseSimPercentile(NPV,$B113)),_xll.VoseSimPercentile(NPV,$B113),NA())</f>
        <v>8.9360378467412911</v>
      </c>
    </row>
    <row r="114" spans="2:7" hidden="1" outlineLevel="1" x14ac:dyDescent="0.45">
      <c r="B114" s="75">
        <v>0.95</v>
      </c>
      <c r="C114" s="75">
        <f t="shared" si="1"/>
        <v>5.0000000000000044E-2</v>
      </c>
      <c r="D114" s="76" cm="1">
        <f t="array" aca="1" ref="D114" ca="1">IF(ISNUMBER(_xll.VoseSimPercentile(NPV,$B114)),_xll.VoseSimPercentile(NPV,$B114),NA())</f>
        <v>9.665138192192563</v>
      </c>
    </row>
    <row r="115" spans="2:7" hidden="1" outlineLevel="1" x14ac:dyDescent="0.45">
      <c r="B115" s="75">
        <v>0.97</v>
      </c>
      <c r="C115" s="75">
        <f t="shared" si="1"/>
        <v>3.0000000000000027E-2</v>
      </c>
      <c r="D115" s="76" cm="1">
        <f t="array" aca="1" ref="D115" ca="1">IF(ISNUMBER(_xll.VoseSimPercentile(NPV,$B115)),_xll.VoseSimPercentile(NPV,$B115),NA())</f>
        <v>10.743527995861154</v>
      </c>
    </row>
    <row r="116" spans="2:7" hidden="1" outlineLevel="1" x14ac:dyDescent="0.45">
      <c r="B116" s="75">
        <v>0.99</v>
      </c>
      <c r="C116" s="75">
        <f t="shared" si="1"/>
        <v>1.0000000000000009E-2</v>
      </c>
      <c r="D116" s="76" cm="1">
        <f t="array" aca="1" ref="D116" ca="1">IF(ISNUMBER(_xll.VoseSimPercentile(NPV,$B116)),_xll.VoseSimPercentile(NPV,$B116),NA())</f>
        <v>12.715524865070364</v>
      </c>
    </row>
    <row r="117" spans="2:7" hidden="1" outlineLevel="1" x14ac:dyDescent="0.45"/>
    <row r="118" spans="2:7" hidden="1" outlineLevel="1" x14ac:dyDescent="0.45">
      <c r="B118" s="77" t="s">
        <v>228</v>
      </c>
      <c r="D118" s="78" cm="1">
        <f t="array" aca="1" ref="D118" ca="1">_xll.VoseSimMean(NPV)</f>
        <v>1.4911832988389968</v>
      </c>
    </row>
    <row r="119" spans="2:7" ht="18" hidden="1" customHeight="1" outlineLevel="1" x14ac:dyDescent="0.45">
      <c r="B119" s="23" t="s">
        <v>229</v>
      </c>
      <c r="C119" s="5"/>
      <c r="D119" s="5"/>
      <c r="E119" s="5"/>
      <c r="F119" s="24" t="s">
        <v>230</v>
      </c>
      <c r="G119" s="24" t="s">
        <v>231</v>
      </c>
    </row>
    <row r="120" spans="2:7" hidden="1" outlineLevel="1" x14ac:dyDescent="0.45">
      <c r="B120" s="79" t="str">
        <f ca="1">B46</f>
        <v>Объем продаж</v>
      </c>
      <c r="F120" s="80">
        <f ca="1">IFERROR(D46-$D$118,NA())</f>
        <v>4.8029524951249094</v>
      </c>
      <c r="G120" s="80">
        <f ca="1">IFERROR(C46-$D$118,NA())</f>
        <v>-5.8953871084451093</v>
      </c>
    </row>
    <row r="121" spans="2:7" hidden="1" outlineLevel="1" x14ac:dyDescent="0.45">
      <c r="B121" s="79" t="str">
        <f ca="1">B47</f>
        <v>Цена</v>
      </c>
      <c r="F121" s="80">
        <f ca="1">IFERROR(D47-$D$118,NA())</f>
        <v>4.4474529409437373</v>
      </c>
      <c r="G121" s="80">
        <f ca="1">IFERROR(C47-$D$118,NA())</f>
        <v>-5.3142746446637341</v>
      </c>
    </row>
    <row r="122" spans="2:7" hidden="1" outlineLevel="1" x14ac:dyDescent="0.45">
      <c r="B122" s="79" t="str">
        <f ca="1">B48</f>
        <v>Переменные затраты</v>
      </c>
      <c r="F122" s="80">
        <f ca="1">IFERROR(D48-$D$118,NA())</f>
        <v>3.1084443617036408</v>
      </c>
      <c r="G122" s="80">
        <f ca="1">IFERROR(C48-$D$118,NA())</f>
        <v>-3.8372751780699641</v>
      </c>
    </row>
    <row r="123" spans="2:7" hidden="1" outlineLevel="1" x14ac:dyDescent="0.45">
      <c r="B123" s="79" t="str">
        <f ca="1">B49</f>
        <v>Инвестиции</v>
      </c>
      <c r="F123" s="80">
        <f ca="1">IFERROR(D49-$D$118,NA())</f>
        <v>2.5326698897021691</v>
      </c>
      <c r="G123" s="80">
        <f ca="1">IFERROR(C49-$D$118,NA())</f>
        <v>-3.1054656598590777</v>
      </c>
    </row>
    <row r="124" spans="2:7" hidden="1" outlineLevel="1" x14ac:dyDescent="0.45">
      <c r="B124" s="79" t="str">
        <f ca="1">B50</f>
        <v>Постоянные затраты</v>
      </c>
      <c r="F124" s="80">
        <f ca="1">IFERROR(D50-$D$118,NA())</f>
        <v>1.6643725663432225</v>
      </c>
      <c r="G124" s="80">
        <f ca="1">IFERROR(C50-$D$118,NA())</f>
        <v>-2.1609340580775509</v>
      </c>
    </row>
    <row r="125" spans="2:7" hidden="1" outlineLevel="1" x14ac:dyDescent="0.45"/>
    <row r="126" spans="2:7" ht="18" hidden="1" customHeight="1" outlineLevel="1" x14ac:dyDescent="0.45">
      <c r="B126" s="23" t="s">
        <v>232</v>
      </c>
      <c r="C126" s="24" t="s">
        <v>151</v>
      </c>
      <c r="D126" s="5"/>
      <c r="E126" s="5"/>
      <c r="F126" s="5"/>
      <c r="G126" s="5"/>
    </row>
    <row r="127" spans="2:7" hidden="1" outlineLevel="1" x14ac:dyDescent="0.45">
      <c r="B127" s="81">
        <v>5.0000000000000001E-3</v>
      </c>
      <c r="C127" s="76" cm="1">
        <f t="array" aca="1" ref="C127" ca="1">IF(ISNUMBER(_xll.VoseSimPercentile(NPV,0.005)),_xll.VoseSimPercentile(NPV,0.005),NA())</f>
        <v>-11.419808138744193</v>
      </c>
    </row>
    <row r="128" spans="2:7" hidden="1" outlineLevel="1" x14ac:dyDescent="0.45">
      <c r="B128" s="81">
        <v>0.01</v>
      </c>
      <c r="C128" s="76" cm="1">
        <f t="array" aca="1" ref="C128" ca="1">IF(ISNUMBER(_xll.VoseSimPercentile(NPV,0.01)),_xll.VoseSimPercentile(NPV,0.01),NA())</f>
        <v>-10.407374766741793</v>
      </c>
    </row>
    <row r="129" spans="2:3" hidden="1" outlineLevel="1" x14ac:dyDescent="0.45">
      <c r="B129" s="81">
        <v>0.02</v>
      </c>
      <c r="C129" s="76" cm="1">
        <f t="array" aca="1" ref="C129" ca="1">IF(ISNUMBER(_xll.VoseSimPercentile(NPV,0.02)),_xll.VoseSimPercentile(NPV,0.02),NA())</f>
        <v>-9.1993819951531943</v>
      </c>
    </row>
    <row r="130" spans="2:3" hidden="1" outlineLevel="1" x14ac:dyDescent="0.45">
      <c r="B130" s="81">
        <v>0.03</v>
      </c>
      <c r="C130" s="76" cm="1">
        <f t="array" aca="1" ref="C130" ca="1">IF(ISNUMBER(_xll.VoseSimPercentile(NPV,0.03)),_xll.VoseSimPercentile(NPV,0.03),NA())</f>
        <v>-8.2906304508260007</v>
      </c>
    </row>
    <row r="131" spans="2:3" hidden="1" outlineLevel="1" x14ac:dyDescent="0.45">
      <c r="B131" s="81">
        <v>0.04</v>
      </c>
      <c r="C131" s="76" cm="1">
        <f t="array" aca="1" ref="C131" ca="1">IF(ISNUMBER(_xll.VoseSimPercentile(NPV,0.04)),_xll.VoseSimPercentile(NPV,0.04),NA())</f>
        <v>-7.6212509746181851</v>
      </c>
    </row>
    <row r="132" spans="2:3" hidden="1" outlineLevel="1" x14ac:dyDescent="0.45">
      <c r="B132" s="81">
        <v>0.05</v>
      </c>
      <c r="C132" s="76" cm="1">
        <f t="array" aca="1" ref="C132" ca="1">IF(ISNUMBER(_xll.VoseSimPercentile(NPV,0.05)),_xll.VoseSimPercentile(NPV,0.05),NA())</f>
        <v>-7.1399281031756709</v>
      </c>
    </row>
    <row r="133" spans="2:3" hidden="1" outlineLevel="1" x14ac:dyDescent="0.45">
      <c r="B133" s="81">
        <v>0.06</v>
      </c>
      <c r="C133" s="76" cm="1">
        <f t="array" aca="1" ref="C133" ca="1">IF(ISNUMBER(_xll.VoseSimPercentile(NPV,0.06)),_xll.VoseSimPercentile(NPV,0.06),NA())</f>
        <v>-6.640670937658971</v>
      </c>
    </row>
    <row r="134" spans="2:3" hidden="1" outlineLevel="1" x14ac:dyDescent="0.45">
      <c r="B134" s="81">
        <v>7.0000000000000007E-2</v>
      </c>
      <c r="C134" s="76" cm="1">
        <f t="array" aca="1" ref="C134" ca="1">IF(ISNUMBER(_xll.VoseSimPercentile(NPV,0.07)),_xll.VoseSimPercentile(NPV,0.07),NA())</f>
        <v>-6.2234735475236809</v>
      </c>
    </row>
    <row r="135" spans="2:3" hidden="1" outlineLevel="1" x14ac:dyDescent="0.45">
      <c r="B135" s="81">
        <v>0.08</v>
      </c>
      <c r="C135" s="76" cm="1">
        <f t="array" aca="1" ref="C135" ca="1">IF(ISNUMBER(_xll.VoseSimPercentile(NPV,0.08)),_xll.VoseSimPercentile(NPV,0.08),NA())</f>
        <v>-5.8711425672399038</v>
      </c>
    </row>
    <row r="136" spans="2:3" hidden="1" outlineLevel="1" x14ac:dyDescent="0.45">
      <c r="B136" s="81">
        <v>0.09</v>
      </c>
      <c r="C136" s="76" cm="1">
        <f t="array" aca="1" ref="C136" ca="1">IF(ISNUMBER(_xll.VoseSimPercentile(NPV,0.09)),_xll.VoseSimPercentile(NPV,0.09),NA())</f>
        <v>-5.5378327496165065</v>
      </c>
    </row>
    <row r="137" spans="2:3" hidden="1" outlineLevel="1" x14ac:dyDescent="0.45">
      <c r="B137" s="81">
        <v>0.1</v>
      </c>
      <c r="C137" s="76" cm="1">
        <f t="array" aca="1" ref="C137" ca="1">IF(ISNUMBER(_xll.VoseSimPercentile(NPV,0.1)),_xll.VoseSimPercentile(NPV,0.1),NA())</f>
        <v>-5.1649157618963901</v>
      </c>
    </row>
    <row r="138" spans="2:3" hidden="1" outlineLevel="1" x14ac:dyDescent="0.45">
      <c r="B138" s="81">
        <v>0.11</v>
      </c>
      <c r="C138" s="76" cm="1">
        <f t="array" aca="1" ref="C138" ca="1">IF(ISNUMBER(_xll.VoseSimPercentile(NPV,0.11)),_xll.VoseSimPercentile(NPV,0.11),NA())</f>
        <v>-4.9156182532993391</v>
      </c>
    </row>
    <row r="139" spans="2:3" hidden="1" outlineLevel="1" x14ac:dyDescent="0.45">
      <c r="B139" s="81">
        <v>0.12</v>
      </c>
      <c r="C139" s="76" cm="1">
        <f t="array" aca="1" ref="C139" ca="1">IF(ISNUMBER(_xll.VoseSimPercentile(NPV,0.12)),_xll.VoseSimPercentile(NPV,0.12),NA())</f>
        <v>-4.6242230656157108</v>
      </c>
    </row>
    <row r="140" spans="2:3" hidden="1" outlineLevel="1" x14ac:dyDescent="0.45">
      <c r="B140" s="81">
        <v>0.13</v>
      </c>
      <c r="C140" s="76" cm="1">
        <f t="array" aca="1" ref="C140" ca="1">IF(ISNUMBER(_xll.VoseSimPercentile(NPV,0.13)),_xll.VoseSimPercentile(NPV,0.13),NA())</f>
        <v>-4.3842973876425129</v>
      </c>
    </row>
    <row r="141" spans="2:3" hidden="1" outlineLevel="1" x14ac:dyDescent="0.45">
      <c r="B141" s="81">
        <v>0.14000000000000001</v>
      </c>
      <c r="C141" s="76" cm="1">
        <f t="array" aca="1" ref="C141" ca="1">IF(ISNUMBER(_xll.VoseSimPercentile(NPV,0.14)),_xll.VoseSimPercentile(NPV,0.14),NA())</f>
        <v>-4.1180884320099373</v>
      </c>
    </row>
    <row r="142" spans="2:3" hidden="1" outlineLevel="1" x14ac:dyDescent="0.45">
      <c r="B142" s="81">
        <v>0.15</v>
      </c>
      <c r="C142" s="76" cm="1">
        <f t="array" aca="1" ref="C142" ca="1">IF(ISNUMBER(_xll.VoseSimPercentile(NPV,0.15)),_xll.VoseSimPercentile(NPV,0.15),NA())</f>
        <v>-3.8937484113000234</v>
      </c>
    </row>
    <row r="143" spans="2:3" hidden="1" outlineLevel="1" x14ac:dyDescent="0.45">
      <c r="B143" s="81">
        <v>0.16</v>
      </c>
      <c r="C143" s="76" cm="1">
        <f t="array" aca="1" ref="C143" ca="1">IF(ISNUMBER(_xll.VoseSimPercentile(NPV,0.16)),_xll.VoseSimPercentile(NPV,0.16),NA())</f>
        <v>-3.6722660741448276</v>
      </c>
    </row>
    <row r="144" spans="2:3" hidden="1" outlineLevel="1" x14ac:dyDescent="0.45">
      <c r="B144" s="81">
        <v>0.17</v>
      </c>
      <c r="C144" s="76" cm="1">
        <f t="array" aca="1" ref="C144" ca="1">IF(ISNUMBER(_xll.VoseSimPercentile(NPV,0.17)),_xll.VoseSimPercentile(NPV,0.17),NA())</f>
        <v>-3.4390860268732197</v>
      </c>
    </row>
    <row r="145" spans="2:3" hidden="1" outlineLevel="1" x14ac:dyDescent="0.45">
      <c r="B145" s="81">
        <v>0.18</v>
      </c>
      <c r="C145" s="76" cm="1">
        <f t="array" aca="1" ref="C145" ca="1">IF(ISNUMBER(_xll.VoseSimPercentile(NPV,0.18)),_xll.VoseSimPercentile(NPV,0.18),NA())</f>
        <v>-3.2442730932960671</v>
      </c>
    </row>
    <row r="146" spans="2:3" hidden="1" outlineLevel="1" x14ac:dyDescent="0.45">
      <c r="B146" s="81">
        <v>0.19</v>
      </c>
      <c r="C146" s="76" cm="1">
        <f t="array" aca="1" ref="C146" ca="1">IF(ISNUMBER(_xll.VoseSimPercentile(NPV,0.19)),_xll.VoseSimPercentile(NPV,0.19),NA())</f>
        <v>-3.0681549559628807</v>
      </c>
    </row>
    <row r="147" spans="2:3" hidden="1" outlineLevel="1" x14ac:dyDescent="0.45">
      <c r="B147" s="81">
        <v>0.2</v>
      </c>
      <c r="C147" s="76" cm="1">
        <f t="array" aca="1" ref="C147" ca="1">IF(ISNUMBER(_xll.VoseSimPercentile(NPV,0.2)),_xll.VoseSimPercentile(NPV,0.2),NA())</f>
        <v>-2.87149120288829</v>
      </c>
    </row>
    <row r="148" spans="2:3" hidden="1" outlineLevel="1" x14ac:dyDescent="0.45">
      <c r="B148" s="81">
        <v>0.21</v>
      </c>
      <c r="C148" s="76" cm="1">
        <f t="array" aca="1" ref="C148" ca="1">IF(ISNUMBER(_xll.VoseSimPercentile(NPV,0.21)),_xll.VoseSimPercentile(NPV,0.21),NA())</f>
        <v>-2.6954954771713613</v>
      </c>
    </row>
    <row r="149" spans="2:3" hidden="1" outlineLevel="1" x14ac:dyDescent="0.45">
      <c r="B149" s="81">
        <v>0.22</v>
      </c>
      <c r="C149" s="76" cm="1">
        <f t="array" aca="1" ref="C149" ca="1">IF(ISNUMBER(_xll.VoseSimPercentile(NPV,0.22)),_xll.VoseSimPercentile(NPV,0.22),NA())</f>
        <v>-2.522668550720097</v>
      </c>
    </row>
    <row r="150" spans="2:3" hidden="1" outlineLevel="1" x14ac:dyDescent="0.45">
      <c r="B150" s="81">
        <v>0.23</v>
      </c>
      <c r="C150" s="76" cm="1">
        <f t="array" aca="1" ref="C150" ca="1">IF(ISNUMBER(_xll.VoseSimPercentile(NPV,0.23)),_xll.VoseSimPercentile(NPV,0.23),NA())</f>
        <v>-2.3684498120616202</v>
      </c>
    </row>
    <row r="151" spans="2:3" hidden="1" outlineLevel="1" x14ac:dyDescent="0.45">
      <c r="B151" s="81">
        <v>0.24</v>
      </c>
      <c r="C151" s="76" cm="1">
        <f t="array" aca="1" ref="C151" ca="1">IF(ISNUMBER(_xll.VoseSimPercentile(NPV,0.24)),_xll.VoseSimPercentile(NPV,0.24),NA())</f>
        <v>-2.2055847919799558</v>
      </c>
    </row>
    <row r="152" spans="2:3" hidden="1" outlineLevel="1" x14ac:dyDescent="0.45">
      <c r="B152" s="81">
        <v>0.25</v>
      </c>
      <c r="C152" s="76" cm="1">
        <f t="array" aca="1" ref="C152" ca="1">IF(ISNUMBER(_xll.VoseSimPercentile(NPV,0.25)),_xll.VoseSimPercentile(NPV,0.25),NA())</f>
        <v>-2.046757434576846</v>
      </c>
    </row>
    <row r="153" spans="2:3" hidden="1" outlineLevel="1" x14ac:dyDescent="0.45">
      <c r="B153" s="81">
        <v>0.26</v>
      </c>
      <c r="C153" s="76" cm="1">
        <f t="array" aca="1" ref="C153" ca="1">IF(ISNUMBER(_xll.VoseSimPercentile(NPV,0.26)),_xll.VoseSimPercentile(NPV,0.26),NA())</f>
        <v>-1.9112716163666224</v>
      </c>
    </row>
    <row r="154" spans="2:3" hidden="1" outlineLevel="1" x14ac:dyDescent="0.45">
      <c r="B154" s="81">
        <v>0.27</v>
      </c>
      <c r="C154" s="76" cm="1">
        <f t="array" aca="1" ref="C154" ca="1">IF(ISNUMBER(_xll.VoseSimPercentile(NPV,0.27)),_xll.VoseSimPercentile(NPV,0.27),NA())</f>
        <v>-1.7485252688791553</v>
      </c>
    </row>
    <row r="155" spans="2:3" hidden="1" outlineLevel="1" x14ac:dyDescent="0.45">
      <c r="B155" s="81">
        <v>0.28000000000000003</v>
      </c>
      <c r="C155" s="76" cm="1">
        <f t="array" aca="1" ref="C155" ca="1">IF(ISNUMBER(_xll.VoseSimPercentile(NPV,0.28)),_xll.VoseSimPercentile(NPV,0.28),NA())</f>
        <v>-1.566297858490548</v>
      </c>
    </row>
    <row r="156" spans="2:3" hidden="1" outlineLevel="1" x14ac:dyDescent="0.45">
      <c r="B156" s="81">
        <v>0.28999999999999998</v>
      </c>
      <c r="C156" s="76" cm="1">
        <f t="array" aca="1" ref="C156" ca="1">IF(ISNUMBER(_xll.VoseSimPercentile(NPV,0.29)),_xll.VoseSimPercentile(NPV,0.29),NA())</f>
        <v>-1.4017564131571576</v>
      </c>
    </row>
    <row r="157" spans="2:3" hidden="1" outlineLevel="1" x14ac:dyDescent="0.45">
      <c r="B157" s="81">
        <v>0.3</v>
      </c>
      <c r="C157" s="76" cm="1">
        <f t="array" aca="1" ref="C157" ca="1">IF(ISNUMBER(_xll.VoseSimPercentile(NPV,0.3)),_xll.VoseSimPercentile(NPV,0.3),NA())</f>
        <v>-1.2402078684326252</v>
      </c>
    </row>
    <row r="158" spans="2:3" hidden="1" outlineLevel="1" x14ac:dyDescent="0.45">
      <c r="B158" s="81">
        <v>0.31</v>
      </c>
      <c r="C158" s="76" cm="1">
        <f t="array" aca="1" ref="C158" ca="1">IF(ISNUMBER(_xll.VoseSimPercentile(NPV,0.31)),_xll.VoseSimPercentile(NPV,0.31),NA())</f>
        <v>-1.0826152830685665</v>
      </c>
    </row>
    <row r="159" spans="2:3" hidden="1" outlineLevel="1" x14ac:dyDescent="0.45">
      <c r="B159" s="81">
        <v>0.32</v>
      </c>
      <c r="C159" s="76" cm="1">
        <f t="array" aca="1" ref="C159" ca="1">IF(ISNUMBER(_xll.VoseSimPercentile(NPV,0.32)),_xll.VoseSimPercentile(NPV,0.32),NA())</f>
        <v>-0.93826523849327659</v>
      </c>
    </row>
    <row r="160" spans="2:3" hidden="1" outlineLevel="1" x14ac:dyDescent="0.45">
      <c r="B160" s="81">
        <v>0.33</v>
      </c>
      <c r="C160" s="76" cm="1">
        <f t="array" aca="1" ref="C160" ca="1">IF(ISNUMBER(_xll.VoseSimPercentile(NPV,0.33)),_xll.VoseSimPercentile(NPV,0.33),NA())</f>
        <v>-0.79731481502778134</v>
      </c>
    </row>
    <row r="161" spans="2:3" hidden="1" outlineLevel="1" x14ac:dyDescent="0.45">
      <c r="B161" s="81">
        <v>0.34</v>
      </c>
      <c r="C161" s="76" cm="1">
        <f t="array" aca="1" ref="C161" ca="1">IF(ISNUMBER(_xll.VoseSimPercentile(NPV,0.34)),_xll.VoseSimPercentile(NPV,0.34),NA())</f>
        <v>-0.65055340066691514</v>
      </c>
    </row>
    <row r="162" spans="2:3" hidden="1" outlineLevel="1" x14ac:dyDescent="0.45">
      <c r="B162" s="81">
        <v>0.35</v>
      </c>
      <c r="C162" s="76" cm="1">
        <f t="array" aca="1" ref="C162" ca="1">IF(ISNUMBER(_xll.VoseSimPercentile(NPV,0.35)),_xll.VoseSimPercentile(NPV,0.35),NA())</f>
        <v>-0.51957503483458245</v>
      </c>
    </row>
    <row r="163" spans="2:3" hidden="1" outlineLevel="1" x14ac:dyDescent="0.45">
      <c r="B163" s="81">
        <v>0.36</v>
      </c>
      <c r="C163" s="76" cm="1">
        <f t="array" aca="1" ref="C163" ca="1">IF(ISNUMBER(_xll.VoseSimPercentile(NPV,0.36)),_xll.VoseSimPercentile(NPV,0.36),NA())</f>
        <v>-0.38186698245809092</v>
      </c>
    </row>
    <row r="164" spans="2:3" hidden="1" outlineLevel="1" x14ac:dyDescent="0.45">
      <c r="B164" s="81">
        <v>0.37</v>
      </c>
      <c r="C164" s="76" cm="1">
        <f t="array" aca="1" ref="C164" ca="1">IF(ISNUMBER(_xll.VoseSimPercentile(NPV,0.37)),_xll.VoseSimPercentile(NPV,0.37),NA())</f>
        <v>-0.23711093914805126</v>
      </c>
    </row>
    <row r="165" spans="2:3" hidden="1" outlineLevel="1" x14ac:dyDescent="0.45">
      <c r="B165" s="81">
        <v>0.38</v>
      </c>
      <c r="C165" s="76" cm="1">
        <f t="array" aca="1" ref="C165" ca="1">IF(ISNUMBER(_xll.VoseSimPercentile(NPV,0.38)),_xll.VoseSimPercentile(NPV,0.38),NA())</f>
        <v>-7.046710799691791E-2</v>
      </c>
    </row>
    <row r="166" spans="2:3" hidden="1" outlineLevel="1" x14ac:dyDescent="0.45">
      <c r="B166" s="81">
        <v>0.39</v>
      </c>
      <c r="C166" s="76" cm="1">
        <f t="array" aca="1" ref="C166" ca="1">IF(ISNUMBER(_xll.VoseSimPercentile(NPV,0.39)),_xll.VoseSimPercentile(NPV,0.39),NA())</f>
        <v>7.3030047419630595E-2</v>
      </c>
    </row>
    <row r="167" spans="2:3" hidden="1" outlineLevel="1" x14ac:dyDescent="0.45">
      <c r="B167" s="81">
        <v>0.4</v>
      </c>
      <c r="C167" s="76" cm="1">
        <f t="array" aca="1" ref="C167" ca="1">IF(ISNUMBER(_xll.VoseSimPercentile(NPV,0.4)),_xll.VoseSimPercentile(NPV,0.4),NA())</f>
        <v>0.21560597827421857</v>
      </c>
    </row>
    <row r="168" spans="2:3" hidden="1" outlineLevel="1" x14ac:dyDescent="0.45">
      <c r="B168" s="81">
        <v>0.41</v>
      </c>
      <c r="C168" s="76" cm="1">
        <f t="array" aca="1" ref="C168" ca="1">IF(ISNUMBER(_xll.VoseSimPercentile(NPV,0.41)),_xll.VoseSimPercentile(NPV,0.41),NA())</f>
        <v>0.36586711446105369</v>
      </c>
    </row>
    <row r="169" spans="2:3" hidden="1" outlineLevel="1" x14ac:dyDescent="0.45">
      <c r="B169" s="81">
        <v>0.42</v>
      </c>
      <c r="C169" s="76" cm="1">
        <f t="array" aca="1" ref="C169" ca="1">IF(ISNUMBER(_xll.VoseSimPercentile(NPV,0.42)),_xll.VoseSimPercentile(NPV,0.42),NA())</f>
        <v>0.4877333461356117</v>
      </c>
    </row>
    <row r="170" spans="2:3" hidden="1" outlineLevel="1" x14ac:dyDescent="0.45">
      <c r="B170" s="81">
        <v>0.43</v>
      </c>
      <c r="C170" s="76" cm="1">
        <f t="array" aca="1" ref="C170" ca="1">IF(ISNUMBER(_xll.VoseSimPercentile(NPV,0.43)),_xll.VoseSimPercentile(NPV,0.43),NA())</f>
        <v>0.61878595360804844</v>
      </c>
    </row>
    <row r="171" spans="2:3" hidden="1" outlineLevel="1" x14ac:dyDescent="0.45">
      <c r="B171" s="81">
        <v>0.44</v>
      </c>
      <c r="C171" s="76" cm="1">
        <f t="array" aca="1" ref="C171" ca="1">IF(ISNUMBER(_xll.VoseSimPercentile(NPV,0.44)),_xll.VoseSimPercentile(NPV,0.44),NA())</f>
        <v>0.76252897291990029</v>
      </c>
    </row>
    <row r="172" spans="2:3" hidden="1" outlineLevel="1" x14ac:dyDescent="0.45">
      <c r="B172" s="81">
        <v>0.45</v>
      </c>
      <c r="C172" s="76" cm="1">
        <f t="array" aca="1" ref="C172" ca="1">IF(ISNUMBER(_xll.VoseSimPercentile(NPV,0.45)),_xll.VoseSimPercentile(NPV,0.45),NA())</f>
        <v>0.88309664151324041</v>
      </c>
    </row>
    <row r="173" spans="2:3" hidden="1" outlineLevel="1" x14ac:dyDescent="0.45">
      <c r="B173" s="81">
        <v>0.46</v>
      </c>
      <c r="C173" s="76" cm="1">
        <f t="array" aca="1" ref="C173" ca="1">IF(ISNUMBER(_xll.VoseSimPercentile(NPV,0.46)),_xll.VoseSimPercentile(NPV,0.46),NA())</f>
        <v>1.0351930003434293</v>
      </c>
    </row>
    <row r="174" spans="2:3" hidden="1" outlineLevel="1" x14ac:dyDescent="0.45">
      <c r="B174" s="81">
        <v>0.47</v>
      </c>
      <c r="C174" s="76" cm="1">
        <f t="array" aca="1" ref="C174" ca="1">IF(ISNUMBER(_xll.VoseSimPercentile(NPV,0.47)),_xll.VoseSimPercentile(NPV,0.47),NA())</f>
        <v>1.1727097424202384</v>
      </c>
    </row>
    <row r="175" spans="2:3" hidden="1" outlineLevel="1" x14ac:dyDescent="0.45">
      <c r="B175" s="81">
        <v>0.48</v>
      </c>
      <c r="C175" s="76" cm="1">
        <f t="array" aca="1" ref="C175" ca="1">IF(ISNUMBER(_xll.VoseSimPercentile(NPV,0.48)),_xll.VoseSimPercentile(NPV,0.48),NA())</f>
        <v>1.2946262752984032</v>
      </c>
    </row>
    <row r="176" spans="2:3" hidden="1" outlineLevel="1" x14ac:dyDescent="0.45">
      <c r="B176" s="81">
        <v>0.49</v>
      </c>
      <c r="C176" s="76" cm="1">
        <f t="array" aca="1" ref="C176" ca="1">IF(ISNUMBER(_xll.VoseSimPercentile(NPV,0.49)),_xll.VoseSimPercentile(NPV,0.49),NA())</f>
        <v>1.4407651203705103</v>
      </c>
    </row>
    <row r="177" spans="2:3" hidden="1" outlineLevel="1" x14ac:dyDescent="0.45">
      <c r="B177" s="81">
        <v>0.5</v>
      </c>
      <c r="C177" s="76" cm="1">
        <f t="array" aca="1" ref="C177" ca="1">IF(ISNUMBER(_xll.VoseSimPercentile(NPV,0.5)),_xll.VoseSimPercentile(NPV,0.5),NA())</f>
        <v>1.5816619582928992</v>
      </c>
    </row>
    <row r="178" spans="2:3" hidden="1" outlineLevel="1" x14ac:dyDescent="0.45">
      <c r="B178" s="81">
        <v>0.51</v>
      </c>
      <c r="C178" s="76" cm="1">
        <f t="array" aca="1" ref="C178" ca="1">IF(ISNUMBER(_xll.VoseSimPercentile(NPV,0.51)),_xll.VoseSimPercentile(NPV,0.51),NA())</f>
        <v>1.7049899659055732</v>
      </c>
    </row>
    <row r="179" spans="2:3" hidden="1" outlineLevel="1" x14ac:dyDescent="0.45">
      <c r="B179" s="81">
        <v>0.52</v>
      </c>
      <c r="C179" s="76" cm="1">
        <f t="array" aca="1" ref="C179" ca="1">IF(ISNUMBER(_xll.VoseSimPercentile(NPV,0.52)),_xll.VoseSimPercentile(NPV,0.52),NA())</f>
        <v>1.8728553948092581</v>
      </c>
    </row>
    <row r="180" spans="2:3" hidden="1" outlineLevel="1" x14ac:dyDescent="0.45">
      <c r="B180" s="81">
        <v>0.53</v>
      </c>
      <c r="C180" s="76" cm="1">
        <f t="array" aca="1" ref="C180" ca="1">IF(ISNUMBER(_xll.VoseSimPercentile(NPV,0.53)),_xll.VoseSimPercentile(NPV,0.53),NA())</f>
        <v>2.0101134019929701</v>
      </c>
    </row>
    <row r="181" spans="2:3" hidden="1" outlineLevel="1" x14ac:dyDescent="0.45">
      <c r="B181" s="81">
        <v>0.54</v>
      </c>
      <c r="C181" s="76" cm="1">
        <f t="array" aca="1" ref="C181" ca="1">IF(ISNUMBER(_xll.VoseSimPercentile(NPV,0.54)),_xll.VoseSimPercentile(NPV,0.54),NA())</f>
        <v>2.1354671707254695</v>
      </c>
    </row>
    <row r="182" spans="2:3" hidden="1" outlineLevel="1" x14ac:dyDescent="0.45">
      <c r="B182" s="81">
        <v>0.55000000000000004</v>
      </c>
      <c r="C182" s="76" cm="1">
        <f t="array" aca="1" ref="C182" ca="1">IF(ISNUMBER(_xll.VoseSimPercentile(NPV,0.55)),_xll.VoseSimPercentile(NPV,0.55),NA())</f>
        <v>2.2560057970291694</v>
      </c>
    </row>
    <row r="183" spans="2:3" hidden="1" outlineLevel="1" x14ac:dyDescent="0.45">
      <c r="B183" s="81">
        <v>0.56000000000000005</v>
      </c>
      <c r="C183" s="76" cm="1">
        <f t="array" aca="1" ref="C183" ca="1">IF(ISNUMBER(_xll.VoseSimPercentile(NPV,0.56)),_xll.VoseSimPercentile(NPV,0.56),NA())</f>
        <v>2.4025650493276629</v>
      </c>
    </row>
    <row r="184" spans="2:3" hidden="1" outlineLevel="1" x14ac:dyDescent="0.45">
      <c r="B184" s="81">
        <v>0.56999999999999995</v>
      </c>
      <c r="C184" s="76" cm="1">
        <f t="array" aca="1" ref="C184" ca="1">IF(ISNUMBER(_xll.VoseSimPercentile(NPV,0.57)),_xll.VoseSimPercentile(NPV,0.57),NA())</f>
        <v>2.5366589724057356</v>
      </c>
    </row>
    <row r="185" spans="2:3" hidden="1" outlineLevel="1" x14ac:dyDescent="0.45">
      <c r="B185" s="81">
        <v>0.57999999999999996</v>
      </c>
      <c r="C185" s="76" cm="1">
        <f t="array" aca="1" ref="C185" ca="1">IF(ISNUMBER(_xll.VoseSimPercentile(NPV,0.58)),_xll.VoseSimPercentile(NPV,0.58),NA())</f>
        <v>2.6492905823338631</v>
      </c>
    </row>
    <row r="186" spans="2:3" hidden="1" outlineLevel="1" x14ac:dyDescent="0.45">
      <c r="B186" s="81">
        <v>0.59</v>
      </c>
      <c r="C186" s="76" cm="1">
        <f t="array" aca="1" ref="C186" ca="1">IF(ISNUMBER(_xll.VoseSimPercentile(NPV,0.59)),_xll.VoseSimPercentile(NPV,0.59),NA())</f>
        <v>2.7900625833708932</v>
      </c>
    </row>
    <row r="187" spans="2:3" hidden="1" outlineLevel="1" x14ac:dyDescent="0.45">
      <c r="B187" s="81">
        <v>0.6</v>
      </c>
      <c r="C187" s="76" cm="1">
        <f t="array" aca="1" ref="C187" ca="1">IF(ISNUMBER(_xll.VoseSimPercentile(NPV,0.6)),_xll.VoseSimPercentile(NPV,0.6),NA())</f>
        <v>2.9334428031205078</v>
      </c>
    </row>
    <row r="188" spans="2:3" hidden="1" outlineLevel="1" x14ac:dyDescent="0.45">
      <c r="B188" s="81">
        <v>0.61</v>
      </c>
      <c r="C188" s="76" cm="1">
        <f t="array" aca="1" ref="C188" ca="1">IF(ISNUMBER(_xll.VoseSimPercentile(NPV,0.61)),_xll.VoseSimPercentile(NPV,0.61),NA())</f>
        <v>3.0564505014285546</v>
      </c>
    </row>
    <row r="189" spans="2:3" hidden="1" outlineLevel="1" x14ac:dyDescent="0.45">
      <c r="B189" s="81">
        <v>0.62</v>
      </c>
      <c r="C189" s="76" cm="1">
        <f t="array" aca="1" ref="C189" ca="1">IF(ISNUMBER(_xll.VoseSimPercentile(NPV,0.62)),_xll.VoseSimPercentile(NPV,0.62),NA())</f>
        <v>3.1902855697456016</v>
      </c>
    </row>
    <row r="190" spans="2:3" hidden="1" outlineLevel="1" x14ac:dyDescent="0.45">
      <c r="B190" s="81">
        <v>0.63</v>
      </c>
      <c r="C190" s="76" cm="1">
        <f t="array" aca="1" ref="C190" ca="1">IF(ISNUMBER(_xll.VoseSimPercentile(NPV,0.63)),_xll.VoseSimPercentile(NPV,0.63),NA())</f>
        <v>3.3506149439159199</v>
      </c>
    </row>
    <row r="191" spans="2:3" hidden="1" outlineLevel="1" x14ac:dyDescent="0.45">
      <c r="B191" s="81">
        <v>0.64</v>
      </c>
      <c r="C191" s="76" cm="1">
        <f t="array" aca="1" ref="C191" ca="1">IF(ISNUMBER(_xll.VoseSimPercentile(NPV,0.64)),_xll.VoseSimPercentile(NPV,0.64),NA())</f>
        <v>3.5196291073069661</v>
      </c>
    </row>
    <row r="192" spans="2:3" hidden="1" outlineLevel="1" x14ac:dyDescent="0.45">
      <c r="B192" s="81">
        <v>0.65</v>
      </c>
      <c r="C192" s="76" cm="1">
        <f t="array" aca="1" ref="C192" ca="1">IF(ISNUMBER(_xll.VoseSimPercentile(NPV,0.65)),_xll.VoseSimPercentile(NPV,0.65),NA())</f>
        <v>3.6690048253013674</v>
      </c>
    </row>
    <row r="193" spans="2:3" hidden="1" outlineLevel="1" x14ac:dyDescent="0.45">
      <c r="B193" s="81">
        <v>0.66</v>
      </c>
      <c r="C193" s="76" cm="1">
        <f t="array" aca="1" ref="C193" ca="1">IF(ISNUMBER(_xll.VoseSimPercentile(NPV,0.66)),_xll.VoseSimPercentile(NPV,0.66),NA())</f>
        <v>3.8040418007195087</v>
      </c>
    </row>
    <row r="194" spans="2:3" hidden="1" outlineLevel="1" x14ac:dyDescent="0.45">
      <c r="B194" s="81">
        <v>0.67</v>
      </c>
      <c r="C194" s="76" cm="1">
        <f t="array" aca="1" ref="C194" ca="1">IF(ISNUMBER(_xll.VoseSimPercentile(NPV,0.67)),_xll.VoseSimPercentile(NPV,0.67),NA())</f>
        <v>3.9540798046178014</v>
      </c>
    </row>
    <row r="195" spans="2:3" hidden="1" outlineLevel="1" x14ac:dyDescent="0.45">
      <c r="B195" s="81">
        <v>0.68</v>
      </c>
      <c r="C195" s="76" cm="1">
        <f t="array" aca="1" ref="C195" ca="1">IF(ISNUMBER(_xll.VoseSimPercentile(NPV,0.68)),_xll.VoseSimPercentile(NPV,0.68),NA())</f>
        <v>4.080165644743297</v>
      </c>
    </row>
    <row r="196" spans="2:3" hidden="1" outlineLevel="1" x14ac:dyDescent="0.45">
      <c r="B196" s="81">
        <v>0.69</v>
      </c>
      <c r="C196" s="76" cm="1">
        <f t="array" aca="1" ref="C196" ca="1">IF(ISNUMBER(_xll.VoseSimPercentile(NPV,0.69)),_xll.VoseSimPercentile(NPV,0.69),NA())</f>
        <v>4.2321494511728091</v>
      </c>
    </row>
    <row r="197" spans="2:3" hidden="1" outlineLevel="1" x14ac:dyDescent="0.45">
      <c r="B197" s="81">
        <v>0.7</v>
      </c>
      <c r="C197" s="76" cm="1">
        <f t="array" aca="1" ref="C197" ca="1">IF(ISNUMBER(_xll.VoseSimPercentile(NPV,0.7)),_xll.VoseSimPercentile(NPV,0.7),NA())</f>
        <v>4.3666780543096158</v>
      </c>
    </row>
    <row r="198" spans="2:3" hidden="1" outlineLevel="1" x14ac:dyDescent="0.45">
      <c r="B198" s="81">
        <v>0.71</v>
      </c>
      <c r="C198" s="76" cm="1">
        <f t="array" aca="1" ref="C198" ca="1">IF(ISNUMBER(_xll.VoseSimPercentile(NPV,0.71)),_xll.VoseSimPercentile(NPV,0.71),NA())</f>
        <v>4.4942521883238333</v>
      </c>
    </row>
    <row r="199" spans="2:3" hidden="1" outlineLevel="1" x14ac:dyDescent="0.45">
      <c r="B199" s="81">
        <v>0.72</v>
      </c>
      <c r="C199" s="76" cm="1">
        <f t="array" aca="1" ref="C199" ca="1">IF(ISNUMBER(_xll.VoseSimPercentile(NPV,0.72)),_xll.VoseSimPercentile(NPV,0.72),NA())</f>
        <v>4.642677698426116</v>
      </c>
    </row>
    <row r="200" spans="2:3" hidden="1" outlineLevel="1" x14ac:dyDescent="0.45">
      <c r="B200" s="81">
        <v>0.73</v>
      </c>
      <c r="C200" s="76" cm="1">
        <f t="array" aca="1" ref="C200" ca="1">IF(ISNUMBER(_xll.VoseSimPercentile(NPV,0.73)),_xll.VoseSimPercentile(NPV,0.73),NA())</f>
        <v>4.8016218339194836</v>
      </c>
    </row>
    <row r="201" spans="2:3" hidden="1" outlineLevel="1" x14ac:dyDescent="0.45">
      <c r="B201" s="81">
        <v>0.74</v>
      </c>
      <c r="C201" s="76" cm="1">
        <f t="array" aca="1" ref="C201" ca="1">IF(ISNUMBER(_xll.VoseSimPercentile(NPV,0.74)),_xll.VoseSimPercentile(NPV,0.74),NA())</f>
        <v>4.9506869398472348</v>
      </c>
    </row>
    <row r="202" spans="2:3" hidden="1" outlineLevel="1" x14ac:dyDescent="0.45">
      <c r="B202" s="81">
        <v>0.75</v>
      </c>
      <c r="C202" s="76" cm="1">
        <f t="array" aca="1" ref="C202" ca="1">IF(ISNUMBER(_xll.VoseSimPercentile(NPV,0.75)),_xll.VoseSimPercentile(NPV,0.75),NA())</f>
        <v>5.1296691839370947</v>
      </c>
    </row>
    <row r="203" spans="2:3" hidden="1" outlineLevel="1" x14ac:dyDescent="0.45">
      <c r="B203" s="81">
        <v>0.76</v>
      </c>
      <c r="C203" s="76" cm="1">
        <f t="array" aca="1" ref="C203" ca="1">IF(ISNUMBER(_xll.VoseSimPercentile(NPV,0.76)),_xll.VoseSimPercentile(NPV,0.76),NA())</f>
        <v>5.276063023328776</v>
      </c>
    </row>
    <row r="204" spans="2:3" hidden="1" outlineLevel="1" x14ac:dyDescent="0.45">
      <c r="B204" s="81">
        <v>0.77</v>
      </c>
      <c r="C204" s="76" cm="1">
        <f t="array" aca="1" ref="C204" ca="1">IF(ISNUMBER(_xll.VoseSimPercentile(NPV,0.77)),_xll.VoseSimPercentile(NPV,0.77),NA())</f>
        <v>5.4585322289780187</v>
      </c>
    </row>
    <row r="205" spans="2:3" hidden="1" outlineLevel="1" x14ac:dyDescent="0.45">
      <c r="B205" s="81">
        <v>0.78</v>
      </c>
      <c r="C205" s="76" cm="1">
        <f t="array" aca="1" ref="C205" ca="1">IF(ISNUMBER(_xll.VoseSimPercentile(NPV,0.78)),_xll.VoseSimPercentile(NPV,0.78),NA())</f>
        <v>5.6110900849007965</v>
      </c>
    </row>
    <row r="206" spans="2:3" hidden="1" outlineLevel="1" x14ac:dyDescent="0.45">
      <c r="B206" s="81">
        <v>0.79</v>
      </c>
      <c r="C206" s="76" cm="1">
        <f t="array" aca="1" ref="C206" ca="1">IF(ISNUMBER(_xll.VoseSimPercentile(NPV,0.79)),_xll.VoseSimPercentile(NPV,0.79),NA())</f>
        <v>5.7744788180853348</v>
      </c>
    </row>
    <row r="207" spans="2:3" hidden="1" outlineLevel="1" x14ac:dyDescent="0.45">
      <c r="B207" s="81">
        <v>0.8</v>
      </c>
      <c r="C207" s="76" cm="1">
        <f t="array" aca="1" ref="C207" ca="1">IF(ISNUMBER(_xll.VoseSimPercentile(NPV,0.8)),_xll.VoseSimPercentile(NPV,0.8),NA())</f>
        <v>5.9655347939347969</v>
      </c>
    </row>
    <row r="208" spans="2:3" hidden="1" outlineLevel="1" x14ac:dyDescent="0.45">
      <c r="B208" s="81">
        <v>0.81</v>
      </c>
      <c r="C208" s="76" cm="1">
        <f t="array" aca="1" ref="C208" ca="1">IF(ISNUMBER(_xll.VoseSimPercentile(NPV,0.81)),_xll.VoseSimPercentile(NPV,0.81),NA())</f>
        <v>6.1402363081891078</v>
      </c>
    </row>
    <row r="209" spans="2:3" hidden="1" outlineLevel="1" x14ac:dyDescent="0.45">
      <c r="B209" s="81">
        <v>0.82</v>
      </c>
      <c r="C209" s="76" cm="1">
        <f t="array" aca="1" ref="C209" ca="1">IF(ISNUMBER(_xll.VoseSimPercentile(NPV,0.82)),_xll.VoseSimPercentile(NPV,0.82),NA())</f>
        <v>6.3288167055939155</v>
      </c>
    </row>
    <row r="210" spans="2:3" hidden="1" outlineLevel="1" x14ac:dyDescent="0.45">
      <c r="B210" s="81">
        <v>0.83</v>
      </c>
      <c r="C210" s="76" cm="1">
        <f t="array" aca="1" ref="C210" ca="1">IF(ISNUMBER(_xll.VoseSimPercentile(NPV,0.83)),_xll.VoseSimPercentile(NPV,0.83),NA())</f>
        <v>6.5040143090600875</v>
      </c>
    </row>
    <row r="211" spans="2:3" hidden="1" outlineLevel="1" x14ac:dyDescent="0.45">
      <c r="B211" s="81">
        <v>0.84</v>
      </c>
      <c r="C211" s="76" cm="1">
        <f t="array" aca="1" ref="C211" ca="1">IF(ISNUMBER(_xll.VoseSimPercentile(NPV,0.84)),_xll.VoseSimPercentile(NPV,0.84),NA())</f>
        <v>6.6978279338254918</v>
      </c>
    </row>
    <row r="212" spans="2:3" hidden="1" outlineLevel="1" x14ac:dyDescent="0.45">
      <c r="B212" s="81">
        <v>0.85</v>
      </c>
      <c r="C212" s="76" cm="1">
        <f t="array" aca="1" ref="C212" ca="1">IF(ISNUMBER(_xll.VoseSimPercentile(NPV,0.85)),_xll.VoseSimPercentile(NPV,0.85),NA())</f>
        <v>6.8730414503223223</v>
      </c>
    </row>
    <row r="213" spans="2:3" hidden="1" outlineLevel="1" x14ac:dyDescent="0.45">
      <c r="B213" s="81">
        <v>0.86</v>
      </c>
      <c r="C213" s="76" cm="1">
        <f t="array" aca="1" ref="C213" ca="1">IF(ISNUMBER(_xll.VoseSimPercentile(NPV,0.86)),_xll.VoseSimPercentile(NPV,0.86),NA())</f>
        <v>7.0845975464520841</v>
      </c>
    </row>
    <row r="214" spans="2:3" hidden="1" outlineLevel="1" x14ac:dyDescent="0.45">
      <c r="B214" s="81">
        <v>0.87</v>
      </c>
      <c r="C214" s="76" cm="1">
        <f t="array" aca="1" ref="C214" ca="1">IF(ISNUMBER(_xll.VoseSimPercentile(NPV,0.87)),_xll.VoseSimPercentile(NPV,0.87),NA())</f>
        <v>7.30155042561187</v>
      </c>
    </row>
    <row r="215" spans="2:3" hidden="1" outlineLevel="1" x14ac:dyDescent="0.45">
      <c r="B215" s="81">
        <v>0.88</v>
      </c>
      <c r="C215" s="76" cm="1">
        <f t="array" aca="1" ref="C215" ca="1">IF(ISNUMBER(_xll.VoseSimPercentile(NPV,0.88)),_xll.VoseSimPercentile(NPV,0.88),NA())</f>
        <v>7.5066371490219579</v>
      </c>
    </row>
    <row r="216" spans="2:3" hidden="1" outlineLevel="1" x14ac:dyDescent="0.45">
      <c r="B216" s="81">
        <v>0.89</v>
      </c>
      <c r="C216" s="76" cm="1">
        <f t="array" aca="1" ref="C216" ca="1">IF(ISNUMBER(_xll.VoseSimPercentile(NPV,0.89)),_xll.VoseSimPercentile(NPV,0.89),NA())</f>
        <v>7.7393367144345238</v>
      </c>
    </row>
    <row r="217" spans="2:3" hidden="1" outlineLevel="1" x14ac:dyDescent="0.45">
      <c r="B217" s="81">
        <v>0.9</v>
      </c>
      <c r="C217" s="76" cm="1">
        <f t="array" aca="1" ref="C217" ca="1">IF(ISNUMBER(_xll.VoseSimPercentile(NPV,0.9)),_xll.VoseSimPercentile(NPV,0.9),NA())</f>
        <v>8.0039572640475001</v>
      </c>
    </row>
    <row r="218" spans="2:3" hidden="1" outlineLevel="1" x14ac:dyDescent="0.45">
      <c r="B218" s="81">
        <v>0.91</v>
      </c>
      <c r="C218" s="76" cm="1">
        <f t="array" aca="1" ref="C218" ca="1">IF(ISNUMBER(_xll.VoseSimPercentile(NPV,0.91)),_xll.VoseSimPercentile(NPV,0.91),NA())</f>
        <v>8.3393472674624594</v>
      </c>
    </row>
    <row r="219" spans="2:3" hidden="1" outlineLevel="1" x14ac:dyDescent="0.45">
      <c r="B219" s="81">
        <v>0.92</v>
      </c>
      <c r="C219" s="76" cm="1">
        <f t="array" aca="1" ref="C219" ca="1">IF(ISNUMBER(_xll.VoseSimPercentile(NPV,0.92)),_xll.VoseSimPercentile(NPV,0.92),NA())</f>
        <v>8.6443298936623467</v>
      </c>
    </row>
    <row r="220" spans="2:3" hidden="1" outlineLevel="1" x14ac:dyDescent="0.45">
      <c r="B220" s="81">
        <v>0.93</v>
      </c>
      <c r="C220" s="76" cm="1">
        <f t="array" aca="1" ref="C220" ca="1">IF(ISNUMBER(_xll.VoseSimPercentile(NPV,0.93)),_xll.VoseSimPercentile(NPV,0.93),NA())</f>
        <v>8.9360378467412911</v>
      </c>
    </row>
    <row r="221" spans="2:3" hidden="1" outlineLevel="1" x14ac:dyDescent="0.45">
      <c r="B221" s="81">
        <v>0.94</v>
      </c>
      <c r="C221" s="76" cm="1">
        <f t="array" aca="1" ref="C221" ca="1">IF(ISNUMBER(_xll.VoseSimPercentile(NPV,0.94)),_xll.VoseSimPercentile(NPV,0.94),NA())</f>
        <v>9.3005306182298746</v>
      </c>
    </row>
    <row r="222" spans="2:3" hidden="1" outlineLevel="1" x14ac:dyDescent="0.45">
      <c r="B222" s="81">
        <v>0.95</v>
      </c>
      <c r="C222" s="76" cm="1">
        <f t="array" aca="1" ref="C222" ca="1">IF(ISNUMBER(_xll.VoseSimPercentile(NPV,0.95)),_xll.VoseSimPercentile(NPV,0.95),NA())</f>
        <v>9.665138192192563</v>
      </c>
    </row>
    <row r="223" spans="2:3" hidden="1" outlineLevel="1" x14ac:dyDescent="0.45">
      <c r="B223" s="81">
        <v>0.96</v>
      </c>
      <c r="C223" s="76" cm="1">
        <f t="array" aca="1" ref="C223" ca="1">IF(ISNUMBER(_xll.VoseSimPercentile(NPV,0.96)),_xll.VoseSimPercentile(NPV,0.96),NA())</f>
        <v>10.130502050462212</v>
      </c>
    </row>
    <row r="224" spans="2:3" hidden="1" outlineLevel="1" x14ac:dyDescent="0.45">
      <c r="B224" s="81">
        <v>0.97</v>
      </c>
      <c r="C224" s="76" cm="1">
        <f t="array" aca="1" ref="C224" ca="1">IF(ISNUMBER(_xll.VoseSimPercentile(NPV,0.97)),_xll.VoseSimPercentile(NPV,0.97),NA())</f>
        <v>10.743527995861154</v>
      </c>
    </row>
    <row r="225" spans="2:7" hidden="1" outlineLevel="1" x14ac:dyDescent="0.45">
      <c r="B225" s="81">
        <v>0.98</v>
      </c>
      <c r="C225" s="76" cm="1">
        <f t="array" aca="1" ref="C225" ca="1">IF(ISNUMBER(_xll.VoseSimPercentile(NPV,0.98)),_xll.VoseSimPercentile(NPV,0.98),NA())</f>
        <v>11.503012850879504</v>
      </c>
    </row>
    <row r="226" spans="2:7" hidden="1" outlineLevel="1" x14ac:dyDescent="0.45">
      <c r="B226" s="81">
        <v>0.99</v>
      </c>
      <c r="C226" s="76" cm="1">
        <f t="array" aca="1" ref="C226" ca="1">IF(ISNUMBER(_xll.VoseSimPercentile(NPV,0.99)),_xll.VoseSimPercentile(NPV,0.99),NA())</f>
        <v>12.715524865070364</v>
      </c>
    </row>
    <row r="227" spans="2:7" hidden="1" outlineLevel="1" x14ac:dyDescent="0.45">
      <c r="B227" s="81">
        <v>0.995</v>
      </c>
      <c r="C227" s="76" cm="1">
        <f t="array" aca="1" ref="C227" ca="1">IF(ISNUMBER(_xll.VoseSimPercentile(NPV,0.995)),_xll.VoseSimPercentile(NPV,0.995),NA())</f>
        <v>13.849732677319242</v>
      </c>
    </row>
    <row r="228" spans="2:7" hidden="1" outlineLevel="1" x14ac:dyDescent="0.45"/>
    <row r="229" spans="2:7" ht="18" hidden="1" customHeight="1" outlineLevel="1" x14ac:dyDescent="0.45">
      <c r="B229" s="23" t="s">
        <v>233</v>
      </c>
      <c r="C229" s="24" t="s">
        <v>234</v>
      </c>
      <c r="D229" s="24" t="s">
        <v>235</v>
      </c>
      <c r="E229" s="24" t="s">
        <v>236</v>
      </c>
      <c r="F229" s="24" t="s">
        <v>237</v>
      </c>
      <c r="G229" s="24" t="s">
        <v>238</v>
      </c>
    </row>
    <row r="230" spans="2:7" hidden="1" outlineLevel="1" x14ac:dyDescent="0.45">
      <c r="B230" s="82">
        <v>0</v>
      </c>
      <c r="C230" s="76">
        <f ca="1">IF(ISNUMBER($C$127),$C$127+($C$227-$C$127)*0/24,NA())</f>
        <v>-11.419808138744193</v>
      </c>
      <c r="D230" s="83">
        <f t="shared" ref="D230:D254" ca="1" si="2">IF(ISNUMBER(C230),MATCH(C230,$C$127:$C$227,1),NA())</f>
        <v>1</v>
      </c>
      <c r="E230" s="76">
        <f t="shared" ref="E230:E253" ca="1" si="3">IF(ISNUMBER(C230),(C230+C231)/2,NA())</f>
        <v>-10.893359371742871</v>
      </c>
      <c r="F230" s="81">
        <f t="shared" ref="F230:F253" ca="1" si="4">IF(ISNUMBER(G231),G231-G230,NA())</f>
        <v>5.3349702328684403E-3</v>
      </c>
      <c r="G230" s="81" cm="1">
        <f t="array" aca="1" ref="G230" ca="1">IF(ISNUMBER(D230),IF(D230&gt;=101,INDEX($B$127:$B$227,101),INDEX($B$127:$B$227,D230)+(C230-INDEX($C$127:$C$227,D230))/MAX(0.000000000001,INDEX($C$127:$C$227,D230+1)-INDEX($C$127:$C$227,D230))*(INDEX($B$127:$B$227,D230+1)-INDEX($B$127:$B$227,D230))),NA())</f>
        <v>5.0000000000000001E-3</v>
      </c>
    </row>
    <row r="231" spans="2:7" hidden="1" outlineLevel="1" x14ac:dyDescent="0.45">
      <c r="B231" s="82">
        <v>1</v>
      </c>
      <c r="C231" s="76">
        <f ca="1">IF(ISNUMBER($C$127),$C$127+($C$227-$C$127)*1/24,NA())</f>
        <v>-10.36691060474155</v>
      </c>
      <c r="D231" s="83">
        <f t="shared" ca="1" si="2"/>
        <v>2</v>
      </c>
      <c r="E231" s="76">
        <f t="shared" ca="1" si="3"/>
        <v>-9.8404618377402286</v>
      </c>
      <c r="F231" s="81">
        <f t="shared" ca="1" si="4"/>
        <v>8.7160913439739054E-3</v>
      </c>
      <c r="G231" s="81" cm="1">
        <f t="array" aca="1" ref="G231" ca="1">IF(ISNUMBER(D231),IF(D231&gt;=101,INDEX($B$127:$B$227,101),INDEX($B$127:$B$227,D231)+(C231-INDEX($C$127:$C$227,D231))/MAX(0.000000000001,INDEX($C$127:$C$227,D231+1)-INDEX($C$127:$C$227,D231))*(INDEX($B$127:$B$227,D231+1)-INDEX($B$127:$B$227,D231))),NA())</f>
        <v>1.033497023286844E-2</v>
      </c>
    </row>
    <row r="232" spans="2:7" hidden="1" outlineLevel="1" x14ac:dyDescent="0.45">
      <c r="B232" s="82">
        <v>2</v>
      </c>
      <c r="C232" s="76">
        <f ca="1">IF(ISNUMBER($C$127),$C$127+($C$227-$C$127)*2/24,NA())</f>
        <v>-9.3140130707389073</v>
      </c>
      <c r="D232" s="83">
        <f t="shared" ca="1" si="2"/>
        <v>2</v>
      </c>
      <c r="E232" s="76">
        <f t="shared" ca="1" si="3"/>
        <v>-8.7875643037375859</v>
      </c>
      <c r="F232" s="81">
        <f t="shared" ca="1" si="4"/>
        <v>1.1389867897974339E-2</v>
      </c>
      <c r="G232" s="81" cm="1">
        <f t="array" aca="1" ref="G232" ca="1">IF(ISNUMBER(D232),IF(D232&gt;=101,INDEX($B$127:$B$227,101),INDEX($B$127:$B$227,D232)+(C232-INDEX($C$127:$C$227,D232))/MAX(0.000000000001,INDEX($C$127:$C$227,D232+1)-INDEX($C$127:$C$227,D232))*(INDEX($B$127:$B$227,D232+1)-INDEX($B$127:$B$227,D232))),NA())</f>
        <v>1.9051061576842346E-2</v>
      </c>
    </row>
    <row r="233" spans="2:7" hidden="1" outlineLevel="1" x14ac:dyDescent="0.45">
      <c r="B233" s="82">
        <v>3</v>
      </c>
      <c r="C233" s="76">
        <f ca="1">IF(ISNUMBER($C$127),$C$127+($C$227-$C$127)*3/24,NA())</f>
        <v>-8.2611155367362628</v>
      </c>
      <c r="D233" s="83">
        <f t="shared" ca="1" si="2"/>
        <v>4</v>
      </c>
      <c r="E233" s="76">
        <f t="shared" ca="1" si="3"/>
        <v>-7.7346667697349414</v>
      </c>
      <c r="F233" s="81">
        <f t="shared" ca="1" si="4"/>
        <v>1.8140274461051008E-2</v>
      </c>
      <c r="G233" s="81" cm="1">
        <f t="array" aca="1" ref="G233" ca="1">IF(ISNUMBER(D233),IF(D233&gt;=101,INDEX($B$127:$B$227,101),INDEX($B$127:$B$227,D233)+(C233-INDEX($C$127:$C$227,D233))/MAX(0.000000000001,INDEX($C$127:$C$227,D233+1)-INDEX($C$127:$C$227,D233))*(INDEX($B$127:$B$227,D233+1)-INDEX($B$127:$B$227,D233))),NA())</f>
        <v>3.0440929474816684E-2</v>
      </c>
    </row>
    <row r="234" spans="2:7" hidden="1" outlineLevel="1" x14ac:dyDescent="0.45">
      <c r="B234" s="82">
        <v>4</v>
      </c>
      <c r="C234" s="76">
        <f ca="1">IF(ISNUMBER($C$127),$C$127+($C$227-$C$127)*4/24,NA())</f>
        <v>-7.2082180027336209</v>
      </c>
      <c r="D234" s="83">
        <f t="shared" ca="1" si="2"/>
        <v>5</v>
      </c>
      <c r="E234" s="76">
        <f t="shared" ca="1" si="3"/>
        <v>-6.6817692357322995</v>
      </c>
      <c r="F234" s="81">
        <f t="shared" ca="1" si="4"/>
        <v>2.3353144236916049E-2</v>
      </c>
      <c r="G234" s="81" cm="1">
        <f t="array" aca="1" ref="G234" ca="1">IF(ISNUMBER(D234),IF(D234&gt;=101,INDEX($B$127:$B$227,101),INDEX($B$127:$B$227,D234)+(C234-INDEX($C$127:$C$227,D234))/MAX(0.000000000001,INDEX($C$127:$C$227,D234+1)-INDEX($C$127:$C$227,D234))*(INDEX($B$127:$B$227,D234+1)-INDEX($B$127:$B$227,D234))),NA())</f>
        <v>4.8581203935867692E-2</v>
      </c>
    </row>
    <row r="235" spans="2:7" hidden="1" outlineLevel="1" x14ac:dyDescent="0.45">
      <c r="B235" s="82">
        <v>5</v>
      </c>
      <c r="C235" s="76">
        <f ca="1">IF(ISNUMBER($C$127),$C$127+($C$227-$C$127)*5/24,NA())</f>
        <v>-6.1553204687309782</v>
      </c>
      <c r="D235" s="83">
        <f t="shared" ca="1" si="2"/>
        <v>8</v>
      </c>
      <c r="E235" s="76">
        <f t="shared" ca="1" si="3"/>
        <v>-5.6288717017296559</v>
      </c>
      <c r="F235" s="81">
        <f t="shared" ca="1" si="4"/>
        <v>3.0572408814870958E-2</v>
      </c>
      <c r="G235" s="81" cm="1">
        <f t="array" aca="1" ref="G235" ca="1">IF(ISNUMBER(D235),IF(D235&gt;=101,INDEX($B$127:$B$227,101),INDEX($B$127:$B$227,D235)+(C235-INDEX($C$127:$C$227,D235))/MAX(0.000000000001,INDEX($C$127:$C$227,D235+1)-INDEX($C$127:$C$227,D235))*(INDEX($B$127:$B$227,D235+1)-INDEX($B$127:$B$227,D235))),NA())</f>
        <v>7.1934348172783741E-2</v>
      </c>
    </row>
    <row r="236" spans="2:7" hidden="1" outlineLevel="1" x14ac:dyDescent="0.45">
      <c r="B236" s="82">
        <v>6</v>
      </c>
      <c r="C236" s="76">
        <f ca="1">IF(ISNUMBER($C$127),$C$127+($C$227-$C$127)*6/24,NA())</f>
        <v>-5.1024229347283336</v>
      </c>
      <c r="D236" s="83">
        <f t="shared" ca="1" si="2"/>
        <v>11</v>
      </c>
      <c r="E236" s="76">
        <f t="shared" ca="1" si="3"/>
        <v>-4.5759741677270123</v>
      </c>
      <c r="F236" s="81">
        <f t="shared" ca="1" si="4"/>
        <v>4.0549453449844688E-2</v>
      </c>
      <c r="G236" s="81" cm="1">
        <f t="array" aca="1" ref="G236" ca="1">IF(ISNUMBER(D236),IF(D236&gt;=101,INDEX($B$127:$B$227,101),INDEX($B$127:$B$227,D236)+(C236-INDEX($C$127:$C$227,D236))/MAX(0.000000000001,INDEX($C$127:$C$227,D236+1)-INDEX($C$127:$C$227,D236))*(INDEX($B$127:$B$227,D236+1)-INDEX($B$127:$B$227,D236))),NA())</f>
        <v>0.1025067569876547</v>
      </c>
    </row>
    <row r="237" spans="2:7" hidden="1" outlineLevel="1" x14ac:dyDescent="0.45">
      <c r="B237" s="82">
        <v>7</v>
      </c>
      <c r="C237" s="76">
        <f ca="1">IF(ISNUMBER($C$127),$C$127+($C$227-$C$127)*7/24,NA())</f>
        <v>-4.0495254007256909</v>
      </c>
      <c r="D237" s="83">
        <f t="shared" ca="1" si="2"/>
        <v>15</v>
      </c>
      <c r="E237" s="76">
        <f t="shared" ca="1" si="3"/>
        <v>-3.52307663372437</v>
      </c>
      <c r="F237" s="81">
        <f t="shared" ca="1" si="4"/>
        <v>5.0580814083877601E-2</v>
      </c>
      <c r="G237" s="81" cm="1">
        <f t="array" aca="1" ref="G237" ca="1">IF(ISNUMBER(D237),IF(D237&gt;=101,INDEX($B$127:$B$227,101),INDEX($B$127:$B$227,D237)+(C237-INDEX($C$127:$C$227,D237))/MAX(0.000000000001,INDEX($C$127:$C$227,D237+1)-INDEX($C$127:$C$227,D237))*(INDEX($B$127:$B$227,D237+1)-INDEX($B$127:$B$227,D237))),NA())</f>
        <v>0.14305621043749939</v>
      </c>
    </row>
    <row r="238" spans="2:7" hidden="1" outlineLevel="1" x14ac:dyDescent="0.45">
      <c r="B238" s="82">
        <v>8</v>
      </c>
      <c r="C238" s="76">
        <f ca="1">IF(ISNUMBER($C$127),$C$127+($C$227-$C$127)*8/24,NA())</f>
        <v>-2.996627866723049</v>
      </c>
      <c r="D238" s="83">
        <f t="shared" ca="1" si="2"/>
        <v>20</v>
      </c>
      <c r="E238" s="76">
        <f t="shared" ca="1" si="3"/>
        <v>-2.4701790997217277</v>
      </c>
      <c r="F238" s="81">
        <f t="shared" ca="1" si="4"/>
        <v>6.396724751369165E-2</v>
      </c>
      <c r="G238" s="81" cm="1">
        <f t="array" aca="1" ref="G238" ca="1">IF(ISNUMBER(D238),IF(D238&gt;=101,INDEX($B$127:$B$227,101),INDEX($B$127:$B$227,D238)+(C238-INDEX($C$127:$C$227,D238))/MAX(0.000000000001,INDEX($C$127:$C$227,D238+1)-INDEX($C$127:$C$227,D238))*(INDEX($B$127:$B$227,D238+1)-INDEX($B$127:$B$227,D238))),NA())</f>
        <v>0.19363702452137699</v>
      </c>
    </row>
    <row r="239" spans="2:7" hidden="1" outlineLevel="1" x14ac:dyDescent="0.45">
      <c r="B239" s="82">
        <v>9</v>
      </c>
      <c r="C239" s="76">
        <f ca="1">IF(ISNUMBER($C$127),$C$127+($C$227-$C$127)*9/24,NA())</f>
        <v>-1.9437303327204063</v>
      </c>
      <c r="D239" s="83">
        <f t="shared" ca="1" si="2"/>
        <v>26</v>
      </c>
      <c r="E239" s="76">
        <f t="shared" ca="1" si="3"/>
        <v>-1.4172815657190849</v>
      </c>
      <c r="F239" s="81">
        <f t="shared" ca="1" si="4"/>
        <v>6.5760914007605753E-2</v>
      </c>
      <c r="G239" s="81" cm="1">
        <f t="array" aca="1" ref="G239" ca="1">IF(ISNUMBER(D239),IF(D239&gt;=101,INDEX($B$127:$B$227,101),INDEX($B$127:$B$227,D239)+(C239-INDEX($C$127:$C$227,D239))/MAX(0.000000000001,INDEX($C$127:$C$227,D239+1)-INDEX($C$127:$C$227,D239))*(INDEX($B$127:$B$227,D239+1)-INDEX($B$127:$B$227,D239))),NA())</f>
        <v>0.25760427203506864</v>
      </c>
    </row>
    <row r="240" spans="2:7" hidden="1" outlineLevel="1" x14ac:dyDescent="0.45">
      <c r="B240" s="82">
        <v>10</v>
      </c>
      <c r="C240" s="76">
        <f ca="1">IF(ISNUMBER($C$127),$C$127+($C$227-$C$127)*10/24,NA())</f>
        <v>-0.89083279871776355</v>
      </c>
      <c r="D240" s="83">
        <f t="shared" ca="1" si="2"/>
        <v>33</v>
      </c>
      <c r="E240" s="76">
        <f t="shared" ca="1" si="3"/>
        <v>-0.36438403171644129</v>
      </c>
      <c r="F240" s="81">
        <f t="shared" ca="1" si="4"/>
        <v>7.2879534740951879E-2</v>
      </c>
      <c r="G240" s="81" cm="1">
        <f t="array" aca="1" ref="G240" ca="1">IF(ISNUMBER(D240),IF(D240&gt;=101,INDEX($B$127:$B$227,101),INDEX($B$127:$B$227,D240)+(C240-INDEX($C$127:$C$227,D240))/MAX(0.000000000001,INDEX($C$127:$C$227,D240+1)-INDEX($C$127:$C$227,D240))*(INDEX($B$127:$B$227,D240+1)-INDEX($B$127:$B$227,D240))),NA())</f>
        <v>0.32336518604267439</v>
      </c>
    </row>
    <row r="241" spans="2:7" hidden="1" outlineLevel="1" x14ac:dyDescent="0.45">
      <c r="B241" s="82">
        <v>11</v>
      </c>
      <c r="C241" s="76">
        <f ca="1">IF(ISNUMBER($C$127),$C$127+($C$227-$C$127)*11/24,NA())</f>
        <v>0.16206473528488097</v>
      </c>
      <c r="D241" s="83">
        <f t="shared" ca="1" si="2"/>
        <v>40</v>
      </c>
      <c r="E241" s="76">
        <f t="shared" ca="1" si="3"/>
        <v>0.68851350228620323</v>
      </c>
      <c r="F241" s="81">
        <f t="shared" ca="1" si="4"/>
        <v>7.7220972167920454E-2</v>
      </c>
      <c r="G241" s="81" cm="1">
        <f t="array" aca="1" ref="G241" ca="1">IF(ISNUMBER(D241),IF(D241&gt;=101,INDEX($B$127:$B$227,101),INDEX($B$127:$B$227,D241)+(C241-INDEX($C$127:$C$227,D241))/MAX(0.000000000001,INDEX($C$127:$C$227,D241+1)-INDEX($C$127:$C$227,D241))*(INDEX($B$127:$B$227,D241+1)-INDEX($B$127:$B$227,D241))),NA())</f>
        <v>0.39624472078362627</v>
      </c>
    </row>
    <row r="242" spans="2:7" hidden="1" outlineLevel="1" x14ac:dyDescent="0.45">
      <c r="B242" s="82">
        <v>12</v>
      </c>
      <c r="C242" s="76">
        <f ca="1">IF(ISNUMBER($C$127),$C$127+($C$227-$C$127)*12/24,NA())</f>
        <v>1.2149622692875255</v>
      </c>
      <c r="D242" s="83">
        <f t="shared" ca="1" si="2"/>
        <v>48</v>
      </c>
      <c r="E242" s="76">
        <f t="shared" ca="1" si="3"/>
        <v>1.741411036288846</v>
      </c>
      <c r="F242" s="81">
        <f t="shared" ca="1" si="4"/>
        <v>7.7343127104170795E-2</v>
      </c>
      <c r="G242" s="81" cm="1">
        <f t="array" aca="1" ref="G242" ca="1">IF(ISNUMBER(D242),IF(D242&gt;=101,INDEX($B$127:$B$227,101),INDEX($B$127:$B$227,D242)+(C242-INDEX($C$127:$C$227,D242))/MAX(0.000000000001,INDEX($C$127:$C$227,D242+1)-INDEX($C$127:$C$227,D242))*(INDEX($B$127:$B$227,D242+1)-INDEX($B$127:$B$227,D242))),NA())</f>
        <v>0.47346569295154672</v>
      </c>
    </row>
    <row r="243" spans="2:7" hidden="1" outlineLevel="1" x14ac:dyDescent="0.45">
      <c r="B243" s="82">
        <v>13</v>
      </c>
      <c r="C243" s="76">
        <f ca="1">IF(ISNUMBER($C$127),$C$127+($C$227-$C$127)*13/24,NA())</f>
        <v>2.2678598032901665</v>
      </c>
      <c r="D243" s="83">
        <f t="shared" ca="1" si="2"/>
        <v>56</v>
      </c>
      <c r="E243" s="76">
        <f t="shared" ca="1" si="3"/>
        <v>2.7943085702914887</v>
      </c>
      <c r="F243" s="81">
        <f t="shared" ca="1" si="4"/>
        <v>7.7328913171420766E-2</v>
      </c>
      <c r="G243" s="81" cm="1">
        <f t="array" aca="1" ref="G243" ca="1">IF(ISNUMBER(D243),IF(D243&gt;=101,INDEX($B$127:$B$227,101),INDEX($B$127:$B$227,D243)+(C243-INDEX($C$127:$C$227,D243))/MAX(0.000000000001,INDEX($C$127:$C$227,D243+1)-INDEX($C$127:$C$227,D243))*(INDEX($B$127:$B$227,D243+1)-INDEX($B$127:$B$227,D243))),NA())</f>
        <v>0.55080882005571752</v>
      </c>
    </row>
    <row r="244" spans="2:7" hidden="1" outlineLevel="1" x14ac:dyDescent="0.45">
      <c r="B244" s="82">
        <v>14</v>
      </c>
      <c r="C244" s="76">
        <f ca="1">IF(ISNUMBER($C$127),$C$127+($C$227-$C$127)*14/24,NA())</f>
        <v>3.320757337292811</v>
      </c>
      <c r="D244" s="83">
        <f t="shared" ca="1" si="2"/>
        <v>63</v>
      </c>
      <c r="E244" s="76">
        <f t="shared" ca="1" si="3"/>
        <v>3.8472061042941315</v>
      </c>
      <c r="F244" s="81">
        <f t="shared" ca="1" si="4"/>
        <v>7.240915012345206E-2</v>
      </c>
      <c r="G244" s="81" cm="1">
        <f t="array" aca="1" ref="G244" ca="1">IF(ISNUMBER(D244),IF(D244&gt;=101,INDEX($B$127:$B$227,101),INDEX($B$127:$B$227,D244)+(C244-INDEX($C$127:$C$227,D244))/MAX(0.000000000001,INDEX($C$127:$C$227,D244+1)-INDEX($C$127:$C$227,D244))*(INDEX($B$127:$B$227,D244+1)-INDEX($B$127:$B$227,D244))),NA())</f>
        <v>0.62813773322713828</v>
      </c>
    </row>
    <row r="245" spans="2:7" hidden="1" outlineLevel="1" x14ac:dyDescent="0.45">
      <c r="B245" s="82">
        <v>15</v>
      </c>
      <c r="C245" s="76">
        <f ca="1">IF(ISNUMBER($C$127),$C$127+($C$227-$C$127)*15/24,NA())</f>
        <v>4.3736548712954519</v>
      </c>
      <c r="D245" s="83">
        <f t="shared" ca="1" si="2"/>
        <v>71</v>
      </c>
      <c r="E245" s="76">
        <f t="shared" ca="1" si="3"/>
        <v>4.9001036382967733</v>
      </c>
      <c r="F245" s="81">
        <f t="shared" ca="1" si="4"/>
        <v>6.7700501814148217E-2</v>
      </c>
      <c r="G245" s="81" cm="1">
        <f t="array" aca="1" ref="G245" ca="1">IF(ISNUMBER(D245),IF(D245&gt;=101,INDEX($B$127:$B$227,101),INDEX($B$127:$B$227,D245)+(C245-INDEX($C$127:$C$227,D245))/MAX(0.000000000001,INDEX($C$127:$C$227,D245+1)-INDEX($C$127:$C$227,D245))*(INDEX($B$127:$B$227,D245+1)-INDEX($B$127:$B$227,D245))),NA())</f>
        <v>0.70054688335059034</v>
      </c>
    </row>
    <row r="246" spans="2:7" hidden="1" outlineLevel="1" x14ac:dyDescent="0.45">
      <c r="B246" s="82">
        <v>16</v>
      </c>
      <c r="C246" s="76">
        <f ca="1">IF(ISNUMBER($C$127),$C$127+($C$227-$C$127)*16/24,NA())</f>
        <v>5.4265524052980947</v>
      </c>
      <c r="D246" s="83">
        <f t="shared" ca="1" si="2"/>
        <v>77</v>
      </c>
      <c r="E246" s="76">
        <f t="shared" ca="1" si="3"/>
        <v>5.9530011722994178</v>
      </c>
      <c r="F246" s="81">
        <f t="shared" ca="1" si="4"/>
        <v>6.0350519756712573E-2</v>
      </c>
      <c r="G246" s="81" cm="1">
        <f t="array" aca="1" ref="G246" ca="1">IF(ISNUMBER(D246),IF(D246&gt;=101,INDEX($B$127:$B$227,101),INDEX($B$127:$B$227,D246)+(C246-INDEX($C$127:$C$227,D246))/MAX(0.000000000001,INDEX($C$127:$C$227,D246+1)-INDEX($C$127:$C$227,D246))*(INDEX($B$127:$B$227,D246+1)-INDEX($B$127:$B$227,D246))),NA())</f>
        <v>0.76824738516473856</v>
      </c>
    </row>
    <row r="247" spans="2:7" hidden="1" outlineLevel="1" x14ac:dyDescent="0.45">
      <c r="B247" s="82">
        <v>17</v>
      </c>
      <c r="C247" s="76">
        <f ca="1">IF(ISNUMBER($C$127),$C$127+($C$227-$C$127)*17/24,NA())</f>
        <v>6.479449939300741</v>
      </c>
      <c r="D247" s="83">
        <f t="shared" ca="1" si="2"/>
        <v>83</v>
      </c>
      <c r="E247" s="76">
        <f t="shared" ca="1" si="3"/>
        <v>7.0058987063020606</v>
      </c>
      <c r="F247" s="81">
        <f t="shared" ca="1" si="4"/>
        <v>5.2506967115410585E-2</v>
      </c>
      <c r="G247" s="81" cm="1">
        <f t="array" aca="1" ref="G247" ca="1">IF(ISNUMBER(D247),IF(D247&gt;=101,INDEX($B$127:$B$227,101),INDEX($B$127:$B$227,D247)+(C247-INDEX($C$127:$C$227,D247))/MAX(0.000000000001,INDEX($C$127:$C$227,D247+1)-INDEX($C$127:$C$227,D247))*(INDEX($B$127:$B$227,D247+1)-INDEX($B$127:$B$227,D247))),NA())</f>
        <v>0.82859790492145113</v>
      </c>
    </row>
    <row r="248" spans="2:7" hidden="1" outlineLevel="1" x14ac:dyDescent="0.45">
      <c r="B248" s="82">
        <v>18</v>
      </c>
      <c r="C248" s="76">
        <f ca="1">IF(ISNUMBER($C$127),$C$127+($C$227-$C$127)*18/24,NA())</f>
        <v>7.5323474733033802</v>
      </c>
      <c r="D248" s="83">
        <f t="shared" ca="1" si="2"/>
        <v>89</v>
      </c>
      <c r="E248" s="76">
        <f t="shared" ca="1" si="3"/>
        <v>8.0587962403047033</v>
      </c>
      <c r="F248" s="81">
        <f t="shared" ca="1" si="4"/>
        <v>3.6957808218321286E-2</v>
      </c>
      <c r="G248" s="81" cm="1">
        <f t="array" aca="1" ref="G248" ca="1">IF(ISNUMBER(D248),IF(D248&gt;=101,INDEX($B$127:$B$227,101),INDEX($B$127:$B$227,D248)+(C248-INDEX($C$127:$C$227,D248))/MAX(0.000000000001,INDEX($C$127:$C$227,D248+1)-INDEX($C$127:$C$227,D248))*(INDEX($B$127:$B$227,D248+1)-INDEX($B$127:$B$227,D248))),NA())</f>
        <v>0.88110487203686172</v>
      </c>
    </row>
    <row r="249" spans="2:7" hidden="1" outlineLevel="1" x14ac:dyDescent="0.45">
      <c r="B249" s="82">
        <v>19</v>
      </c>
      <c r="C249" s="76">
        <f ca="1">IF(ISNUMBER($C$127),$C$127+($C$227-$C$127)*19/24,NA())</f>
        <v>8.5852450073060265</v>
      </c>
      <c r="D249" s="83">
        <f t="shared" ca="1" si="2"/>
        <v>92</v>
      </c>
      <c r="E249" s="76">
        <f t="shared" ca="1" si="3"/>
        <v>9.1116937743073461</v>
      </c>
      <c r="F249" s="81">
        <f t="shared" ca="1" si="4"/>
        <v>3.1196916834627775E-2</v>
      </c>
      <c r="G249" s="81" cm="1">
        <f t="array" aca="1" ref="G249" ca="1">IF(ISNUMBER(D249),IF(D249&gt;=101,INDEX($B$127:$B$227,101),INDEX($B$127:$B$227,D249)+(C249-INDEX($C$127:$C$227,D249))/MAX(0.000000000001,INDEX($C$127:$C$227,D249+1)-INDEX($C$127:$C$227,D249))*(INDEX($B$127:$B$227,D249+1)-INDEX($B$127:$B$227,D249))),NA())</f>
        <v>0.91806268025518301</v>
      </c>
    </row>
    <row r="250" spans="2:7" hidden="1" outlineLevel="1" x14ac:dyDescent="0.45">
      <c r="B250" s="82">
        <v>20</v>
      </c>
      <c r="C250" s="76">
        <f ca="1">IF(ISNUMBER($C$127),$C$127+($C$227-$C$127)*20/24,NA())</f>
        <v>9.6381425413086657</v>
      </c>
      <c r="D250" s="83">
        <f t="shared" ca="1" si="2"/>
        <v>95</v>
      </c>
      <c r="E250" s="76">
        <f t="shared" ca="1" si="3"/>
        <v>10.164591308309989</v>
      </c>
      <c r="F250" s="81">
        <f t="shared" ca="1" si="4"/>
        <v>1.9884192484777574E-2</v>
      </c>
      <c r="G250" s="81" cm="1">
        <f t="array" aca="1" ref="G250" ca="1">IF(ISNUMBER(D250),IF(D250&gt;=101,INDEX($B$127:$B$227,101),INDEX($B$127:$B$227,D250)+(C250-INDEX($C$127:$C$227,D250))/MAX(0.000000000001,INDEX($C$127:$C$227,D250+1)-INDEX($C$127:$C$227,D250))*(INDEX($B$127:$B$227,D250+1)-INDEX($B$127:$B$227,D250))),NA())</f>
        <v>0.94925959708981078</v>
      </c>
    </row>
    <row r="251" spans="2:7" hidden="1" outlineLevel="1" x14ac:dyDescent="0.45">
      <c r="B251" s="82">
        <v>21</v>
      </c>
      <c r="C251" s="76">
        <f ca="1">IF(ISNUMBER($C$127),$C$127+($C$227-$C$127)*21/24,NA())</f>
        <v>10.691040075311312</v>
      </c>
      <c r="D251" s="83">
        <f t="shared" ca="1" si="2"/>
        <v>97</v>
      </c>
      <c r="E251" s="76">
        <f t="shared" ca="1" si="3"/>
        <v>11.217488842312633</v>
      </c>
      <c r="F251" s="81">
        <f t="shared" ca="1" si="4"/>
        <v>1.2843199054099363E-2</v>
      </c>
      <c r="G251" s="81" cm="1">
        <f t="array" aca="1" ref="G251" ca="1">IF(ISNUMBER(D251),IF(D251&gt;=101,INDEX($B$127:$B$227,101),INDEX($B$127:$B$227,D251)+(C251-INDEX($C$127:$C$227,D251))/MAX(0.000000000001,INDEX($C$127:$C$227,D251+1)-INDEX($C$127:$C$227,D251))*(INDEX($B$127:$B$227,D251+1)-INDEX($B$127:$B$227,D251))),NA())</f>
        <v>0.96914378957458835</v>
      </c>
    </row>
    <row r="252" spans="2:7" hidden="1" outlineLevel="1" x14ac:dyDescent="0.45">
      <c r="B252" s="82">
        <v>22</v>
      </c>
      <c r="C252" s="76">
        <f ca="1">IF(ISNUMBER($C$127),$C$127+($C$227-$C$127)*22/24,NA())</f>
        <v>11.743937609313955</v>
      </c>
      <c r="D252" s="83">
        <f t="shared" ca="1" si="2"/>
        <v>99</v>
      </c>
      <c r="E252" s="76">
        <f t="shared" ca="1" si="3"/>
        <v>12.270386376315276</v>
      </c>
      <c r="F252" s="81">
        <f t="shared" ca="1" si="4"/>
        <v>8.3714566111003919E-3</v>
      </c>
      <c r="G252" s="81" cm="1">
        <f t="array" aca="1" ref="G252" ca="1">IF(ISNUMBER(D252),IF(D252&gt;=101,INDEX($B$127:$B$227,101),INDEX($B$127:$B$227,D252)+(C252-INDEX($C$127:$C$227,D252))/MAX(0.000000000001,INDEX($C$127:$C$227,D252+1)-INDEX($C$127:$C$227,D252))*(INDEX($B$127:$B$227,D252+1)-INDEX($B$127:$B$227,D252))),NA())</f>
        <v>0.98198698862868772</v>
      </c>
    </row>
    <row r="253" spans="2:7" hidden="1" outlineLevel="1" x14ac:dyDescent="0.45">
      <c r="B253" s="82">
        <v>23</v>
      </c>
      <c r="C253" s="76">
        <f ca="1">IF(ISNUMBER($C$127),$C$127+($C$227-$C$127)*23/24,NA())</f>
        <v>12.796835143316597</v>
      </c>
      <c r="D253" s="83">
        <f t="shared" ca="1" si="2"/>
        <v>100</v>
      </c>
      <c r="E253" s="76">
        <f t="shared" ca="1" si="3"/>
        <v>13.323283910317921</v>
      </c>
      <c r="F253" s="81">
        <f t="shared" ca="1" si="4"/>
        <v>4.6415547602118856E-3</v>
      </c>
      <c r="G253" s="81" cm="1">
        <f t="array" aca="1" ref="G253" ca="1">IF(ISNUMBER(D253),IF(D253&gt;=101,INDEX($B$127:$B$227,101),INDEX($B$127:$B$227,D253)+(C253-INDEX($C$127:$C$227,D253))/MAX(0.000000000001,INDEX($C$127:$C$227,D253+1)-INDEX($C$127:$C$227,D253))*(INDEX($B$127:$B$227,D253+1)-INDEX($B$127:$B$227,D253))),NA())</f>
        <v>0.99035844523978811</v>
      </c>
    </row>
    <row r="254" spans="2:7" hidden="1" outlineLevel="1" x14ac:dyDescent="0.45">
      <c r="B254" s="82">
        <v>24</v>
      </c>
      <c r="C254" s="76">
        <f ca="1">IF(ISNUMBER($C$127),$C$127+($C$227-$C$127)*24/24,NA())</f>
        <v>13.849732677319244</v>
      </c>
      <c r="D254" s="83">
        <f t="shared" ca="1" si="2"/>
        <v>101</v>
      </c>
      <c r="G254" s="81" cm="1">
        <f t="array" aca="1" ref="G254" ca="1">IF(ISNUMBER(D254),IF(D254&gt;=101,INDEX($B$127:$B$227,101),INDEX($B$127:$B$227,D254)+(C254-INDEX($C$127:$C$227,D254))/MAX(0.000000000001,INDEX($C$127:$C$227,D254+1)-INDEX($C$127:$C$227,D254))*(INDEX($B$127:$B$227,D254+1)-INDEX($B$127:$B$227,D254))),NA())</f>
        <v>0.995</v>
      </c>
    </row>
  </sheetData>
  <mergeCells count="4">
    <mergeCell ref="B60:G60"/>
    <mergeCell ref="B61:G61"/>
    <mergeCell ref="B58:G58"/>
    <mergeCell ref="B59:G59"/>
  </mergeCells>
  <conditionalFormatting sqref="B7">
    <cfRule type="expression" dxfId="6" priority="2">
      <formula>LEFT($B$7,1)="✗"</formula>
    </cfRule>
  </conditionalFormatting>
  <conditionalFormatting sqref="B6:G6">
    <cfRule type="expression" dxfId="5" priority="1">
      <formula>LEFT($B$6,1)&lt;&gt;"✔"</formula>
    </cfRule>
  </conditionalFormatting>
  <conditionalFormatting sqref="C127:G254">
    <cfRule type="expression" dxfId="4" priority="7">
      <formula>ISNA($C$127)</formula>
    </cfRule>
  </conditionalFormatting>
  <conditionalFormatting sqref="D18">
    <cfRule type="expression" dxfId="3" priority="3">
      <formula>AND(ISNUMBER($D$13),$D$13&gt;0)</formula>
    </cfRule>
    <cfRule type="expression" dxfId="2" priority="4">
      <formula>AND(ISNUMBER($D$13),NOT($D$13&gt;0))</formula>
    </cfRule>
  </conditionalFormatting>
  <conditionalFormatting sqref="D67:D116">
    <cfRule type="expression" dxfId="1" priority="5">
      <formula>ISNA(D67)</formula>
    </cfRule>
  </conditionalFormatting>
  <conditionalFormatting sqref="F120:G124">
    <cfRule type="expression" dxfId="0" priority="6">
      <formula>ISNA(F120)</formula>
    </cfRule>
  </conditionalFormatting>
  <hyperlinks>
    <hyperlink ref="B4" location="'Денежный поток'!A1" display="◂  Денежный поток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42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DADBE-E2D3-4E8B-95A5-E4649AAFCC72}">
  <dimension ref="A1:B1"/>
  <sheetViews>
    <sheetView workbookViewId="0"/>
  </sheetViews>
  <sheetFormatPr defaultRowHeight="14.25" x14ac:dyDescent="0.45"/>
  <sheetData>
    <row r="1" spans="1:2" x14ac:dyDescent="0.45">
      <c r="A1" s="88" t="s">
        <v>239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77DAC-EB26-4177-BD54-672A0DAC53F1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1CBDE-1D36-4211-8CDF-7335DFFA36D1}">
  <dimension ref="B3:B82"/>
  <sheetViews>
    <sheetView workbookViewId="0"/>
  </sheetViews>
  <sheetFormatPr defaultRowHeight="14.25" x14ac:dyDescent="0.45"/>
  <sheetData>
    <row r="3" spans="2:2" x14ac:dyDescent="0.45">
      <c r="B3">
        <v>8</v>
      </c>
    </row>
    <row r="4" spans="2:2" x14ac:dyDescent="0.45">
      <c r="B4">
        <v>30</v>
      </c>
    </row>
    <row r="5" spans="2:2" x14ac:dyDescent="0.45">
      <c r="B5">
        <v>129</v>
      </c>
    </row>
    <row r="6" spans="2:2" x14ac:dyDescent="0.45">
      <c r="B6">
        <v>316</v>
      </c>
    </row>
    <row r="7" spans="2:2" x14ac:dyDescent="0.45">
      <c r="B7">
        <v>461</v>
      </c>
    </row>
    <row r="8" spans="2:2" x14ac:dyDescent="0.45">
      <c r="B8">
        <v>479</v>
      </c>
    </row>
    <row r="9" spans="2:2" x14ac:dyDescent="0.45">
      <c r="B9">
        <v>371</v>
      </c>
    </row>
    <row r="10" spans="2:2" x14ac:dyDescent="0.45">
      <c r="B10">
        <v>162</v>
      </c>
    </row>
    <row r="11" spans="2:2" x14ac:dyDescent="0.45">
      <c r="B11">
        <v>41</v>
      </c>
    </row>
    <row r="12" spans="2:2" x14ac:dyDescent="0.45">
      <c r="B12">
        <v>3</v>
      </c>
    </row>
    <row r="13" spans="2:2" x14ac:dyDescent="0.45">
      <c r="B13">
        <v>8</v>
      </c>
    </row>
    <row r="14" spans="2:2" x14ac:dyDescent="0.45">
      <c r="B14">
        <v>16</v>
      </c>
    </row>
    <row r="15" spans="2:2" x14ac:dyDescent="0.45">
      <c r="B15">
        <v>90</v>
      </c>
    </row>
    <row r="16" spans="2:2" x14ac:dyDescent="0.45">
      <c r="B16">
        <v>237</v>
      </c>
    </row>
    <row r="17" spans="2:2" x14ac:dyDescent="0.45">
      <c r="B17">
        <v>417</v>
      </c>
    </row>
    <row r="18" spans="2:2" x14ac:dyDescent="0.45">
      <c r="B18">
        <v>489</v>
      </c>
    </row>
    <row r="19" spans="2:2" x14ac:dyDescent="0.45">
      <c r="B19">
        <v>417</v>
      </c>
    </row>
    <row r="20" spans="2:2" x14ac:dyDescent="0.45">
      <c r="B20">
        <v>249</v>
      </c>
    </row>
    <row r="21" spans="2:2" x14ac:dyDescent="0.45">
      <c r="B21">
        <v>68</v>
      </c>
    </row>
    <row r="22" spans="2:2" x14ac:dyDescent="0.45">
      <c r="B22">
        <v>9</v>
      </c>
    </row>
    <row r="23" spans="2:2" x14ac:dyDescent="0.45">
      <c r="B23">
        <v>7</v>
      </c>
    </row>
    <row r="24" spans="2:2" x14ac:dyDescent="0.45">
      <c r="B24">
        <v>667</v>
      </c>
    </row>
    <row r="25" spans="2:2" x14ac:dyDescent="0.45">
      <c r="B25">
        <v>0</v>
      </c>
    </row>
    <row r="26" spans="2:2" x14ac:dyDescent="0.45">
      <c r="B26">
        <v>976</v>
      </c>
    </row>
    <row r="27" spans="2:2" x14ac:dyDescent="0.45">
      <c r="B27">
        <v>0</v>
      </c>
    </row>
    <row r="28" spans="2:2" x14ac:dyDescent="0.45">
      <c r="B28">
        <v>309</v>
      </c>
    </row>
    <row r="29" spans="2:2" x14ac:dyDescent="0.45">
      <c r="B29">
        <v>0</v>
      </c>
    </row>
    <row r="30" spans="2:2" x14ac:dyDescent="0.45">
      <c r="B30">
        <v>34</v>
      </c>
    </row>
    <row r="31" spans="2:2" x14ac:dyDescent="0.45">
      <c r="B31">
        <v>0</v>
      </c>
    </row>
    <row r="32" spans="2:2" x14ac:dyDescent="0.45">
      <c r="B32">
        <v>7</v>
      </c>
    </row>
    <row r="33" spans="2:2" x14ac:dyDescent="0.45">
      <c r="B33">
        <v>42</v>
      </c>
    </row>
    <row r="34" spans="2:2" x14ac:dyDescent="0.45">
      <c r="B34">
        <v>171</v>
      </c>
    </row>
    <row r="35" spans="2:2" x14ac:dyDescent="0.45">
      <c r="B35">
        <v>271</v>
      </c>
    </row>
    <row r="36" spans="2:2" x14ac:dyDescent="0.45">
      <c r="B36">
        <v>352</v>
      </c>
    </row>
    <row r="37" spans="2:2" x14ac:dyDescent="0.45">
      <c r="B37">
        <v>308</v>
      </c>
    </row>
    <row r="38" spans="2:2" x14ac:dyDescent="0.45">
      <c r="B38">
        <v>342</v>
      </c>
    </row>
    <row r="39" spans="2:2" x14ac:dyDescent="0.45">
      <c r="B39">
        <v>244</v>
      </c>
    </row>
    <row r="40" spans="2:2" x14ac:dyDescent="0.45">
      <c r="B40">
        <v>165</v>
      </c>
    </row>
    <row r="41" spans="2:2" x14ac:dyDescent="0.45">
      <c r="B41">
        <v>81</v>
      </c>
    </row>
    <row r="42" spans="2:2" x14ac:dyDescent="0.45">
      <c r="B42">
        <v>24</v>
      </c>
    </row>
    <row r="43" spans="2:2" x14ac:dyDescent="0.45">
      <c r="B43">
        <v>17</v>
      </c>
    </row>
    <row r="44" spans="2:2" x14ac:dyDescent="0.45">
      <c r="B44">
        <v>49</v>
      </c>
    </row>
    <row r="45" spans="2:2" x14ac:dyDescent="0.45">
      <c r="B45">
        <v>134</v>
      </c>
    </row>
    <row r="46" spans="2:2" x14ac:dyDescent="0.45">
      <c r="B46">
        <v>190</v>
      </c>
    </row>
    <row r="47" spans="2:2" x14ac:dyDescent="0.45">
      <c r="B47">
        <v>270</v>
      </c>
    </row>
    <row r="48" spans="2:2" x14ac:dyDescent="0.45">
      <c r="B48">
        <v>334</v>
      </c>
    </row>
    <row r="49" spans="2:2" x14ac:dyDescent="0.45">
      <c r="B49">
        <v>373</v>
      </c>
    </row>
    <row r="50" spans="2:2" x14ac:dyDescent="0.45">
      <c r="B50">
        <v>324</v>
      </c>
    </row>
    <row r="51" spans="2:2" x14ac:dyDescent="0.45">
      <c r="B51">
        <v>228</v>
      </c>
    </row>
    <row r="52" spans="2:2" x14ac:dyDescent="0.45">
      <c r="B52">
        <v>81</v>
      </c>
    </row>
    <row r="53" spans="2:2" x14ac:dyDescent="0.45">
      <c r="B53">
        <v>17</v>
      </c>
    </row>
    <row r="54" spans="2:2" x14ac:dyDescent="0.45">
      <c r="B54">
        <v>62</v>
      </c>
    </row>
    <row r="55" spans="2:2" x14ac:dyDescent="0.45">
      <c r="B55">
        <v>121</v>
      </c>
    </row>
    <row r="56" spans="2:2" x14ac:dyDescent="0.45">
      <c r="B56">
        <v>199</v>
      </c>
    </row>
    <row r="57" spans="2:2" x14ac:dyDescent="0.45">
      <c r="B57">
        <v>272</v>
      </c>
    </row>
    <row r="58" spans="2:2" x14ac:dyDescent="0.45">
      <c r="B58">
        <v>337</v>
      </c>
    </row>
    <row r="59" spans="2:2" x14ac:dyDescent="0.45">
      <c r="B59">
        <v>349</v>
      </c>
    </row>
    <row r="60" spans="2:2" x14ac:dyDescent="0.45">
      <c r="B60">
        <v>316</v>
      </c>
    </row>
    <row r="61" spans="2:2" x14ac:dyDescent="0.45">
      <c r="B61">
        <v>228</v>
      </c>
    </row>
    <row r="62" spans="2:2" x14ac:dyDescent="0.45">
      <c r="B62">
        <v>99</v>
      </c>
    </row>
    <row r="63" spans="2:2" x14ac:dyDescent="0.45">
      <c r="B63">
        <v>95</v>
      </c>
    </row>
    <row r="64" spans="2:2" x14ac:dyDescent="0.45">
      <c r="B64">
        <v>237</v>
      </c>
    </row>
    <row r="65" spans="2:2" x14ac:dyDescent="0.45">
      <c r="B65">
        <v>361</v>
      </c>
    </row>
    <row r="66" spans="2:2" x14ac:dyDescent="0.45">
      <c r="B66">
        <v>363</v>
      </c>
    </row>
    <row r="67" spans="2:2" x14ac:dyDescent="0.45">
      <c r="B67">
        <v>327</v>
      </c>
    </row>
    <row r="68" spans="2:2" x14ac:dyDescent="0.45">
      <c r="B68">
        <v>265</v>
      </c>
    </row>
    <row r="69" spans="2:2" x14ac:dyDescent="0.45">
      <c r="B69">
        <v>197</v>
      </c>
    </row>
    <row r="70" spans="2:2" x14ac:dyDescent="0.45">
      <c r="B70">
        <v>109</v>
      </c>
    </row>
    <row r="71" spans="2:2" x14ac:dyDescent="0.45">
      <c r="B71">
        <v>39</v>
      </c>
    </row>
    <row r="72" spans="2:2" x14ac:dyDescent="0.45">
      <c r="B72">
        <v>7</v>
      </c>
    </row>
    <row r="73" spans="2:2" x14ac:dyDescent="0.45">
      <c r="B73">
        <v>75</v>
      </c>
    </row>
    <row r="74" spans="2:2" x14ac:dyDescent="0.45">
      <c r="B74">
        <v>225</v>
      </c>
    </row>
    <row r="75" spans="2:2" x14ac:dyDescent="0.45">
      <c r="B75">
        <v>337</v>
      </c>
    </row>
    <row r="76" spans="2:2" x14ac:dyDescent="0.45">
      <c r="B76">
        <v>344</v>
      </c>
    </row>
    <row r="77" spans="2:2" x14ac:dyDescent="0.45">
      <c r="B77">
        <v>329</v>
      </c>
    </row>
    <row r="78" spans="2:2" x14ac:dyDescent="0.45">
      <c r="B78">
        <v>286</v>
      </c>
    </row>
    <row r="79" spans="2:2" x14ac:dyDescent="0.45">
      <c r="B79">
        <v>202</v>
      </c>
    </row>
    <row r="80" spans="2:2" x14ac:dyDescent="0.45">
      <c r="B80">
        <v>133</v>
      </c>
    </row>
    <row r="81" spans="2:2" x14ac:dyDescent="0.45">
      <c r="B81">
        <v>45</v>
      </c>
    </row>
    <row r="82" spans="2:2" x14ac:dyDescent="0.45">
      <c r="B82">
        <v>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1300">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A8AC8AUABBAEcARQBTAD4ADQAKAA==</mr:Charts>
</mr:ModelRisk>
</file>

<file path=customXml/itemProps1.xml><?xml version="1.0" encoding="utf-8"?>
<ds:datastoreItem xmlns:ds="http://schemas.openxmlformats.org/officeDocument/2006/customXml" ds:itemID="{7C4F8BB5-6021-460A-BF19-96A72E13A868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43</vt:i4>
      </vt:variant>
    </vt:vector>
  </HeadingPairs>
  <TitlesOfParts>
    <vt:vector size="50" baseType="lpstr">
      <vt:lpstr>Описание</vt:lpstr>
      <vt:lpstr>Исходные данные</vt:lpstr>
      <vt:lpstr>Денежный поток</vt:lpstr>
      <vt:lpstr>Результаты</vt:lpstr>
      <vt:lpstr>ModelRiskDSN</vt:lpstr>
      <vt:lpstr>ModelRiskSYS1</vt:lpstr>
      <vt:lpstr>ModelRiskCharts</vt:lpstr>
      <vt:lpstr>Capex</vt:lpstr>
      <vt:lpstr>Capex_Hi</vt:lpstr>
      <vt:lpstr>Capex_Lo</vt:lpstr>
      <vt:lpstr>Capex_Mean</vt:lpstr>
      <vt:lpstr>Capex_ML</vt:lpstr>
      <vt:lpstr>Checks</vt:lpstr>
      <vt:lpstr>DepLife</vt:lpstr>
      <vt:lpstr>Depreciation</vt:lpstr>
      <vt:lpstr>FixedCost</vt:lpstr>
      <vt:lpstr>FixedCost_Hi</vt:lpstr>
      <vt:lpstr>FixedCost_Lo</vt:lpstr>
      <vt:lpstr>FixedCost_Mean</vt:lpstr>
      <vt:lpstr>FixedCost_ML</vt:lpstr>
      <vt:lpstr>InputMeans</vt:lpstr>
      <vt:lpstr>IRR</vt:lpstr>
      <vt:lpstr>IRR_ML</vt:lpstr>
      <vt:lpstr>NPV</vt:lpstr>
      <vt:lpstr>NPV_ML</vt:lpstr>
      <vt:lpstr>Payback</vt:lpstr>
      <vt:lpstr>Payback_ML</vt:lpstr>
      <vt:lpstr>Price</vt:lpstr>
      <vt:lpstr>Price_Hi</vt:lpstr>
      <vt:lpstr>Price_Lo</vt:lpstr>
      <vt:lpstr>Price_Mean</vt:lpstr>
      <vt:lpstr>Price_ML</vt:lpstr>
      <vt:lpstr>Results!Print_Area</vt:lpstr>
      <vt:lpstr>'Cash flow'!Print_Titles</vt:lpstr>
      <vt:lpstr>Inputs!Print_Titles</vt:lpstr>
      <vt:lpstr>Results!Print_Titles</vt:lpstr>
      <vt:lpstr>Ramp_Share</vt:lpstr>
      <vt:lpstr>Ramp_Year</vt:lpstr>
      <vt:lpstr>TaxRate</vt:lpstr>
      <vt:lpstr>VarCost</vt:lpstr>
      <vt:lpstr>VarCost_Hi</vt:lpstr>
      <vt:lpstr>VarCost_Lo</vt:lpstr>
      <vt:lpstr>VarCost_Mean</vt:lpstr>
      <vt:lpstr>VarCost_ML</vt:lpstr>
      <vt:lpstr>Volume</vt:lpstr>
      <vt:lpstr>Volume_Hi</vt:lpstr>
      <vt:lpstr>Volume_Lo</vt:lpstr>
      <vt:lpstr>Volume_Mean</vt:lpstr>
      <vt:lpstr>Volume_ML</vt:lpstr>
      <vt:lpstr>WACC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CF-01 Оценка инвестиций в новую производственную линию</dc:title>
  <dc:subject>Отраслевые примеры моделей МоделРиск — Корпоративные финансы</dc:subject>
  <dc:creator>ООО «Стратегия Риска»</dc:creator>
  <cp:keywords>МоделРиск; Монте-Карло; корпоративные финансы</cp:keywords>
  <dc:description>Строить ли производителю новую линию? NPV, IRR и срок окупаемости по пяти неопределенным оценкам.</dc:description>
  <cp:lastModifiedBy>ООО «Стратегия Риска»</cp:lastModifiedBy>
  <cp:lastPrinted>2026-10-05T12:49:13Z</cp:lastPrinted>
  <dcterms:created xsi:type="dcterms:W3CDTF">2026-10-05T12:45:07Z</dcterms:created>
  <dcterms:modified xsi:type="dcterms:W3CDTF">2026-10-05T12:49:16Z</dcterms:modified>
</cp:coreProperties>
</file>